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ICENCE PRO. 2è-3è-4è ANNEE" sheetId="1" state="visible" r:id="rId3"/>
    <sheet name="LICENCE PRO. 1ère ANNEE" sheetId="2" state="visible" r:id="rId4"/>
    <sheet name="INGENIEUR" sheetId="3" state="visible" r:id="rId5"/>
    <sheet name="A_IGNORER_1" sheetId="4" state="visible" r:id="rId6"/>
    <sheet name="A_IGNORER_2" sheetId="5" state="visible" r:id="rId7"/>
    <sheet name="A_IGNORER_3" sheetId="6" state="visible" r:id="rId8"/>
    <sheet name="MASTER" sheetId="7" state="visible" r:id="rId9"/>
    <sheet name="Feuil4" sheetId="8" state="visible" r:id="rId10"/>
    <sheet name="A_IGNORER_4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B376" authorId="0">
      <text>
        <r>
          <rPr>
            <sz val="10"/>
            <rFont val="Arial"/>
            <family val="2"/>
          </rPr>
          <t xml:space="preserve">TIC04:</t>
        </r>
      </text>
    </comment>
  </commentList>
</comments>
</file>

<file path=xl/sharedStrings.xml><?xml version="1.0" encoding="utf-8"?>
<sst xmlns="http://schemas.openxmlformats.org/spreadsheetml/2006/main" count="3334" uniqueCount="1568">
  <si>
    <t xml:space="preserve">LICENCE PROFESSIONNELLE 2017-2018</t>
  </si>
  <si>
    <t xml:space="preserve">                                                                        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</si>
  <si>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SCIENCE AGRICOLE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</si>
  <si>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GESTION DE L'ENVIRONNEMENT</t>
    </r>
  </si>
  <si>
    <t xml:space="preserve">2ème Année</t>
  </si>
  <si>
    <t xml:space="preserve">N°</t>
  </si>
  <si>
    <t xml:space="preserve">NOM  ET  PRENOMS</t>
  </si>
  <si>
    <t xml:space="preserve">MONT.TOTAL</t>
  </si>
  <si>
    <t xml:space="preserve">MONT.PAYE</t>
  </si>
  <si>
    <t xml:space="preserve">MONT.DÜ</t>
  </si>
  <si>
    <t xml:space="preserve">AGOUSSIN Hippolyte</t>
  </si>
  <si>
    <t xml:space="preserve">OGUIDI I. Arnauld Rock</t>
  </si>
  <si>
    <t xml:space="preserve">DANHIN Sewanou Richard</t>
  </si>
  <si>
    <t xml:space="preserve">GANSE H. Florentin</t>
  </si>
  <si>
    <t xml:space="preserve">HAGNONNOU Daniel</t>
  </si>
  <si>
    <t xml:space="preserve">HESSOU A. Sophie</t>
  </si>
  <si>
    <t xml:space="preserve">IDRISSOU Aboudou Issifou</t>
  </si>
  <si>
    <t xml:space="preserve">KANHONOU D.M.B. Serge</t>
  </si>
  <si>
    <t xml:space="preserve">KOUKPO Y. Marius</t>
  </si>
  <si>
    <t xml:space="preserve">KPATCHA A Landry</t>
  </si>
  <si>
    <t xml:space="preserve">PEDANOU Maxime Romain</t>
  </si>
  <si>
    <t xml:space="preserve">ROMAO Romanus Alban</t>
  </si>
  <si>
    <t xml:space="preserve">BALANCE</t>
  </si>
  <si>
    <t xml:space="preserve">4ème Année</t>
  </si>
  <si>
    <t xml:space="preserve">ADAMOU I. Badarou</t>
  </si>
  <si>
    <t xml:space="preserve">AGBOTON J. Noëlie</t>
  </si>
  <si>
    <t xml:space="preserve">AGOSSOUKPE Mahugnon Pièrre</t>
  </si>
  <si>
    <t xml:space="preserve">ALASSANE Sahadou Soulé F.</t>
  </si>
  <si>
    <t xml:space="preserve">BAGNAN Ahmed Habib</t>
  </si>
  <si>
    <t xml:space="preserve">BONI I. Landry</t>
  </si>
  <si>
    <t xml:space="preserve">DRANON Hercules Quentin</t>
  </si>
  <si>
    <t xml:space="preserve">FANOU Y. Rodolphe</t>
  </si>
  <si>
    <t xml:space="preserve">HOUNKPATIN H. Torrentale Salva A.</t>
  </si>
  <si>
    <t xml:space="preserve">LAOUROU O. Jean</t>
  </si>
  <si>
    <t xml:space="preserve">MAMAN CHABI A. Razack</t>
  </si>
  <si>
    <t xml:space="preserve">SOSSOU Auguste Romain</t>
  </si>
  <si>
    <t xml:space="preserve">YACOUBOU Sakiratou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</si>
  <si>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VEGETALE</t>
    </r>
  </si>
  <si>
    <t xml:space="preserve">AGBANZOUME Valentine</t>
  </si>
  <si>
    <t xml:space="preserve">AHOUANSOU Albert Mahoutondji</t>
  </si>
  <si>
    <t xml:space="preserve">ALOWANOU D. Armel Giresse</t>
  </si>
  <si>
    <t xml:space="preserve">ATCHEKPE Blanche</t>
  </si>
  <si>
    <t xml:space="preserve">COSSI Rachid</t>
  </si>
  <si>
    <t xml:space="preserve">EDOH M. Marius Jeovite</t>
  </si>
  <si>
    <t xml:space="preserve">GNIGLA Pélagie Y. </t>
  </si>
  <si>
    <t xml:space="preserve">HOUNHUI S. Gisèle</t>
  </si>
  <si>
    <t xml:space="preserve">HOUNTON Ernest Nestor</t>
  </si>
  <si>
    <t xml:space="preserve">LAFIA ALI Ibrahim</t>
  </si>
  <si>
    <t xml:space="preserve">N'TCHA N'KPATI Nicolas</t>
  </si>
  <si>
    <t xml:space="preserve">OROU SOUA Icham</t>
  </si>
  <si>
    <t xml:space="preserve">TOHOZIN Boris</t>
  </si>
  <si>
    <t xml:space="preserve">3ème Année</t>
  </si>
  <si>
    <t xml:space="preserve">CAPO Wenceslas Mahougbé</t>
  </si>
  <si>
    <t xml:space="preserve">ABDOU HASSAN Idrissou</t>
  </si>
  <si>
    <t xml:space="preserve">AIBATIN Alexis</t>
  </si>
  <si>
    <t xml:space="preserve">AKPO Naomie Pulcherie</t>
  </si>
  <si>
    <t xml:space="preserve">ALPHA BIO Mikaila</t>
  </si>
  <si>
    <t xml:space="preserve">BIO OURE Fadel</t>
  </si>
  <si>
    <t xml:space="preserve">COUKPO Damien</t>
  </si>
  <si>
    <t xml:space="preserve">DODO ISSA Aminou</t>
  </si>
  <si>
    <t xml:space="preserve">DOUHAKOUA Sambieni</t>
  </si>
  <si>
    <t xml:space="preserve">GANDAHO J. Christian</t>
  </si>
  <si>
    <t xml:space="preserve">GNITANGNI A. Emilie</t>
  </si>
  <si>
    <t xml:space="preserve">HANGBE MAX Ulrich G.</t>
  </si>
  <si>
    <t xml:space="preserve">HOUNTONDJI Ernest</t>
  </si>
  <si>
    <t xml:space="preserve">LOKONON Wilfried Codjo T.</t>
  </si>
  <si>
    <t xml:space="preserve">MADOUGOU Moumouni</t>
  </si>
  <si>
    <t xml:space="preserve">MOUNIROU Widad A. M.</t>
  </si>
  <si>
    <t xml:space="preserve">OYENIRAN Michel Kolawolé</t>
  </si>
  <si>
    <t xml:space="preserve">SANNI Zalikatou</t>
  </si>
  <si>
    <t xml:space="preserve">SENON M. Bienvenu</t>
  </si>
  <si>
    <t xml:space="preserve">SINDEMION C. Flore</t>
  </si>
  <si>
    <t xml:space="preserve">TOHOZIN Hector Eustache</t>
  </si>
  <si>
    <t xml:space="preserve">TOKOURA LAFIA Kora</t>
  </si>
  <si>
    <t xml:space="preserve">ABDOULAYE MAMA Eliassou</t>
  </si>
  <si>
    <t xml:space="preserve">ADIBA D. Clément</t>
  </si>
  <si>
    <t xml:space="preserve">AFFO ADAM Abdoul Hakim</t>
  </si>
  <si>
    <t xml:space="preserve">AGBOTOME K. Bertin</t>
  </si>
  <si>
    <t xml:space="preserve">AGBOTON Abigail</t>
  </si>
  <si>
    <t xml:space="preserve">ALIDOU BIAO Affoussatou</t>
  </si>
  <si>
    <t xml:space="preserve">AMOUSSOU Augustine</t>
  </si>
  <si>
    <t xml:space="preserve">ARAYE Ifèdé Eric</t>
  </si>
  <si>
    <t xml:space="preserve">ASSANI Yazid</t>
  </si>
  <si>
    <t xml:space="preserve">BADE A. Hippolyte</t>
  </si>
  <si>
    <t xml:space="preserve">BAH DANMON Alimi</t>
  </si>
  <si>
    <t xml:space="preserve">BAPARAPE Saleck</t>
  </si>
  <si>
    <t xml:space="preserve">BIONAN Sanni Kousséni</t>
  </si>
  <si>
    <t xml:space="preserve">BLENON Thomas </t>
  </si>
  <si>
    <t xml:space="preserve">CHABI O. A. Régine</t>
  </si>
  <si>
    <t xml:space="preserve">DESSOUASSI A. G. Bibiane</t>
  </si>
  <si>
    <t xml:space="preserve">DJAGLO G. Ella</t>
  </si>
  <si>
    <t xml:space="preserve">DOKOTO SAKA Gniré Zouhératou</t>
  </si>
  <si>
    <t xml:space="preserve">FAGBEDJI D. Pierre</t>
  </si>
  <si>
    <t xml:space="preserve">GAWE Wilfrief</t>
  </si>
  <si>
    <t xml:space="preserve">GBENONCHI Adelphe</t>
  </si>
  <si>
    <t xml:space="preserve">GNAMMI Y. Dieu Donné</t>
  </si>
  <si>
    <t xml:space="preserve">GNONLONFOUN E. Valentin</t>
  </si>
  <si>
    <t xml:space="preserve">GOUNOU Gérard</t>
  </si>
  <si>
    <t xml:space="preserve">HESSOU M. C. Samson</t>
  </si>
  <si>
    <t xml:space="preserve">HOUDE Gratien</t>
  </si>
  <si>
    <t xml:space="preserve">ISSA Hasmi</t>
  </si>
  <si>
    <t xml:space="preserve">ISSIFOU Oumar</t>
  </si>
  <si>
    <t xml:space="preserve">KENALI B. Togbédji</t>
  </si>
  <si>
    <t xml:space="preserve">KOGBEDJI Dieu Donné Y.</t>
  </si>
  <si>
    <t xml:space="preserve">KOGUI GOUNOU Sabi Koto</t>
  </si>
  <si>
    <t xml:space="preserve">KPOGBOZAN A. G. Odile</t>
  </si>
  <si>
    <t xml:space="preserve">LISSANON T. Gabriel</t>
  </si>
  <si>
    <t xml:space="preserve">LOKOSSOU A. Christine</t>
  </si>
  <si>
    <t xml:space="preserve">NONKOUDJE Assogba</t>
  </si>
  <si>
    <t xml:space="preserve">OROU MERE Y. Waliou</t>
  </si>
  <si>
    <t xml:space="preserve">PEDE W. Sétan</t>
  </si>
  <si>
    <t xml:space="preserve">RAMANOU N. H. Epiphane</t>
  </si>
  <si>
    <t xml:space="preserve">SEGBADJO L. Stanislas</t>
  </si>
  <si>
    <t xml:space="preserve">TIDJANI Clémence T. M.</t>
  </si>
  <si>
    <t xml:space="preserve">YACOUBOU Amidou</t>
  </si>
  <si>
    <t xml:space="preserve">ZINZINDOHOUE Thierry R.</t>
  </si>
  <si>
    <t xml:space="preserve">ZATO SALIFOU Nassirou</t>
  </si>
  <si>
    <t xml:space="preserve">ZOROBOURAGUI Loukmane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</si>
  <si>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GENIE CIVIL</t>
    </r>
  </si>
  <si>
    <t xml:space="preserve">ADAM ABDOU Fassai</t>
  </si>
  <si>
    <t xml:space="preserve">ADONOU Romaric Fabien</t>
  </si>
  <si>
    <t xml:space="preserve">AGBEDJEKUN Samson Amos M.</t>
  </si>
  <si>
    <t xml:space="preserve">AISSE  Nonlé Josip Stève</t>
  </si>
  <si>
    <t xml:space="preserve">ANIWANOU B. Trésor</t>
  </si>
  <si>
    <t xml:space="preserve">BANI SAMBO Abdoulaye</t>
  </si>
  <si>
    <t xml:space="preserve">DOSSOU HOUEHANOU  Raoul Césaire</t>
  </si>
  <si>
    <t xml:space="preserve">GBAGUIDI B. Marius</t>
  </si>
  <si>
    <t xml:space="preserve">HOUENOU A Yémalin</t>
  </si>
  <si>
    <t xml:space="preserve">ABD</t>
  </si>
  <si>
    <t xml:space="preserve">HOUESSINON S. Coriolis Nelle</t>
  </si>
  <si>
    <t xml:space="preserve">HOUINSA D.  Christian</t>
  </si>
  <si>
    <t xml:space="preserve">HOUNNOU Hermès</t>
  </si>
  <si>
    <t xml:space="preserve">HOUNWANOU Etienne</t>
  </si>
  <si>
    <t xml:space="preserve">IMOROU Amidalaha</t>
  </si>
  <si>
    <t xml:space="preserve">MESSOUNA Sadikou</t>
  </si>
  <si>
    <t xml:space="preserve">NASSIROU Falilatou</t>
  </si>
  <si>
    <t xml:space="preserve">NASSOU Sabin</t>
  </si>
  <si>
    <t xml:space="preserve">NOUNAGNON J. Serge</t>
  </si>
  <si>
    <t xml:space="preserve">SAGBO K. Isaac</t>
  </si>
  <si>
    <t xml:space="preserve">TOGBE Laurent Christian</t>
  </si>
  <si>
    <t xml:space="preserve">ADANDONON Paulin B. Stanislas</t>
  </si>
  <si>
    <t xml:space="preserve">ADB</t>
  </si>
  <si>
    <t xml:space="preserve">ADEH Pacome</t>
  </si>
  <si>
    <t xml:space="preserve">AHONSOU ATSOU Donatien</t>
  </si>
  <si>
    <t xml:space="preserve">AHOUANGANSI Florentin</t>
  </si>
  <si>
    <t xml:space="preserve">AKOFFODJI Contant Rollant</t>
  </si>
  <si>
    <t xml:space="preserve">AKOHOU Hospice</t>
  </si>
  <si>
    <t xml:space="preserve">AKOUEDENOUDJE Retis L. S.</t>
  </si>
  <si>
    <t xml:space="preserve">ALAPINI A. Rovelime</t>
  </si>
  <si>
    <t xml:space="preserve">ASSANGBE Nadège P. Carmène</t>
  </si>
  <si>
    <t xml:space="preserve">ASSIFA DRAMANE Zaliatou</t>
  </si>
  <si>
    <t xml:space="preserve">AZELOKONON S. O. Amour </t>
  </si>
  <si>
    <t xml:space="preserve">BANOUWIN Limombi Rodrigue</t>
  </si>
  <si>
    <t xml:space="preserve">BATCHO Fiacre Fructueux B.</t>
  </si>
  <si>
    <t xml:space="preserve">BIAOU Bienvenue </t>
  </si>
  <si>
    <t xml:space="preserve">DADDAH Damase</t>
  </si>
  <si>
    <t xml:space="preserve">GBEMETONOU  T. Vivien Rodrigue</t>
  </si>
  <si>
    <t xml:space="preserve">GBESSO René</t>
  </si>
  <si>
    <t xml:space="preserve">GBONSOU T. Sylvère</t>
  </si>
  <si>
    <t xml:space="preserve">HETCHILI Habib B. Hyacinthe</t>
  </si>
  <si>
    <t xml:space="preserve">HOUENOU Aimé Jésugnon</t>
  </si>
  <si>
    <t xml:space="preserve">HOUNKONNOU M. Emmanuel</t>
  </si>
  <si>
    <t xml:space="preserve">HOUNSA Astrid S. N.</t>
  </si>
  <si>
    <t xml:space="preserve">KOUASSIVI HOUNKPATIN Hilarion</t>
  </si>
  <si>
    <t xml:space="preserve">KOUAVO Y. Jean Baptiste</t>
  </si>
  <si>
    <t xml:space="preserve">KOUVEGLO Alban Romeo</t>
  </si>
  <si>
    <t xml:space="preserve">MABOUDOU M. A. Badiou</t>
  </si>
  <si>
    <t xml:space="preserve">MAHINOU KODJO Enyonam</t>
  </si>
  <si>
    <t xml:space="preserve">NAMIMA Claver T. </t>
  </si>
  <si>
    <t xml:space="preserve">OLOUKOU Serges</t>
  </si>
  <si>
    <t xml:space="preserve">OUANTA Philippe </t>
  </si>
  <si>
    <t xml:space="preserve">TCHARO Yokossi</t>
  </si>
  <si>
    <t xml:space="preserve">HOUNSOU Adolphe</t>
  </si>
  <si>
    <t xml:space="preserve">KOUTON Adolphe Raoul</t>
  </si>
  <si>
    <t xml:space="preserve">YOKOSSI KOUANDETE Tchowe</t>
  </si>
  <si>
    <t xml:space="preserve">AHIDE Z. Théophile</t>
  </si>
  <si>
    <t xml:space="preserve">ALAVO Angelos. Gérard </t>
  </si>
  <si>
    <t xml:space="preserve">ATTANGBE M. Aristide C.T.</t>
  </si>
  <si>
    <t xml:space="preserve">AVENON Constant</t>
  </si>
  <si>
    <t xml:space="preserve">AYAKPON DON Ulrich</t>
  </si>
  <si>
    <t xml:space="preserve">AYAKPON M. G. Aesène</t>
  </si>
  <si>
    <t xml:space="preserve">CHABI SIDI W. Azedine </t>
  </si>
  <si>
    <t xml:space="preserve">DANHOUEGNON D. Syvestre</t>
  </si>
  <si>
    <t xml:space="preserve">DEGLA T. Martial</t>
  </si>
  <si>
    <t xml:space="preserve">DJIDAHO Moïse</t>
  </si>
  <si>
    <t xml:space="preserve">EDAH Coffi Rose</t>
  </si>
  <si>
    <t xml:space="preserve">FOLLY Mesmin</t>
  </si>
  <si>
    <t xml:space="preserve">GBAGUIDI Gerard Martial</t>
  </si>
  <si>
    <t xml:space="preserve">GBAHANYASSI Yves Davy</t>
  </si>
  <si>
    <t xml:space="preserve">GOUNOUDE N. Hébert O. </t>
  </si>
  <si>
    <t xml:space="preserve">HEDOKINGBE Juste S.</t>
  </si>
  <si>
    <t xml:space="preserve">HOUNSOUVI Z. D. Adolphe</t>
  </si>
  <si>
    <t xml:space="preserve">KASSOUIN Assana </t>
  </si>
  <si>
    <t xml:space="preserve">MESSANH Aude Grégoire </t>
  </si>
  <si>
    <t xml:space="preserve">OROU KOBORO Bachirou</t>
  </si>
  <si>
    <t xml:space="preserve">SETONDJI Tamègnon Mariano</t>
  </si>
  <si>
    <t xml:space="preserve">ZANNOU S. O. Bertrand</t>
  </si>
  <si>
    <t xml:space="preserve">ZOUNTOUNNOU Aimé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</si>
  <si>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GENIE ELECTRIQUE</t>
    </r>
  </si>
  <si>
    <t xml:space="preserve">ADIKPETO C. B. Crespin</t>
  </si>
  <si>
    <t xml:space="preserve">ADJOVI Ange Gildas</t>
  </si>
  <si>
    <t xml:space="preserve">AIZANNON  François</t>
  </si>
  <si>
    <t xml:space="preserve">ASSANI  Osseni </t>
  </si>
  <si>
    <t xml:space="preserve">CODO Eusèbe Roch</t>
  </si>
  <si>
    <t xml:space="preserve">DASSI Geneviève</t>
  </si>
  <si>
    <t xml:space="preserve">DATONDJI Eusèbe Hyppolite</t>
  </si>
  <si>
    <t xml:space="preserve">DOSSA VODJO Daniel</t>
  </si>
  <si>
    <t xml:space="preserve">DOVONOU Debora K. Bernadette</t>
  </si>
  <si>
    <t xml:space="preserve">EDOH K. G. Ambroise</t>
  </si>
  <si>
    <t xml:space="preserve">GODAN A Fréderic</t>
  </si>
  <si>
    <t xml:space="preserve">HOUEDANOU S. Berthe</t>
  </si>
  <si>
    <t xml:space="preserve">KOUDAFADE Y. Mathieu</t>
  </si>
  <si>
    <t xml:space="preserve">KINKPE Gildas Didier</t>
  </si>
  <si>
    <t xml:space="preserve">M'PO Dinté</t>
  </si>
  <si>
    <t xml:space="preserve">NAWANA Constant</t>
  </si>
  <si>
    <t xml:space="preserve">SOUNON LAMISSI Véronique</t>
  </si>
  <si>
    <t xml:space="preserve">TOHINLO Yves</t>
  </si>
  <si>
    <t xml:space="preserve">ZANNOU Eugène</t>
  </si>
  <si>
    <t xml:space="preserve">ADJAKPE Codjo Paulin</t>
  </si>
  <si>
    <t xml:space="preserve">ADJANOHOUN M. . Zoulkifl AKAMBI</t>
  </si>
  <si>
    <t xml:space="preserve">AGBADJAGAN Victor Marcel</t>
  </si>
  <si>
    <t xml:space="preserve">ATCHA NOUGBOGNON Elie</t>
  </si>
  <si>
    <t xml:space="preserve">BABA ABDOU Halidou</t>
  </si>
  <si>
    <t xml:space="preserve">CHOGOLOU Bidjokè Yvonne</t>
  </si>
  <si>
    <t xml:space="preserve">DAKOSSI Constant</t>
  </si>
  <si>
    <t xml:space="preserve">DJABOUTOUBOUTOU Mansourou</t>
  </si>
  <si>
    <t xml:space="preserve">EZROU Appolinaire Koffi</t>
  </si>
  <si>
    <t xml:space="preserve">FANDOHAN S. Donald</t>
  </si>
  <si>
    <t xml:space="preserve">FATON Ossanou Come</t>
  </si>
  <si>
    <t xml:space="preserve">GBENAHOU Vinongbe Placide</t>
  </si>
  <si>
    <t xml:space="preserve">GBETOUNOU K. Aubin</t>
  </si>
  <si>
    <t xml:space="preserve">HOUNGUE V. Dénis</t>
  </si>
  <si>
    <t xml:space="preserve">KITIHOUN Michel </t>
  </si>
  <si>
    <t xml:space="preserve">TCHOUMADO TOHOSSI Rodolphe</t>
  </si>
  <si>
    <t xml:space="preserve">TOGBE William </t>
  </si>
  <si>
    <t xml:space="preserve">AHONOUKOUN Médard </t>
  </si>
  <si>
    <t xml:space="preserve">SAÏZONOU Narcisse S.</t>
  </si>
  <si>
    <t xml:space="preserve">TOTONGNON AGOSSOU René Jules </t>
  </si>
  <si>
    <t xml:space="preserve">TOUNGAKOUAGOU K. Sokoka </t>
  </si>
  <si>
    <t xml:space="preserve">YEMADJRO Juste</t>
  </si>
  <si>
    <t xml:space="preserve">AGBOTON J. Euloge Narcisse G. S.</t>
  </si>
  <si>
    <t xml:space="preserve">AISSOUN ADODIGBE Francis Vivien</t>
  </si>
  <si>
    <t xml:space="preserve">ANIAMBOSSOU Coffi Dénis</t>
  </si>
  <si>
    <t xml:space="preserve">BAGBONON M. Thurmol Mea</t>
  </si>
  <si>
    <t xml:space="preserve">BIO Mantani</t>
  </si>
  <si>
    <t xml:space="preserve">DAVODOUN T. Constantin</t>
  </si>
  <si>
    <t xml:space="preserve">DEGILA Gisèle Francine Alice G.</t>
  </si>
  <si>
    <t xml:space="preserve">GUEDOU Pascal Bernadin</t>
  </si>
  <si>
    <t xml:space="preserve">HOUNDJO E. C. Cyrille</t>
  </si>
  <si>
    <t xml:space="preserve">HOUNGBADJI Christian Eunis E. T.</t>
  </si>
  <si>
    <t xml:space="preserve">KANGNI I. Jacob F.</t>
  </si>
  <si>
    <t xml:space="preserve">KOTTIN Stanislas G.</t>
  </si>
  <si>
    <t xml:space="preserve">SEDAMI Sègbédji Bertrand</t>
  </si>
  <si>
    <t xml:space="preserve">SESSOU F. I. Rolande</t>
  </si>
  <si>
    <t xml:space="preserve">SOSSOU S. Francis</t>
  </si>
  <si>
    <t xml:space="preserve">SOUNKOTO Vincent Florent</t>
  </si>
  <si>
    <t xml:space="preserve">TCHEKPE Emmanuel</t>
  </si>
  <si>
    <t xml:space="preserve">HINGLO M. Elvis</t>
  </si>
  <si>
    <t xml:space="preserve">TOFFODJI Blaise</t>
  </si>
  <si>
    <t xml:space="preserve">ADEBI Abbas</t>
  </si>
  <si>
    <t xml:space="preserve">ZINZINDOHOUE Mahouwètin Tobi S.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</si>
  <si>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HYGIENE ET CONTRÔLE DE QUALITE DES DENREES ALIMENTAIRES</t>
    </r>
  </si>
  <si>
    <t xml:space="preserve">AFFOUDJI DJIGBO Louis</t>
  </si>
  <si>
    <t xml:space="preserve">BOKOSSA Genevieve</t>
  </si>
  <si>
    <t xml:space="preserve">DOHONOU Delphin</t>
  </si>
  <si>
    <t xml:space="preserve">GBODO D. Valerie</t>
  </si>
  <si>
    <t xml:space="preserve">GNANGUESSY Renaud</t>
  </si>
  <si>
    <t xml:space="preserve">KODJO Dénise Gbèdossou</t>
  </si>
  <si>
    <t xml:space="preserve">LATOUNDJI Laetitia Annie I. Carolle</t>
  </si>
  <si>
    <t xml:space="preserve">LEKE Viros Doudji Bariou</t>
  </si>
  <si>
    <t xml:space="preserve">MOUSSA Rafiatou</t>
  </si>
  <si>
    <t xml:space="preserve">SANNI ALAO Ramanou A.</t>
  </si>
  <si>
    <t xml:space="preserve">VIAINON H. A. Felicité</t>
  </si>
  <si>
    <t xml:space="preserve">ADOLIGBE Aubierge</t>
  </si>
  <si>
    <t xml:space="preserve">AGOHOUNDJE E. Hector Espero</t>
  </si>
  <si>
    <t xml:space="preserve">ALLADAYE Sènan Clotilde</t>
  </si>
  <si>
    <t xml:space="preserve">HODONOU A. Robert</t>
  </si>
  <si>
    <t xml:space="preserve">HOUNDJI O. Raoul K.</t>
  </si>
  <si>
    <t xml:space="preserve">ISSIFOU B. Abdoulaye</t>
  </si>
  <si>
    <t xml:space="preserve">KIATTI T. Crespin</t>
  </si>
  <si>
    <t xml:space="preserve">LANLENOU Elvire L. M.</t>
  </si>
  <si>
    <t xml:space="preserve">MAHOUNON Laure Semevo</t>
  </si>
  <si>
    <t xml:space="preserve">MARTINS K. Romaric</t>
  </si>
  <si>
    <t xml:space="preserve">MEDEBAHO M. Dieudonné</t>
  </si>
  <si>
    <t xml:space="preserve">NOUDAMADJO Yollande M. W.</t>
  </si>
  <si>
    <t xml:space="preserve">OTCHOUN D. Chrysante C.</t>
  </si>
  <si>
    <t xml:space="preserve">SOGNON Juliette</t>
  </si>
  <si>
    <t xml:space="preserve">SOSSOU D. V. Pamphile</t>
  </si>
  <si>
    <t xml:space="preserve">WANTOFIO Corneille</t>
  </si>
  <si>
    <t xml:space="preserve">KPANOU Rosalie</t>
  </si>
  <si>
    <t xml:space="preserve">ACHOUKE W. Flora O.</t>
  </si>
  <si>
    <t xml:space="preserve">AGBATCHI Yvette O.A.</t>
  </si>
  <si>
    <t xml:space="preserve">AGOÏNON C. Elisée</t>
  </si>
  <si>
    <t xml:space="preserve">ALLOGNON Laurent</t>
  </si>
  <si>
    <t xml:space="preserve">ALLOGNON René Y. Enassouwan</t>
  </si>
  <si>
    <t xml:space="preserve">ASSANI Mohamed</t>
  </si>
  <si>
    <t xml:space="preserve">BAOUA SADOU Zakiatou</t>
  </si>
  <si>
    <t xml:space="preserve">DEBLEO L. Sylvère</t>
  </si>
  <si>
    <t xml:space="preserve">FAGNISSE A. Fernand</t>
  </si>
  <si>
    <t xml:space="preserve">HOUNKOKOE M. E. Thomas</t>
  </si>
  <si>
    <t xml:space="preserve">HOUNKPE Sébastiennne</t>
  </si>
  <si>
    <t xml:space="preserve">HOUNTONDJI Nicolas</t>
  </si>
  <si>
    <t xml:space="preserve">KOSSA Juliette</t>
  </si>
  <si>
    <t xml:space="preserve">LEGUEDE K. Jules</t>
  </si>
  <si>
    <t xml:space="preserve">MIGNANWANDE OUSSOU Anselme M.</t>
  </si>
  <si>
    <t xml:space="preserve">MONLIQUI D. Colette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</si>
  <si>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ANALYSES BIOMEDICALES</t>
    </r>
  </si>
  <si>
    <t xml:space="preserve">AGBADJA O. Claurie Ashley</t>
  </si>
  <si>
    <t xml:space="preserve">AKOTEGNON G. Mireille Mathilde</t>
  </si>
  <si>
    <t xml:space="preserve">ASSOUWAN Alice</t>
  </si>
  <si>
    <t xml:space="preserve">BARRA Faycal</t>
  </si>
  <si>
    <t xml:space="preserve">CAKPO Comlan Gérôme</t>
  </si>
  <si>
    <t xml:space="preserve">DADJO D. H. Evrard</t>
  </si>
  <si>
    <t xml:space="preserve">GBAGUIDI S. Basile</t>
  </si>
  <si>
    <t xml:space="preserve">HOUNGNON Dorothée</t>
  </si>
  <si>
    <t xml:space="preserve">NOUGBODOHOUE Aristide</t>
  </si>
  <si>
    <t xml:space="preserve">OKE Finangnon Magloire</t>
  </si>
  <si>
    <t xml:space="preserve">TAMOU Nehemie</t>
  </si>
  <si>
    <t xml:space="preserve">TOSSA Monsoyi Reine</t>
  </si>
  <si>
    <t xml:space="preserve">ZOHOUN G. Sylvie</t>
  </si>
  <si>
    <t xml:space="preserve">YANTIKOUA Sophie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</si>
  <si>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BIO HYGIENNE ET SECURITE SANITAIRE</t>
    </r>
  </si>
  <si>
    <t xml:space="preserve">ABISSI A.A.Diane</t>
  </si>
  <si>
    <t xml:space="preserve">ADAGLO Abdon</t>
  </si>
  <si>
    <t xml:space="preserve">ADELAKOUN Mamert</t>
  </si>
  <si>
    <t xml:space="preserve">ADJAGNISSODE Toussaint</t>
  </si>
  <si>
    <t xml:space="preserve">ADJATAN A. Y. Hermine</t>
  </si>
  <si>
    <t xml:space="preserve">AGUIAR ANNY Monrenike</t>
  </si>
  <si>
    <t xml:space="preserve">ALIA Bernis H. A. M.</t>
  </si>
  <si>
    <t xml:space="preserve">ANIAMBOSSOU Eudoxie A.A.S.</t>
  </si>
  <si>
    <t xml:space="preserve">AZANMASSO Boniface</t>
  </si>
  <si>
    <t xml:space="preserve">BA-KASSIN Marceline</t>
  </si>
  <si>
    <t xml:space="preserve">BAYI Freitas</t>
  </si>
  <si>
    <t xml:space="preserve">DAKPOGAN SESSI Leonie</t>
  </si>
  <si>
    <t xml:space="preserve">DAVO Kevin François D'Assise</t>
  </si>
  <si>
    <t xml:space="preserve">DJOSSOU A. Ayissatou</t>
  </si>
  <si>
    <t xml:space="preserve">DOSSOUVI G.R.Sponsa</t>
  </si>
  <si>
    <t xml:space="preserve">FAGLA Gwaladys M.A.M.</t>
  </si>
  <si>
    <t xml:space="preserve">FAMAGA Philomène A.</t>
  </si>
  <si>
    <t xml:space="preserve">GBEYETIN SETONDJI Cyprien</t>
  </si>
  <si>
    <t xml:space="preserve">HOUNTIKPO Sessito Sylvie B.</t>
  </si>
  <si>
    <t xml:space="preserve">HOUNTONDJI S. Rosette</t>
  </si>
  <si>
    <t xml:space="preserve">KPONON TOCHEME Irène Adeline</t>
  </si>
  <si>
    <t xml:space="preserve">LIAMIDI Raïmatou</t>
  </si>
  <si>
    <t xml:space="preserve">LOKONON Laurette</t>
  </si>
  <si>
    <t xml:space="preserve">MELIHO Irené Sabine</t>
  </si>
  <si>
    <t xml:space="preserve">MIDOKPO H.B.Laétitia</t>
  </si>
  <si>
    <t xml:space="preserve">MOUMOUNI Daouda</t>
  </si>
  <si>
    <t xml:space="preserve">NOUHOUMON Fitila Clément</t>
  </si>
  <si>
    <t xml:space="preserve">ROINGUEM MIDANA Berthe</t>
  </si>
  <si>
    <t xml:space="preserve">SAÏZONOU Rosemonde</t>
  </si>
  <si>
    <t xml:space="preserve">SALAMI Azizath</t>
  </si>
  <si>
    <t xml:space="preserve">SAVI Irene</t>
  </si>
  <si>
    <t xml:space="preserve">SEMEVO Nadine Armande A.</t>
  </si>
  <si>
    <t xml:space="preserve">SOGLO Fernandine Justine</t>
  </si>
  <si>
    <t xml:space="preserve">VIDJANNAGNI S. Victor</t>
  </si>
  <si>
    <t xml:space="preserve">VIGNON Valerie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</si>
  <si>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BIO HYGIENNE ET SECURITE SANITAIRE</t>
    </r>
  </si>
  <si>
    <t xml:space="preserve">ABDOULAYE F. Tamimou</t>
  </si>
  <si>
    <t xml:space="preserve">ABOGOURIN W. Fatimata</t>
  </si>
  <si>
    <t xml:space="preserve">AGBOWAI B. Armelle</t>
  </si>
  <si>
    <t xml:space="preserve">AHOUANDJINOU Romea</t>
  </si>
  <si>
    <t xml:space="preserve">AHOUANNOU Enagnon Jocelyne</t>
  </si>
  <si>
    <t xml:space="preserve">AHOYO J. S. Paulette Sylvie</t>
  </si>
  <si>
    <t xml:space="preserve">ALINGO AYABA Irene Solange</t>
  </si>
  <si>
    <t xml:space="preserve">ALLE K. Didier</t>
  </si>
  <si>
    <t xml:space="preserve">ALTINI Foussena </t>
  </si>
  <si>
    <t xml:space="preserve">AMOUSSOU Chantale Christiane</t>
  </si>
  <si>
    <t xml:space="preserve">ANATO Francky</t>
  </si>
  <si>
    <t xml:space="preserve">ASSAH AGBOMADJI Etienne</t>
  </si>
  <si>
    <t xml:space="preserve">ASSAN Mesmin</t>
  </si>
  <si>
    <t xml:space="preserve">ATIOUKPE AFFOUDJI S.C. Leonard</t>
  </si>
  <si>
    <t xml:space="preserve">ATTIBA C. Wilfrief</t>
  </si>
  <si>
    <t xml:space="preserve">BADOU A. S. R. Chantal</t>
  </si>
  <si>
    <t xml:space="preserve">BATCHO A. Lucienne</t>
  </si>
  <si>
    <t xml:space="preserve">BEHANZIN Josiane Bai Nadine</t>
  </si>
  <si>
    <t xml:space="preserve">BIO ADAM Raliatou</t>
  </si>
  <si>
    <t xml:space="preserve">BOSSOU S. Aimé Justin</t>
  </si>
  <si>
    <t xml:space="preserve">BOTCHI C. Alselme</t>
  </si>
  <si>
    <t xml:space="preserve">DAOUDA Salamatou</t>
  </si>
  <si>
    <t xml:space="preserve">DE SOUZA O. Judith</t>
  </si>
  <si>
    <t xml:space="preserve">DEGBELO Y. Nadege Carine</t>
  </si>
  <si>
    <t xml:space="preserve">EGOUNLETY SARA Oluwa Cheyi</t>
  </si>
  <si>
    <t xml:space="preserve">GAÏ Martine</t>
  </si>
  <si>
    <t xml:space="preserve">GBAGUIDI Doris</t>
  </si>
  <si>
    <t xml:space="preserve">GBEGBE Myrlène</t>
  </si>
  <si>
    <t xml:space="preserve">GBEMANON Videva Lydie</t>
  </si>
  <si>
    <t xml:space="preserve">GBENOU Elsie Paula</t>
  </si>
  <si>
    <t xml:space="preserve">GBETO Laure AMADJI</t>
  </si>
  <si>
    <t xml:space="preserve">GNONKE Medard Comlan</t>
  </si>
  <si>
    <t xml:space="preserve">GOUVI A. Wilfried</t>
  </si>
  <si>
    <t xml:space="preserve">HENRY Faïth AYODELE M.</t>
  </si>
  <si>
    <t xml:space="preserve">HOUNSA S. Nadine</t>
  </si>
  <si>
    <t xml:space="preserve">HOUNTONGBE F. Douce Gloria</t>
  </si>
  <si>
    <t xml:space="preserve">KLELE G. Christine</t>
  </si>
  <si>
    <t xml:space="preserve">KOUASSI AMIN Louise Fideline</t>
  </si>
  <si>
    <t xml:space="preserve">KOUTCHIKA Tanagnon Olga</t>
  </si>
  <si>
    <t xml:space="preserve">LAGNIKA Yazid Akin-Ola</t>
  </si>
  <si>
    <t xml:space="preserve">LIMA Lucine Sandrine</t>
  </si>
  <si>
    <t xml:space="preserve">MAMADOU ODJO Yvette Tatiana</t>
  </si>
  <si>
    <t xml:space="preserve">MEHOUNOU Yemalin Edith</t>
  </si>
  <si>
    <t xml:space="preserve">MIGAN Francine Almandine Y. </t>
  </si>
  <si>
    <t xml:space="preserve">MIGAN GANDONOU T. Edwige </t>
  </si>
  <si>
    <t xml:space="preserve">OLIKOYI  ADUKE Oladjobi Y. O.</t>
  </si>
  <si>
    <t xml:space="preserve">OREKAN ADEYEMI Adjikè Charlotte</t>
  </si>
  <si>
    <t xml:space="preserve">OREKAN R. K. Mariette</t>
  </si>
  <si>
    <t xml:space="preserve">PIO Adiatou</t>
  </si>
  <si>
    <t xml:space="preserve">PORIMATE N. Dieudonné</t>
  </si>
  <si>
    <t xml:space="preserve">SEFOU Moheimed</t>
  </si>
  <si>
    <t xml:space="preserve">SOLEVO Francois</t>
  </si>
  <si>
    <t xml:space="preserve">TOHOUE Nestor</t>
  </si>
  <si>
    <t xml:space="preserve">TOMAVO Mireille Rachelle</t>
  </si>
  <si>
    <t xml:space="preserve">TOTTIN GBETONDJI Frejus</t>
  </si>
  <si>
    <t xml:space="preserve">TOVIDE J. Celestine</t>
  </si>
  <si>
    <t xml:space="preserve">VODOUNSI O. Serge</t>
  </si>
  <si>
    <t xml:space="preserve">WALIOU Moucharafou</t>
  </si>
  <si>
    <t xml:space="preserve">ZANNOU Y Nadine Estelle</t>
  </si>
  <si>
    <t xml:space="preserve">AGOSSOU N. Prosper</t>
  </si>
  <si>
    <t xml:space="preserve">AKIBOU AKANNI Iliyas</t>
  </si>
  <si>
    <t xml:space="preserve">ARO K. Isabelle</t>
  </si>
  <si>
    <t xml:space="preserve">ASSANKPON Emeline Chantal P.</t>
  </si>
  <si>
    <t xml:space="preserve">ASSOCLE Henriette M.</t>
  </si>
  <si>
    <t xml:space="preserve">AVOHOU Mathieu</t>
  </si>
  <si>
    <t xml:space="preserve">BABADJIHOU S. Françoise F.</t>
  </si>
  <si>
    <t xml:space="preserve">BIO MORA Kassim</t>
  </si>
  <si>
    <t xml:space="preserve">BOKO A. Edouard</t>
  </si>
  <si>
    <t xml:space="preserve">CAPO CHICHI Edouard Norbert</t>
  </si>
  <si>
    <t xml:space="preserve">CHALLA Anasthasie</t>
  </si>
  <si>
    <t xml:space="preserve">DJEHOUNKPETE L. Paul</t>
  </si>
  <si>
    <t xml:space="preserve">FATON H. Clément</t>
  </si>
  <si>
    <t xml:space="preserve">GLELE-MELE G.T.Franck Comlan</t>
  </si>
  <si>
    <t xml:space="preserve">HOSSOU Noukpo</t>
  </si>
  <si>
    <t xml:space="preserve">HOUNSOU E. Solange</t>
  </si>
  <si>
    <t xml:space="preserve">HOUNSOU Ghislaine Sylvie S.</t>
  </si>
  <si>
    <t xml:space="preserve">NOUAGOVI Firmine E.</t>
  </si>
  <si>
    <t xml:space="preserve">OKE S. Olivier</t>
  </si>
  <si>
    <t xml:space="preserve">SEFOUNON Richard</t>
  </si>
  <si>
    <t xml:space="preserve">TAMEGNON Bertille</t>
  </si>
  <si>
    <t xml:space="preserve">TOKPANOU K. Hubert Carbel</t>
  </si>
  <si>
    <t xml:space="preserve">TOVIDE Dona Alphonsine</t>
  </si>
  <si>
    <t xml:space="preserve">ZINSOU Michel</t>
  </si>
  <si>
    <t xml:space="preserve">ZOGBLATIN Celestin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</si>
  <si>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ANALYSE BIOMEDICALE</t>
    </r>
  </si>
  <si>
    <t xml:space="preserve">ADJASSA A. Ruth P.</t>
  </si>
  <si>
    <t xml:space="preserve">ADJOVI Christiane Raymonde</t>
  </si>
  <si>
    <t xml:space="preserve">AGBANGNAN Moïse M.</t>
  </si>
  <si>
    <t xml:space="preserve">AMETEPE Yaovi Fabius</t>
  </si>
  <si>
    <t xml:space="preserve">AMOUZOUVI K. Elisabeth</t>
  </si>
  <si>
    <t xml:space="preserve">ASSOGBA A. Sandrine</t>
  </si>
  <si>
    <t xml:space="preserve">ATCHOGNON Thérèse</t>
  </si>
  <si>
    <t xml:space="preserve">ATOESSI Laurence</t>
  </si>
  <si>
    <t xml:space="preserve">BAGAN G. Benjamin</t>
  </si>
  <si>
    <t xml:space="preserve">BIO YERIMA Kora </t>
  </si>
  <si>
    <t xml:space="preserve">BOKOSSA Xavier Dumas Felix.</t>
  </si>
  <si>
    <t xml:space="preserve">DAZOCLANCLOUNON Honore</t>
  </si>
  <si>
    <t xml:space="preserve">DAZOGBO Stanislas N.</t>
  </si>
  <si>
    <t xml:space="preserve">DEDO A. Sandrine</t>
  </si>
  <si>
    <t xml:space="preserve">DOTOU Assou Pamphile</t>
  </si>
  <si>
    <t xml:space="preserve">EDAH Pauline</t>
  </si>
  <si>
    <t xml:space="preserve">GANYEHESSOU A. Blandine</t>
  </si>
  <si>
    <t xml:space="preserve">GAUTHO CLAUDINE Hermine A.</t>
  </si>
  <si>
    <t xml:space="preserve">HOUSSOU M. Marcelle</t>
  </si>
  <si>
    <t xml:space="preserve">KOUTON Blandine M.</t>
  </si>
  <si>
    <t xml:space="preserve">KPEDEHOUNSI C. Alain</t>
  </si>
  <si>
    <t xml:space="preserve">MARTINS Chantal Pascaline</t>
  </si>
  <si>
    <t xml:space="preserve">SALISSOU Ali Faroundine</t>
  </si>
  <si>
    <t xml:space="preserve">SAMSON ALBERIC T. Wilfrid</t>
  </si>
  <si>
    <t xml:space="preserve">SEGUE B. Viviane</t>
  </si>
  <si>
    <r>
      <rPr>
        <sz val="12"/>
        <color theme="1"/>
        <rFont val="Arial Narrow"/>
        <family val="0"/>
        <charset val="134"/>
      </rPr>
      <t xml:space="preserve">SOSSA C</t>
    </r>
    <r>
      <rPr>
        <sz val="11"/>
        <color theme="1"/>
        <rFont val="Arial Narrow"/>
        <family val="0"/>
        <charset val="134"/>
      </rPr>
      <t xml:space="preserve">HARRISSE</t>
    </r>
  </si>
  <si>
    <t xml:space="preserve">SOSSOUKPE AMEDE Priscilla Gisele</t>
  </si>
  <si>
    <t xml:space="preserve">TCHOBO Hervé Yves M. O.</t>
  </si>
  <si>
    <t xml:space="preserve">TUYABA T. Valère</t>
  </si>
  <si>
    <t xml:space="preserve">VODOUNOU M. Arsene Maxime</t>
  </si>
  <si>
    <t xml:space="preserve">WHANNOU Y. Germaine Justine</t>
  </si>
  <si>
    <t xml:space="preserve">YACOUBOU Zakari A.</t>
  </si>
  <si>
    <t xml:space="preserve">ZOSSOU S. B. Arnaud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</si>
  <si>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ANIMAL</t>
    </r>
  </si>
  <si>
    <t xml:space="preserve">ADAM AMADOU Abdoul Kader</t>
  </si>
  <si>
    <t xml:space="preserve">ASSOGBAKPE Remy</t>
  </si>
  <si>
    <t xml:space="preserve">DASSOU A. Bénédicte</t>
  </si>
  <si>
    <t xml:space="preserve">EDIKOU Odette</t>
  </si>
  <si>
    <t xml:space="preserve">SABI SABI Abdel-Faïçal</t>
  </si>
  <si>
    <t xml:space="preserve">THOO Béatrice Essèdo Appolline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</si>
  <si>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ANIMALE</t>
    </r>
  </si>
  <si>
    <t xml:space="preserve">ABOUI Geraud Joanexe</t>
  </si>
  <si>
    <t xml:space="preserve">AGOLIGAN M. Romaric</t>
  </si>
  <si>
    <t xml:space="preserve">BIO ZATO Lafia</t>
  </si>
  <si>
    <t xml:space="preserve">DJIKINHEDO Elisabeth</t>
  </si>
  <si>
    <t xml:space="preserve">GNIMAVO Edwige</t>
  </si>
  <si>
    <t xml:space="preserve">HOUNYOVI Y. Rolande Estelle</t>
  </si>
  <si>
    <t xml:space="preserve">KOBA A. O. Franck</t>
  </si>
  <si>
    <t xml:space="preserve">LAWANI T. Rafiou</t>
  </si>
  <si>
    <t xml:space="preserve">KASSA T. Justin</t>
  </si>
  <si>
    <t xml:space="preserve">PEDRO A. Safal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</si>
  <si>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GEOMETRE TOPOGRAPHE</t>
    </r>
  </si>
  <si>
    <t xml:space="preserve">ALITAKOUN Bain Emmanuel</t>
  </si>
  <si>
    <t xml:space="preserve">DJOKPE Comlan Ferdinand</t>
  </si>
  <si>
    <t xml:space="preserve">AGUIAR C. Thibaut</t>
  </si>
  <si>
    <t xml:space="preserve">ALLIDJINOU W. Gerard</t>
  </si>
  <si>
    <t xml:space="preserve">ATTAKPA Augustin</t>
  </si>
  <si>
    <t xml:space="preserve">OGOUBIYI C. Samson</t>
  </si>
  <si>
    <t xml:space="preserve">GNANSOUNOU Paulin Vidéhouenou</t>
  </si>
  <si>
    <t xml:space="preserve">AGBODEKA MELE Selm</t>
  </si>
  <si>
    <t xml:space="preserve">HONVOU Amankpe Charles</t>
  </si>
  <si>
    <t xml:space="preserve">LICENCE PROFESSIONNELLE 2016-2017</t>
  </si>
  <si>
    <t xml:space="preserve">ANANI Charles Lebon</t>
  </si>
  <si>
    <t xml:space="preserve">DOSSOU Akouègnikan Fabrice</t>
  </si>
  <si>
    <t xml:space="preserve">HOUINSA Dominique A.M.</t>
  </si>
  <si>
    <t xml:space="preserve">KOUCHOELO N. Tobias</t>
  </si>
  <si>
    <t xml:space="preserve">SEDJRO Gérard</t>
  </si>
  <si>
    <t xml:space="preserve">SETOSSI Severin</t>
  </si>
  <si>
    <t xml:space="preserve">LEKOYO M. Hippolyte</t>
  </si>
  <si>
    <t xml:space="preserve">DAMALA M. Djamal Deen</t>
  </si>
  <si>
    <t xml:space="preserve">WOROU B. K. Franc</t>
  </si>
  <si>
    <t xml:space="preserve">1ère Année</t>
  </si>
  <si>
    <t xml:space="preserve">DJOMAMOU Y. Amel Prisel(redoublant)</t>
  </si>
  <si>
    <t xml:space="preserve">GNANGUESSY Reaud</t>
  </si>
  <si>
    <t xml:space="preserve">NOUNDJA Abdoulaye</t>
  </si>
  <si>
    <t xml:space="preserve">SABI Abdel Faïçal</t>
  </si>
  <si>
    <t xml:space="preserve">THOO Beatrice E. Apolline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</si>
  <si>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MAINTENANCE INDUSTRIELLE</t>
    </r>
  </si>
  <si>
    <t xml:space="preserve">HINGLO Mèssomon Elvis(redblant)</t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</si>
  <si>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PRODUCTION VEGETALE</t>
    </r>
  </si>
  <si>
    <r>
      <rPr>
        <sz val="12"/>
        <color rgb="FF000000"/>
        <rFont val="Calibri"/>
        <family val="0"/>
        <charset val="134"/>
      </rPr>
      <t xml:space="preserve">AHOLOUKPE </t>
    </r>
    <r>
      <rPr>
        <sz val="12"/>
        <color rgb="FF000000"/>
        <rFont val="Calibri"/>
        <family val="0"/>
        <charset val="1"/>
      </rPr>
      <t xml:space="preserve">Mindessè Ehouédé Edwige</t>
    </r>
  </si>
  <si>
    <r>
      <rPr>
        <sz val="12"/>
        <color rgb="FF000000"/>
        <rFont val="Calibri"/>
        <family val="0"/>
        <charset val="134"/>
      </rPr>
      <t xml:space="preserve">AMETEPE </t>
    </r>
    <r>
      <rPr>
        <sz val="12"/>
        <color rgb="FF000000"/>
        <rFont val="Calibri"/>
        <family val="0"/>
        <charset val="1"/>
      </rPr>
      <t xml:space="preserve">Hermesse Mirabelle</t>
    </r>
  </si>
  <si>
    <r>
      <rPr>
        <sz val="12"/>
        <color rgb="FF000000"/>
        <rFont val="Calibri"/>
        <family val="0"/>
        <charset val="134"/>
      </rPr>
      <t xml:space="preserve">AMOULE </t>
    </r>
    <r>
      <rPr>
        <sz val="12"/>
        <color rgb="FF000000"/>
        <rFont val="Calibri"/>
        <family val="0"/>
        <charset val="1"/>
      </rPr>
      <t xml:space="preserve">A. Odile</t>
    </r>
  </si>
  <si>
    <r>
      <rPr>
        <sz val="12"/>
        <color rgb="FF000000"/>
        <rFont val="Calibri"/>
        <family val="0"/>
        <charset val="134"/>
      </rPr>
      <t xml:space="preserve">AVOCETIEN </t>
    </r>
    <r>
      <rPr>
        <sz val="12"/>
        <color rgb="FF000000"/>
        <rFont val="Calibri"/>
        <family val="0"/>
        <charset val="1"/>
      </rPr>
      <t xml:space="preserve">Irmine Yabo Vicentia Gloria</t>
    </r>
  </si>
  <si>
    <r>
      <rPr>
        <sz val="12"/>
        <color rgb="FF000000"/>
        <rFont val="Calibri"/>
        <family val="0"/>
        <charset val="134"/>
      </rPr>
      <t xml:space="preserve">BIO SENON WASSAGUI </t>
    </r>
    <r>
      <rPr>
        <sz val="12"/>
        <color rgb="FF000000"/>
        <rFont val="Calibri"/>
        <family val="0"/>
        <charset val="1"/>
      </rPr>
      <t xml:space="preserve">Phillipe</t>
    </r>
  </si>
  <si>
    <r>
      <rPr>
        <sz val="12"/>
        <color rgb="FF000000"/>
        <rFont val="Calibri"/>
        <family val="0"/>
        <charset val="134"/>
      </rPr>
      <t xml:space="preserve">COMBETTO </t>
    </r>
    <r>
      <rPr>
        <sz val="12"/>
        <color rgb="FF000000"/>
        <rFont val="Calibri"/>
        <family val="0"/>
        <charset val="1"/>
      </rPr>
      <t xml:space="preserve">Yatté  Montand</t>
    </r>
  </si>
  <si>
    <r>
      <rPr>
        <sz val="12"/>
        <color rgb="FF000000"/>
        <rFont val="Calibri"/>
        <family val="0"/>
        <charset val="134"/>
      </rPr>
      <t xml:space="preserve">DEGUENONVO </t>
    </r>
    <r>
      <rPr>
        <sz val="12"/>
        <color rgb="FF000000"/>
        <rFont val="Calibri"/>
        <family val="0"/>
        <charset val="1"/>
      </rPr>
      <t xml:space="preserve">Sènan Doris Marlyse</t>
    </r>
  </si>
  <si>
    <r>
      <rPr>
        <sz val="12"/>
        <color rgb="FF000000"/>
        <rFont val="Calibri"/>
        <family val="0"/>
        <charset val="134"/>
      </rPr>
      <t xml:space="preserve">GBIAN </t>
    </r>
    <r>
      <rPr>
        <sz val="12"/>
        <color rgb="FF000000"/>
        <rFont val="Calibri"/>
        <family val="0"/>
        <charset val="1"/>
      </rPr>
      <t xml:space="preserve">Gnon Nari Nadia</t>
    </r>
  </si>
  <si>
    <r>
      <rPr>
        <sz val="12"/>
        <color rgb="FF000000"/>
        <rFont val="Calibri"/>
        <family val="0"/>
        <charset val="134"/>
      </rPr>
      <t xml:space="preserve">GNIMAGNON </t>
    </r>
    <r>
      <rPr>
        <sz val="12"/>
        <color rgb="FF000000"/>
        <rFont val="Calibri"/>
        <family val="0"/>
        <charset val="1"/>
      </rPr>
      <t xml:space="preserve">Maurice Serge Roland</t>
    </r>
  </si>
  <si>
    <r>
      <rPr>
        <sz val="12"/>
        <color rgb="FF000000"/>
        <rFont val="Calibri"/>
        <family val="0"/>
        <charset val="134"/>
      </rPr>
      <t xml:space="preserve">GUIDI Bio </t>
    </r>
    <r>
      <rPr>
        <sz val="12"/>
        <color rgb="FF000000"/>
        <rFont val="Calibri"/>
        <family val="0"/>
        <charset val="1"/>
      </rPr>
      <t xml:space="preserve">Imorou</t>
    </r>
  </si>
  <si>
    <r>
      <rPr>
        <sz val="12"/>
        <color rgb="FF000000"/>
        <rFont val="Calibri"/>
        <family val="0"/>
        <charset val="134"/>
      </rPr>
      <t xml:space="preserve">KARIM </t>
    </r>
    <r>
      <rPr>
        <sz val="12"/>
        <color rgb="FF000000"/>
        <rFont val="Calibri"/>
        <family val="0"/>
        <charset val="1"/>
      </rPr>
      <t xml:space="preserve">Wahabou</t>
    </r>
  </si>
  <si>
    <r>
      <rPr>
        <sz val="12"/>
        <color rgb="FF000000"/>
        <rFont val="Calibri"/>
        <family val="0"/>
        <charset val="134"/>
      </rPr>
      <t xml:space="preserve">KOUDJANGNIHOUE </t>
    </r>
    <r>
      <rPr>
        <sz val="12"/>
        <color rgb="FF000000"/>
        <rFont val="Calibri"/>
        <family val="0"/>
        <charset val="1"/>
      </rPr>
      <t xml:space="preserve">Devi Aurore Tielle</t>
    </r>
  </si>
  <si>
    <r>
      <rPr>
        <sz val="12"/>
        <color rgb="FF000000"/>
        <rFont val="Calibri"/>
        <family val="0"/>
        <charset val="134"/>
      </rPr>
      <t xml:space="preserve">SABI SIDI </t>
    </r>
    <r>
      <rPr>
        <sz val="12"/>
        <color rgb="FF000000"/>
        <rFont val="Calibri"/>
        <family val="0"/>
        <charset val="1"/>
      </rPr>
      <t xml:space="preserve">Zalfatou</t>
    </r>
  </si>
  <si>
    <r>
      <rPr>
        <sz val="12"/>
        <color rgb="FF000000"/>
        <rFont val="Calibri"/>
        <family val="0"/>
        <charset val="134"/>
      </rPr>
      <t xml:space="preserve">SEGBEDJI </t>
    </r>
    <r>
      <rPr>
        <sz val="12"/>
        <color rgb="FF000000"/>
        <rFont val="Calibri"/>
        <family val="0"/>
        <charset val="1"/>
      </rPr>
      <t xml:space="preserve">Amos</t>
    </r>
  </si>
  <si>
    <r>
      <rPr>
        <sz val="12"/>
        <color rgb="FF000000"/>
        <rFont val="Calibri"/>
        <family val="0"/>
        <charset val="134"/>
      </rPr>
      <t xml:space="preserve">SENOUWA </t>
    </r>
    <r>
      <rPr>
        <sz val="12"/>
        <color rgb="FF000000"/>
        <rFont val="Calibri"/>
        <family val="0"/>
        <charset val="1"/>
      </rPr>
      <t xml:space="preserve">Dèwanou Ambroise</t>
    </r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</si>
  <si>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GENIE CIVIL</t>
    </r>
  </si>
  <si>
    <r>
      <rPr>
        <sz val="12"/>
        <color rgb="FF000000"/>
        <rFont val="Calibri"/>
        <family val="0"/>
        <charset val="134"/>
      </rPr>
      <t xml:space="preserve">ADITE </t>
    </r>
    <r>
      <rPr>
        <sz val="12"/>
        <color rgb="FF000000"/>
        <rFont val="Calibri"/>
        <family val="0"/>
        <charset val="1"/>
      </rPr>
      <t xml:space="preserve">David Bénédicte</t>
    </r>
  </si>
  <si>
    <r>
      <rPr>
        <sz val="12"/>
        <color rgb="FF000000"/>
        <rFont val="Calibri"/>
        <family val="0"/>
        <charset val="134"/>
      </rPr>
      <t xml:space="preserve">ADJAMAÏ </t>
    </r>
    <r>
      <rPr>
        <sz val="12"/>
        <color rgb="FF000000"/>
        <rFont val="Calibri"/>
        <family val="0"/>
        <charset val="1"/>
      </rPr>
      <t xml:space="preserve">Norval Frydose Aristide Sènankpon</t>
    </r>
  </si>
  <si>
    <r>
      <rPr>
        <sz val="12"/>
        <color rgb="FF000000"/>
        <rFont val="Calibri"/>
        <family val="0"/>
        <charset val="134"/>
      </rPr>
      <t xml:space="preserve">AGODY </t>
    </r>
    <r>
      <rPr>
        <sz val="12"/>
        <color rgb="FF000000"/>
        <rFont val="Calibri"/>
        <family val="0"/>
        <charset val="1"/>
      </rPr>
      <t xml:space="preserve">Hototon Sylvain</t>
    </r>
  </si>
  <si>
    <r>
      <rPr>
        <sz val="12"/>
        <color rgb="FF000000"/>
        <rFont val="Calibri"/>
        <family val="0"/>
        <charset val="134"/>
      </rPr>
      <t xml:space="preserve">AGOSSOU </t>
    </r>
    <r>
      <rPr>
        <sz val="12"/>
        <color rgb="FF000000"/>
        <rFont val="Calibri"/>
        <family val="0"/>
        <charset val="1"/>
      </rPr>
      <t xml:space="preserve">Casimir</t>
    </r>
  </si>
  <si>
    <r>
      <rPr>
        <sz val="12"/>
        <color rgb="FF000000"/>
        <rFont val="Calibri"/>
        <family val="0"/>
        <charset val="134"/>
      </rPr>
      <t xml:space="preserve">AÏDEGO </t>
    </r>
    <r>
      <rPr>
        <sz val="12"/>
        <color rgb="FF000000"/>
        <rFont val="Calibri"/>
        <family val="0"/>
        <charset val="1"/>
      </rPr>
      <t xml:space="preserve">Gildas</t>
    </r>
  </si>
  <si>
    <r>
      <rPr>
        <sz val="12"/>
        <color rgb="FFFF0000"/>
        <rFont val="Arial Narrow"/>
        <family val="0"/>
        <charset val="134"/>
      </rPr>
      <t xml:space="preserve">AIDONOUGBO </t>
    </r>
    <r>
      <rPr>
        <sz val="12"/>
        <color rgb="FFFF0000"/>
        <rFont val="Calibri"/>
        <family val="0"/>
        <charset val="1"/>
      </rPr>
      <t xml:space="preserve">F. Martial</t>
    </r>
  </si>
  <si>
    <r>
      <rPr>
        <sz val="12"/>
        <color rgb="FF000000"/>
        <rFont val="Calibri"/>
        <family val="0"/>
        <charset val="134"/>
      </rPr>
      <t xml:space="preserve">AKOGNON </t>
    </r>
    <r>
      <rPr>
        <sz val="12"/>
        <color rgb="FF000000"/>
        <rFont val="Calibri"/>
        <family val="0"/>
        <charset val="1"/>
      </rPr>
      <t xml:space="preserve">Alban H. André</t>
    </r>
  </si>
  <si>
    <r>
      <rPr>
        <sz val="12"/>
        <color rgb="FF000000"/>
        <rFont val="Calibri"/>
        <family val="0"/>
        <charset val="134"/>
      </rPr>
      <t xml:space="preserve">AKPO Oloufèmi </t>
    </r>
    <r>
      <rPr>
        <sz val="12"/>
        <color rgb="FF000000"/>
        <rFont val="Calibri"/>
        <family val="0"/>
        <charset val="1"/>
      </rPr>
      <t xml:space="preserve">T. Wilson</t>
    </r>
  </si>
  <si>
    <r>
      <rPr>
        <sz val="12"/>
        <color rgb="FF000000"/>
        <rFont val="Calibri"/>
        <family val="0"/>
        <charset val="134"/>
      </rPr>
      <t xml:space="preserve">AYENAN </t>
    </r>
    <r>
      <rPr>
        <sz val="12"/>
        <color rgb="FF000000"/>
        <rFont val="Calibri"/>
        <family val="0"/>
        <charset val="1"/>
      </rPr>
      <t xml:space="preserve">Tohouégnon Casimir</t>
    </r>
  </si>
  <si>
    <r>
      <rPr>
        <sz val="12"/>
        <color rgb="FF000000"/>
        <rFont val="Calibri"/>
        <family val="0"/>
        <charset val="134"/>
      </rPr>
      <t xml:space="preserve">BABADJIHOU </t>
    </r>
    <r>
      <rPr>
        <sz val="12"/>
        <color rgb="FF000000"/>
        <rFont val="Calibri"/>
        <family val="0"/>
        <charset val="1"/>
      </rPr>
      <t xml:space="preserve">Maurice Vital</t>
    </r>
  </si>
  <si>
    <r>
      <rPr>
        <sz val="12"/>
        <color rgb="FF000000"/>
        <rFont val="Calibri"/>
        <family val="0"/>
        <charset val="134"/>
      </rPr>
      <t xml:space="preserve">BIO FERI </t>
    </r>
    <r>
      <rPr>
        <sz val="12"/>
        <color rgb="FF000000"/>
        <rFont val="Calibri"/>
        <family val="0"/>
        <charset val="1"/>
      </rPr>
      <t xml:space="preserve">Amidou</t>
    </r>
  </si>
  <si>
    <r>
      <rPr>
        <sz val="12"/>
        <color rgb="FF000000"/>
        <rFont val="Calibri"/>
        <family val="0"/>
        <charset val="134"/>
      </rPr>
      <t xml:space="preserve">DEGNIDE </t>
    </r>
    <r>
      <rPr>
        <sz val="12"/>
        <color rgb="FF000000"/>
        <rFont val="Calibri"/>
        <family val="0"/>
        <charset val="1"/>
      </rPr>
      <t xml:space="preserve">Vincent</t>
    </r>
  </si>
  <si>
    <r>
      <rPr>
        <sz val="12"/>
        <color rgb="FF000000"/>
        <rFont val="Calibri"/>
        <family val="0"/>
        <charset val="134"/>
      </rPr>
      <t xml:space="preserve">DOSSOU </t>
    </r>
    <r>
      <rPr>
        <sz val="12"/>
        <color rgb="FF000000"/>
        <rFont val="Calibri"/>
        <family val="0"/>
        <charset val="1"/>
      </rPr>
      <t xml:space="preserve">Codjo Benjamin</t>
    </r>
  </si>
  <si>
    <r>
      <rPr>
        <sz val="12"/>
        <color rgb="FF000000"/>
        <rFont val="Calibri"/>
        <family val="0"/>
        <charset val="134"/>
      </rPr>
      <t xml:space="preserve">EHAKO </t>
    </r>
    <r>
      <rPr>
        <sz val="12"/>
        <color rgb="FF000000"/>
        <rFont val="Calibri"/>
        <family val="0"/>
        <charset val="1"/>
      </rPr>
      <t xml:space="preserve">Exaucé Paul</t>
    </r>
  </si>
  <si>
    <r>
      <rPr>
        <sz val="12"/>
        <color rgb="FF000000"/>
        <rFont val="Calibri"/>
        <family val="0"/>
        <charset val="134"/>
      </rPr>
      <t xml:space="preserve">HOUENONGBE </t>
    </r>
    <r>
      <rPr>
        <sz val="12"/>
        <color rgb="FF000000"/>
        <rFont val="Calibri"/>
        <family val="0"/>
        <charset val="1"/>
      </rPr>
      <t xml:space="preserve">Hospice</t>
    </r>
  </si>
  <si>
    <r>
      <rPr>
        <sz val="12"/>
        <color rgb="FF000000"/>
        <rFont val="Calibri"/>
        <family val="0"/>
        <charset val="134"/>
      </rPr>
      <t xml:space="preserve">HOUNKPEVI </t>
    </r>
    <r>
      <rPr>
        <sz val="12"/>
        <color rgb="FF000000"/>
        <rFont val="Calibri"/>
        <family val="0"/>
        <charset val="1"/>
      </rPr>
      <t xml:space="preserve">Carnot</t>
    </r>
  </si>
  <si>
    <r>
      <rPr>
        <sz val="12"/>
        <color rgb="FF000000"/>
        <rFont val="Calibri"/>
        <family val="0"/>
        <charset val="134"/>
      </rPr>
      <t xml:space="preserve">HOUNTON </t>
    </r>
    <r>
      <rPr>
        <sz val="12"/>
        <color rgb="FF000000"/>
        <rFont val="Calibri"/>
        <family val="0"/>
        <charset val="1"/>
      </rPr>
      <t xml:space="preserve">Célestin</t>
    </r>
  </si>
  <si>
    <r>
      <rPr>
        <sz val="12"/>
        <color rgb="FF000000"/>
        <rFont val="Calibri"/>
        <family val="0"/>
        <charset val="134"/>
      </rPr>
      <t xml:space="preserve">KETOUNOU </t>
    </r>
    <r>
      <rPr>
        <sz val="12"/>
        <color rgb="FF000000"/>
        <rFont val="Calibri"/>
        <family val="0"/>
        <charset val="1"/>
      </rPr>
      <t xml:space="preserve">Jean Joseph</t>
    </r>
  </si>
  <si>
    <r>
      <rPr>
        <sz val="12"/>
        <color rgb="FF000000"/>
        <rFont val="Calibri"/>
        <family val="0"/>
        <charset val="134"/>
      </rPr>
      <t xml:space="preserve">KIKI </t>
    </r>
    <r>
      <rPr>
        <sz val="12"/>
        <color rgb="FF000000"/>
        <rFont val="Calibri"/>
        <family val="0"/>
        <charset val="1"/>
      </rPr>
      <t xml:space="preserve">Patrick Jean Luc Yénoukounmè</t>
    </r>
  </si>
  <si>
    <r>
      <rPr>
        <sz val="12"/>
        <color rgb="FF000000"/>
        <rFont val="Calibri"/>
        <family val="0"/>
        <charset val="134"/>
      </rPr>
      <t xml:space="preserve">KOTTIN </t>
    </r>
    <r>
      <rPr>
        <sz val="12"/>
        <color rgb="FF000000"/>
        <rFont val="Calibri"/>
        <family val="0"/>
        <charset val="1"/>
      </rPr>
      <t xml:space="preserve">Jules</t>
    </r>
  </si>
  <si>
    <r>
      <rPr>
        <sz val="12"/>
        <color rgb="FF000000"/>
        <rFont val="Calibri"/>
        <family val="0"/>
        <charset val="134"/>
      </rPr>
      <t xml:space="preserve">NATA </t>
    </r>
    <r>
      <rPr>
        <sz val="12"/>
        <color rgb="FF000000"/>
        <rFont val="Calibri"/>
        <family val="0"/>
        <charset val="1"/>
      </rPr>
      <t xml:space="preserve">Wantchoti Patrice</t>
    </r>
  </si>
  <si>
    <r>
      <rPr>
        <sz val="12"/>
        <color rgb="FF000000"/>
        <rFont val="Calibri"/>
        <family val="0"/>
        <charset val="134"/>
      </rPr>
      <t xml:space="preserve">NOUGLOI </t>
    </r>
    <r>
      <rPr>
        <sz val="12"/>
        <color rgb="FF000000"/>
        <rFont val="Calibri"/>
        <family val="0"/>
        <charset val="1"/>
      </rPr>
      <t xml:space="preserve">Marcel</t>
    </r>
  </si>
  <si>
    <r>
      <rPr>
        <sz val="12"/>
        <color rgb="FF000000"/>
        <rFont val="Calibri"/>
        <family val="0"/>
        <charset val="134"/>
      </rPr>
      <t xml:space="preserve">OSSENI </t>
    </r>
    <r>
      <rPr>
        <sz val="12"/>
        <color rgb="FF000000"/>
        <rFont val="Calibri"/>
        <family val="0"/>
        <charset val="1"/>
      </rPr>
      <t xml:space="preserve">Osséni</t>
    </r>
  </si>
  <si>
    <r>
      <rPr>
        <sz val="12"/>
        <color rgb="FF000000"/>
        <rFont val="Calibri"/>
        <family val="0"/>
        <charset val="134"/>
      </rPr>
      <t xml:space="preserve">OUSSA </t>
    </r>
    <r>
      <rPr>
        <sz val="12"/>
        <color rgb="FF000000"/>
        <rFont val="Calibri"/>
        <family val="0"/>
        <charset val="1"/>
      </rPr>
      <t xml:space="preserve">Sèyèton Armand</t>
    </r>
  </si>
  <si>
    <r>
      <rPr>
        <sz val="12"/>
        <color rgb="FF000000"/>
        <rFont val="Calibri"/>
        <family val="0"/>
        <charset val="134"/>
      </rPr>
      <t xml:space="preserve">RADJI </t>
    </r>
    <r>
      <rPr>
        <sz val="12"/>
        <color rgb="FF000000"/>
        <rFont val="Calibri"/>
        <family val="0"/>
        <charset val="1"/>
      </rPr>
      <t xml:space="preserve">Faosiyath</t>
    </r>
  </si>
  <si>
    <r>
      <rPr>
        <sz val="12"/>
        <color rgb="FF000000"/>
        <rFont val="Calibri"/>
        <family val="0"/>
        <charset val="134"/>
      </rPr>
      <t xml:space="preserve">SANNI </t>
    </r>
    <r>
      <rPr>
        <sz val="12"/>
        <color rgb="FF000000"/>
        <rFont val="Calibri"/>
        <family val="0"/>
        <charset val="1"/>
      </rPr>
      <t xml:space="preserve">Souaïbou</t>
    </r>
  </si>
  <si>
    <r>
      <rPr>
        <sz val="12"/>
        <color rgb="FF000000"/>
        <rFont val="Calibri"/>
        <family val="0"/>
        <charset val="134"/>
      </rPr>
      <t xml:space="preserve">SESSOU YAOVI </t>
    </r>
    <r>
      <rPr>
        <sz val="12"/>
        <color rgb="FF000000"/>
        <rFont val="Calibri"/>
        <family val="0"/>
        <charset val="1"/>
      </rPr>
      <t xml:space="preserve">Franck Erick</t>
    </r>
  </si>
  <si>
    <r>
      <rPr>
        <sz val="12"/>
        <color rgb="FF000000"/>
        <rFont val="Calibri"/>
        <family val="0"/>
        <charset val="134"/>
      </rPr>
      <t xml:space="preserve">SOUNOUKE </t>
    </r>
    <r>
      <rPr>
        <sz val="12"/>
        <color rgb="FF000000"/>
        <rFont val="Calibri"/>
        <family val="0"/>
        <charset val="1"/>
      </rPr>
      <t xml:space="preserve">Séraphin</t>
    </r>
  </si>
  <si>
    <r>
      <rPr>
        <sz val="12"/>
        <color rgb="FF000000"/>
        <rFont val="Calibri"/>
        <family val="0"/>
        <charset val="134"/>
      </rPr>
      <t xml:space="preserve">WOROU CODJO </t>
    </r>
    <r>
      <rPr>
        <sz val="12"/>
        <color rgb="FF000000"/>
        <rFont val="Calibri"/>
        <family val="0"/>
        <charset val="1"/>
      </rPr>
      <t xml:space="preserve">Sadikou</t>
    </r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</si>
  <si>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GENIE ELECTRIQUE</t>
    </r>
  </si>
  <si>
    <r>
      <rPr>
        <sz val="12"/>
        <color rgb="FF000000"/>
        <rFont val="Calibri"/>
        <family val="0"/>
        <charset val="134"/>
      </rPr>
      <t xml:space="preserve">ABATAN </t>
    </r>
    <r>
      <rPr>
        <sz val="12"/>
        <color rgb="FF000000"/>
        <rFont val="Calibri"/>
        <family val="0"/>
        <charset val="1"/>
      </rPr>
      <t xml:space="preserve">Suru José Marius</t>
    </r>
  </si>
  <si>
    <r>
      <rPr>
        <sz val="12"/>
        <color rgb="FF000000"/>
        <rFont val="Calibri"/>
        <family val="0"/>
        <charset val="134"/>
      </rPr>
      <t xml:space="preserve">ADJE </t>
    </r>
    <r>
      <rPr>
        <sz val="12"/>
        <color rgb="FF000000"/>
        <rFont val="Calibri"/>
        <family val="0"/>
        <charset val="1"/>
      </rPr>
      <t xml:space="preserve">Soumoni Bissilola Michelle Camelle</t>
    </r>
  </si>
  <si>
    <r>
      <rPr>
        <sz val="12"/>
        <color rgb="FF000000"/>
        <rFont val="Calibri"/>
        <family val="0"/>
        <charset val="134"/>
      </rPr>
      <t xml:space="preserve">AGBODOSSINDJI </t>
    </r>
    <r>
      <rPr>
        <sz val="12"/>
        <color rgb="FF000000"/>
        <rFont val="Calibri"/>
        <family val="0"/>
        <charset val="1"/>
      </rPr>
      <t xml:space="preserve">Marc Rolland</t>
    </r>
  </si>
  <si>
    <r>
      <rPr>
        <sz val="12"/>
        <color rgb="FF000000"/>
        <rFont val="Calibri"/>
        <family val="0"/>
        <charset val="134"/>
      </rPr>
      <t xml:space="preserve">AGUINNE </t>
    </r>
    <r>
      <rPr>
        <sz val="12"/>
        <color rgb="FF000000"/>
        <rFont val="Calibri"/>
        <family val="0"/>
        <charset val="1"/>
      </rPr>
      <t xml:space="preserve">Sèvèho Fulbert</t>
    </r>
  </si>
  <si>
    <r>
      <rPr>
        <sz val="12"/>
        <color rgb="FF000000"/>
        <rFont val="Calibri"/>
        <family val="0"/>
        <charset val="134"/>
      </rPr>
      <t xml:space="preserve">AHOMLANTO </t>
    </r>
    <r>
      <rPr>
        <sz val="12"/>
        <color rgb="FF000000"/>
        <rFont val="Calibri"/>
        <family val="0"/>
        <charset val="1"/>
      </rPr>
      <t xml:space="preserve">Théophane</t>
    </r>
  </si>
  <si>
    <r>
      <rPr>
        <sz val="12"/>
        <color rgb="FF000000"/>
        <rFont val="Calibri"/>
        <family val="0"/>
        <charset val="134"/>
      </rPr>
      <t xml:space="preserve">AKOTCHEDE </t>
    </r>
    <r>
      <rPr>
        <sz val="12"/>
        <color rgb="FF000000"/>
        <rFont val="Calibri"/>
        <family val="0"/>
        <charset val="1"/>
      </rPr>
      <t xml:space="preserve">Nonvignon Cinth’Ange Kingson</t>
    </r>
  </si>
  <si>
    <r>
      <rPr>
        <sz val="12"/>
        <color rgb="FF000000"/>
        <rFont val="Calibri"/>
        <family val="0"/>
        <charset val="134"/>
      </rPr>
      <t xml:space="preserve">AKPLOGAN </t>
    </r>
    <r>
      <rPr>
        <sz val="12"/>
        <color rgb="FF000000"/>
        <rFont val="Calibri"/>
        <family val="0"/>
        <charset val="1"/>
      </rPr>
      <t xml:space="preserve">Dotou Odilon Franck</t>
    </r>
  </si>
  <si>
    <r>
      <rPr>
        <sz val="12"/>
        <color rgb="FF000000"/>
        <rFont val="Calibri"/>
        <family val="0"/>
        <charset val="134"/>
      </rPr>
      <t xml:space="preserve">ALOFAN </t>
    </r>
    <r>
      <rPr>
        <sz val="12"/>
        <color rgb="FF000000"/>
        <rFont val="Calibri"/>
        <family val="0"/>
        <charset val="1"/>
      </rPr>
      <t xml:space="preserve">Jean</t>
    </r>
  </si>
  <si>
    <r>
      <rPr>
        <sz val="12"/>
        <color rgb="FF000000"/>
        <rFont val="Calibri"/>
        <family val="0"/>
        <charset val="134"/>
      </rPr>
      <t xml:space="preserve">AMAYO </t>
    </r>
    <r>
      <rPr>
        <sz val="12"/>
        <color rgb="FF000000"/>
        <rFont val="Calibri"/>
        <family val="0"/>
        <charset val="1"/>
      </rPr>
      <t xml:space="preserve">S. Urbain</t>
    </r>
  </si>
  <si>
    <r>
      <rPr>
        <sz val="12"/>
        <color rgb="FF000000"/>
        <rFont val="Calibri"/>
        <family val="0"/>
        <charset val="134"/>
      </rPr>
      <t xml:space="preserve">DJIDO </t>
    </r>
    <r>
      <rPr>
        <sz val="12"/>
        <color rgb="FF000000"/>
        <rFont val="Calibri"/>
        <family val="0"/>
        <charset val="1"/>
      </rPr>
      <t xml:space="preserve">Codjo Eusèbe Alain</t>
    </r>
  </si>
  <si>
    <r>
      <rPr>
        <sz val="12"/>
        <color rgb="FF000000"/>
        <rFont val="Calibri"/>
        <family val="0"/>
        <charset val="134"/>
      </rPr>
      <t xml:space="preserve">DJISSO </t>
    </r>
    <r>
      <rPr>
        <sz val="12"/>
        <color rgb="FF000000"/>
        <rFont val="Calibri"/>
        <family val="0"/>
        <charset val="1"/>
      </rPr>
      <t xml:space="preserve">Yaovi Serge</t>
    </r>
  </si>
  <si>
    <r>
      <rPr>
        <sz val="12"/>
        <color rgb="FF000000"/>
        <rFont val="Calibri"/>
        <family val="0"/>
        <charset val="134"/>
      </rPr>
      <t xml:space="preserve">FAMBO </t>
    </r>
    <r>
      <rPr>
        <sz val="12"/>
        <color rgb="FF000000"/>
        <rFont val="Calibri"/>
        <family val="0"/>
        <charset val="1"/>
      </rPr>
      <t xml:space="preserve">Pierre </t>
    </r>
  </si>
  <si>
    <r>
      <rPr>
        <sz val="12"/>
        <color rgb="FF000000"/>
        <rFont val="Calibri"/>
        <family val="0"/>
        <charset val="134"/>
      </rPr>
      <t xml:space="preserve">GBANGOU </t>
    </r>
    <r>
      <rPr>
        <sz val="12"/>
        <color rgb="FF000000"/>
        <rFont val="Calibri"/>
        <family val="0"/>
        <charset val="1"/>
      </rPr>
      <t xml:space="preserve">Mouphtaou</t>
    </r>
  </si>
  <si>
    <r>
      <rPr>
        <sz val="12"/>
        <color rgb="FF000000"/>
        <rFont val="Calibri"/>
        <family val="0"/>
        <charset val="134"/>
      </rPr>
      <t xml:space="preserve">GNIMAVO </t>
    </r>
    <r>
      <rPr>
        <sz val="12"/>
        <color rgb="FF000000"/>
        <rFont val="Calibri"/>
        <family val="0"/>
        <charset val="1"/>
      </rPr>
      <t xml:space="preserve">Yélomé Annonciathe</t>
    </r>
  </si>
  <si>
    <r>
      <rPr>
        <sz val="12"/>
        <color rgb="FF000000"/>
        <rFont val="Calibri"/>
        <family val="0"/>
        <charset val="134"/>
      </rPr>
      <t xml:space="preserve">HONFO </t>
    </r>
    <r>
      <rPr>
        <sz val="12"/>
        <color rgb="FF000000"/>
        <rFont val="Calibri"/>
        <family val="0"/>
        <charset val="1"/>
      </rPr>
      <t xml:space="preserve">Kinsou Isidore</t>
    </r>
  </si>
  <si>
    <r>
      <rPr>
        <sz val="12"/>
        <color rgb="FF000000"/>
        <rFont val="Calibri"/>
        <family val="0"/>
        <charset val="134"/>
      </rPr>
      <t xml:space="preserve">HONNON </t>
    </r>
    <r>
      <rPr>
        <sz val="12"/>
        <color rgb="FF000000"/>
        <rFont val="Calibri"/>
        <family val="0"/>
        <charset val="1"/>
      </rPr>
      <t xml:space="preserve">Pierre C. I.</t>
    </r>
  </si>
  <si>
    <r>
      <rPr>
        <sz val="12"/>
        <color rgb="FF000000"/>
        <rFont val="Calibri"/>
        <family val="0"/>
        <charset val="134"/>
      </rPr>
      <t xml:space="preserve">KOUNASSO </t>
    </r>
    <r>
      <rPr>
        <sz val="12"/>
        <color rgb="FF000000"/>
        <rFont val="Calibri"/>
        <family val="0"/>
        <charset val="1"/>
      </rPr>
      <t xml:space="preserve">Dossou Fréjus</t>
    </r>
  </si>
  <si>
    <r>
      <rPr>
        <sz val="12"/>
        <color rgb="FF000000"/>
        <rFont val="Calibri"/>
        <family val="0"/>
        <charset val="134"/>
      </rPr>
      <t xml:space="preserve">LEGBA </t>
    </r>
    <r>
      <rPr>
        <sz val="12"/>
        <color rgb="FF000000"/>
        <rFont val="Calibri"/>
        <family val="0"/>
        <charset val="1"/>
      </rPr>
      <t xml:space="preserve">Comlan Majoric</t>
    </r>
  </si>
  <si>
    <r>
      <rPr>
        <sz val="12"/>
        <color rgb="FF000000"/>
        <rFont val="Calibri"/>
        <family val="0"/>
        <charset val="134"/>
      </rPr>
      <t xml:space="preserve">OMORES </t>
    </r>
    <r>
      <rPr>
        <sz val="12"/>
        <color rgb="FF000000"/>
        <rFont val="Calibri"/>
        <family val="0"/>
        <charset val="1"/>
      </rPr>
      <t xml:space="preserve">Babatoundé Roméo Serge</t>
    </r>
  </si>
  <si>
    <r>
      <rPr>
        <sz val="12"/>
        <color rgb="FF000000"/>
        <rFont val="Calibri"/>
        <family val="0"/>
        <charset val="134"/>
      </rPr>
      <t xml:space="preserve">SANHONGOU </t>
    </r>
    <r>
      <rPr>
        <sz val="12"/>
        <color rgb="FF000000"/>
        <rFont val="Calibri"/>
        <family val="0"/>
        <charset val="1"/>
      </rPr>
      <t xml:space="preserve">Nième Evariste</t>
    </r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</si>
  <si>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HYGIENE ET CONTRÔLE DE QUALITE DES DENREES ALIMENTAIRES</t>
    </r>
  </si>
  <si>
    <r>
      <rPr>
        <sz val="12"/>
        <color rgb="FF000000"/>
        <rFont val="Calibri"/>
        <family val="0"/>
        <charset val="134"/>
      </rPr>
      <t xml:space="preserve">ADAM ROUGA  </t>
    </r>
    <r>
      <rPr>
        <sz val="12"/>
        <color rgb="FF000000"/>
        <rFont val="Calibri"/>
        <family val="0"/>
        <charset val="1"/>
      </rPr>
      <t xml:space="preserve">Kamirou</t>
    </r>
  </si>
  <si>
    <r>
      <rPr>
        <sz val="12"/>
        <color rgb="FF000000"/>
        <rFont val="Calibri"/>
        <family val="0"/>
        <charset val="134"/>
      </rPr>
      <t xml:space="preserve">AGBANTONSOU </t>
    </r>
    <r>
      <rPr>
        <sz val="12"/>
        <color rgb="FF000000"/>
        <rFont val="Calibri"/>
        <family val="0"/>
        <charset val="1"/>
      </rPr>
      <t xml:space="preserve">Martin</t>
    </r>
  </si>
  <si>
    <r>
      <rPr>
        <sz val="12"/>
        <color rgb="FF000000"/>
        <rFont val="Calibri"/>
        <family val="0"/>
        <charset val="134"/>
      </rPr>
      <t xml:space="preserve">AGBONOUKON </t>
    </r>
    <r>
      <rPr>
        <sz val="12"/>
        <color rgb="FF000000"/>
        <rFont val="Calibri"/>
        <family val="0"/>
        <charset val="1"/>
      </rPr>
      <t xml:space="preserve">Agossi Julienne</t>
    </r>
  </si>
  <si>
    <r>
      <rPr>
        <sz val="10"/>
        <color rgb="FF000000"/>
        <rFont val="Tahoma"/>
        <family val="0"/>
        <charset val="134"/>
      </rPr>
      <t xml:space="preserve">AGOSSOU </t>
    </r>
    <r>
      <rPr>
        <sz val="10"/>
        <color rgb="FF000000"/>
        <rFont val="Tahoma"/>
        <family val="0"/>
        <charset val="1"/>
      </rPr>
      <t xml:space="preserve">Hermine Odile Kètomon</t>
    </r>
  </si>
  <si>
    <r>
      <rPr>
        <sz val="10"/>
        <color rgb="FF000000"/>
        <rFont val="Tahoma"/>
        <family val="0"/>
        <charset val="134"/>
      </rPr>
      <t xml:space="preserve">AGOSSOU </t>
    </r>
    <r>
      <rPr>
        <sz val="10"/>
        <color rgb="FF000000"/>
        <rFont val="Tahoma"/>
        <family val="0"/>
        <charset val="1"/>
      </rPr>
      <t xml:space="preserve">Mahougnon Rosine Francelle</t>
    </r>
  </si>
  <si>
    <r>
      <rPr>
        <sz val="12"/>
        <color rgb="FF000000"/>
        <rFont val="Calibri"/>
        <family val="0"/>
        <charset val="134"/>
      </rPr>
      <t xml:space="preserve">AKPOUE </t>
    </r>
    <r>
      <rPr>
        <sz val="12"/>
        <color rgb="FF000000"/>
        <rFont val="Calibri"/>
        <family val="0"/>
        <charset val="1"/>
      </rPr>
      <t xml:space="preserve">Ibrahim</t>
    </r>
  </si>
  <si>
    <r>
      <rPr>
        <sz val="12"/>
        <color rgb="FF000000"/>
        <rFont val="Calibri"/>
        <family val="0"/>
        <charset val="134"/>
      </rPr>
      <t xml:space="preserve">ASSOGBA </t>
    </r>
    <r>
      <rPr>
        <sz val="12"/>
        <color rgb="FF000000"/>
        <rFont val="Calibri"/>
        <family val="0"/>
        <charset val="1"/>
      </rPr>
      <t xml:space="preserve">Maxime Valère Toudonou</t>
    </r>
  </si>
  <si>
    <r>
      <rPr>
        <sz val="10"/>
        <color rgb="FF000000"/>
        <rFont val="Tahoma"/>
        <family val="0"/>
        <charset val="134"/>
      </rPr>
      <t xml:space="preserve">BLECO </t>
    </r>
    <r>
      <rPr>
        <sz val="10"/>
        <color rgb="FF000000"/>
        <rFont val="Tahoma"/>
        <family val="0"/>
        <charset val="1"/>
      </rPr>
      <t xml:space="preserve">Amedée Gaël</t>
    </r>
  </si>
  <si>
    <r>
      <rPr>
        <sz val="12"/>
        <color rgb="FF000000"/>
        <rFont val="Calibri"/>
        <family val="0"/>
        <charset val="134"/>
      </rPr>
      <t xml:space="preserve">BOUNIN </t>
    </r>
    <r>
      <rPr>
        <sz val="12"/>
        <color rgb="FF000000"/>
        <rFont val="Calibri"/>
        <family val="0"/>
        <charset val="1"/>
      </rPr>
      <t xml:space="preserve">Fousséni</t>
    </r>
  </si>
  <si>
    <r>
      <rPr>
        <sz val="10"/>
        <color rgb="FF000000"/>
        <rFont val="Tahoma"/>
        <family val="0"/>
        <charset val="134"/>
      </rPr>
      <t xml:space="preserve">DJIVOEDO </t>
    </r>
    <r>
      <rPr>
        <sz val="10"/>
        <color rgb="FF000000"/>
        <rFont val="Tahoma"/>
        <family val="0"/>
        <charset val="1"/>
      </rPr>
      <t xml:space="preserve">Gisèle</t>
    </r>
  </si>
  <si>
    <r>
      <rPr>
        <sz val="12"/>
        <color rgb="FF000000"/>
        <rFont val="Calibri"/>
        <family val="0"/>
        <charset val="134"/>
      </rPr>
      <t xml:space="preserve">DJOGBEDE </t>
    </r>
    <r>
      <rPr>
        <sz val="12"/>
        <color rgb="FF000000"/>
        <rFont val="Calibri"/>
        <family val="0"/>
        <charset val="1"/>
      </rPr>
      <t xml:space="preserve">Nonhouégnon</t>
    </r>
  </si>
  <si>
    <r>
      <rPr>
        <sz val="10"/>
        <color rgb="FF000000"/>
        <rFont val="Tahoma"/>
        <family val="0"/>
        <charset val="134"/>
      </rPr>
      <t xml:space="preserve">ELISHA </t>
    </r>
    <r>
      <rPr>
        <sz val="10"/>
        <color rgb="FF000000"/>
        <rFont val="Tahoma"/>
        <family val="0"/>
        <charset val="1"/>
      </rPr>
      <t xml:space="preserve">Ginette Floris Ablanvi</t>
    </r>
  </si>
  <si>
    <r>
      <rPr>
        <sz val="12"/>
        <color rgb="FF000000"/>
        <rFont val="Calibri"/>
        <family val="0"/>
        <charset val="134"/>
      </rPr>
      <t xml:space="preserve">GAZARD </t>
    </r>
    <r>
      <rPr>
        <sz val="12"/>
        <color rgb="FF000000"/>
        <rFont val="Calibri"/>
        <family val="0"/>
        <charset val="1"/>
      </rPr>
      <t xml:space="preserve">Hilda Nesta Biova</t>
    </r>
  </si>
  <si>
    <r>
      <rPr>
        <sz val="10"/>
        <color rgb="FF000000"/>
        <rFont val="Tahoma"/>
        <family val="0"/>
        <charset val="134"/>
      </rPr>
      <t xml:space="preserve">GBEDJI-SOKPA </t>
    </r>
    <r>
      <rPr>
        <sz val="10"/>
        <color rgb="FF000000"/>
        <rFont val="Tahoma"/>
        <family val="0"/>
        <charset val="1"/>
      </rPr>
      <t xml:space="preserve">Noussoï Larisssa</t>
    </r>
  </si>
  <si>
    <r>
      <rPr>
        <sz val="12"/>
        <color rgb="FF000000"/>
        <rFont val="Calibri"/>
        <family val="0"/>
        <charset val="134"/>
      </rPr>
      <t xml:space="preserve">KINSOHOUNDE </t>
    </r>
    <r>
      <rPr>
        <sz val="12"/>
        <color rgb="FF000000"/>
        <rFont val="Calibri"/>
        <family val="0"/>
        <charset val="1"/>
      </rPr>
      <t xml:space="preserve">Luc</t>
    </r>
  </si>
  <si>
    <r>
      <rPr>
        <sz val="12"/>
        <color rgb="FF000000"/>
        <rFont val="Calibri"/>
        <family val="0"/>
        <charset val="134"/>
      </rPr>
      <t xml:space="preserve">NASSARAH </t>
    </r>
    <r>
      <rPr>
        <sz val="12"/>
        <color rgb="FF000000"/>
        <rFont val="Calibri"/>
        <family val="0"/>
        <charset val="1"/>
      </rPr>
      <t xml:space="preserve">Ruth Merveille Bignon</t>
    </r>
  </si>
  <si>
    <r>
      <rPr>
        <sz val="12"/>
        <color rgb="FF000000"/>
        <rFont val="Calibri"/>
        <family val="0"/>
        <charset val="134"/>
      </rPr>
      <t xml:space="preserve">NATTE </t>
    </r>
    <r>
      <rPr>
        <sz val="12"/>
        <color rgb="FF000000"/>
        <rFont val="Calibri"/>
        <family val="0"/>
        <charset val="1"/>
      </rPr>
      <t xml:space="preserve">Edé Noélie</t>
    </r>
  </si>
  <si>
    <r>
      <rPr>
        <sz val="10"/>
        <color rgb="FF000000"/>
        <rFont val="Tahoma"/>
        <family val="0"/>
        <charset val="134"/>
      </rPr>
      <t xml:space="preserve">VIATONOU </t>
    </r>
    <r>
      <rPr>
        <sz val="10"/>
        <color rgb="FF000000"/>
        <rFont val="Tahoma"/>
        <family val="0"/>
        <charset val="1"/>
      </rPr>
      <t xml:space="preserve">Dossa Albert</t>
    </r>
  </si>
  <si>
    <r>
      <rPr>
        <sz val="12"/>
        <color rgb="FF000000"/>
        <rFont val="Calibri"/>
        <family val="0"/>
        <charset val="134"/>
      </rPr>
      <t xml:space="preserve">VILON GUEZO</t>
    </r>
    <r>
      <rPr>
        <sz val="12"/>
        <color rgb="FF000000"/>
        <rFont val="Calibri"/>
        <family val="0"/>
        <charset val="1"/>
      </rPr>
      <t xml:space="preserve">S. Frise Moréas</t>
    </r>
  </si>
  <si>
    <r>
      <rPr>
        <sz val="12"/>
        <color rgb="FF000000"/>
        <rFont val="Calibri"/>
        <family val="0"/>
        <charset val="134"/>
      </rPr>
      <t xml:space="preserve">YABI </t>
    </r>
    <r>
      <rPr>
        <sz val="12"/>
        <color rgb="FF000000"/>
        <rFont val="Calibri"/>
        <family val="0"/>
        <charset val="1"/>
      </rPr>
      <t xml:space="preserve">Olabiyi Bérenger Roméo</t>
    </r>
  </si>
  <si>
    <r>
      <rPr>
        <sz val="12"/>
        <color rgb="FF000000"/>
        <rFont val="Calibri"/>
        <family val="0"/>
        <charset val="134"/>
      </rPr>
      <t xml:space="preserve">ZOHAN </t>
    </r>
    <r>
      <rPr>
        <sz val="12"/>
        <color rgb="FF000000"/>
        <rFont val="Calibri"/>
        <family val="0"/>
        <charset val="1"/>
      </rPr>
      <t xml:space="preserve">Fifonsi Inesse Machiavelle</t>
    </r>
  </si>
  <si>
    <r>
      <rPr>
        <sz val="10"/>
        <color rgb="FF000000"/>
        <rFont val="Tahoma"/>
        <family val="0"/>
        <charset val="134"/>
      </rPr>
      <t xml:space="preserve">ZOUTOUGOU </t>
    </r>
    <r>
      <rPr>
        <sz val="10"/>
        <color rgb="FF000000"/>
        <rFont val="Tahoma"/>
        <family val="0"/>
        <charset val="1"/>
      </rPr>
      <t xml:space="preserve">Odile</t>
    </r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</si>
  <si>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GEOMETRE TOPOGRAPHE</t>
    </r>
  </si>
  <si>
    <r>
      <rPr>
        <sz val="11"/>
        <color rgb="FF000000"/>
        <rFont val="Arial"/>
        <family val="0"/>
        <charset val="134"/>
      </rPr>
      <t xml:space="preserve">AÏDONOUGBO </t>
    </r>
    <r>
      <rPr>
        <sz val="11"/>
        <color rgb="FF000000"/>
        <rFont val="Arial"/>
        <family val="0"/>
        <charset val="1"/>
      </rPr>
      <t xml:space="preserve">Fagbédji Martial</t>
    </r>
  </si>
  <si>
    <r>
      <rPr>
        <sz val="11"/>
        <color rgb="FF000000"/>
        <rFont val="Arial"/>
        <family val="0"/>
        <charset val="134"/>
      </rPr>
      <t xml:space="preserve">ALOKPOGNANDJI </t>
    </r>
    <r>
      <rPr>
        <sz val="11"/>
        <color rgb="FF000000"/>
        <rFont val="Arial"/>
        <family val="0"/>
        <charset val="1"/>
      </rPr>
      <t xml:space="preserve">Victorien Noudéhouénou Françis</t>
    </r>
  </si>
  <si>
    <r>
      <rPr>
        <sz val="11"/>
        <color rgb="FF000000"/>
        <rFont val="Arial"/>
        <family val="0"/>
        <charset val="134"/>
      </rPr>
      <t xml:space="preserve">BAKOU NIMAOUA</t>
    </r>
    <r>
      <rPr>
        <sz val="11"/>
        <color rgb="FF000000"/>
        <rFont val="Arial"/>
        <family val="0"/>
        <charset val="1"/>
      </rPr>
      <t xml:space="preserve">Germain</t>
    </r>
  </si>
  <si>
    <r>
      <rPr>
        <sz val="12"/>
        <color theme="1"/>
        <rFont val="Arial"/>
        <family val="0"/>
        <charset val="134"/>
      </rPr>
      <t xml:space="preserve">BAMPO</t>
    </r>
    <r>
      <rPr>
        <sz val="12"/>
        <color theme="1"/>
        <rFont val="Arial"/>
        <family val="0"/>
        <charset val="1"/>
      </rPr>
      <t xml:space="preserve">Augustin</t>
    </r>
  </si>
  <si>
    <r>
      <rPr>
        <sz val="11"/>
        <color theme="1"/>
        <rFont val="Arial"/>
        <family val="0"/>
        <charset val="134"/>
      </rPr>
      <t xml:space="preserve">DEGLA</t>
    </r>
    <r>
      <rPr>
        <sz val="11"/>
        <color theme="1"/>
        <rFont val="Arial"/>
        <family val="0"/>
        <charset val="1"/>
      </rPr>
      <t xml:space="preserve">A. Modeste</t>
    </r>
  </si>
  <si>
    <r>
      <rPr>
        <sz val="12"/>
        <color theme="1"/>
        <rFont val="Arial"/>
        <family val="0"/>
        <charset val="134"/>
      </rPr>
      <t xml:space="preserve">FANOU </t>
    </r>
    <r>
      <rPr>
        <sz val="12"/>
        <color theme="1"/>
        <rFont val="Arial"/>
        <family val="0"/>
        <charset val="1"/>
      </rPr>
      <t xml:space="preserve">Thomas</t>
    </r>
  </si>
  <si>
    <r>
      <rPr>
        <sz val="11"/>
        <color rgb="FF000000"/>
        <rFont val="Arial"/>
        <family val="0"/>
        <charset val="134"/>
      </rPr>
      <t xml:space="preserve">GBOSSOU</t>
    </r>
    <r>
      <rPr>
        <sz val="11"/>
        <color rgb="FF000000"/>
        <rFont val="Arial"/>
        <family val="0"/>
        <charset val="1"/>
      </rPr>
      <t xml:space="preserve">Marc Mahougnon</t>
    </r>
  </si>
  <si>
    <r>
      <rPr>
        <sz val="11"/>
        <color rgb="FF000000"/>
        <rFont val="Arial"/>
        <family val="0"/>
        <charset val="134"/>
      </rPr>
      <t xml:space="preserve">GOSSOH </t>
    </r>
    <r>
      <rPr>
        <sz val="11"/>
        <color rgb="FF000000"/>
        <rFont val="Arial"/>
        <family val="0"/>
        <charset val="1"/>
      </rPr>
      <t xml:space="preserve">Vincent</t>
    </r>
  </si>
  <si>
    <r>
      <rPr>
        <sz val="12"/>
        <color theme="1"/>
        <rFont val="Arial"/>
        <family val="0"/>
        <charset val="134"/>
      </rPr>
      <t xml:space="preserve">HOUANKE</t>
    </r>
    <r>
      <rPr>
        <sz val="12"/>
        <color theme="1"/>
        <rFont val="Arial"/>
        <family val="0"/>
        <charset val="1"/>
      </rPr>
      <t xml:space="preserve">Luc</t>
    </r>
  </si>
  <si>
    <r>
      <rPr>
        <sz val="12"/>
        <color theme="1"/>
        <rFont val="Arial"/>
        <family val="0"/>
        <charset val="134"/>
      </rPr>
      <t xml:space="preserve">KINKPON</t>
    </r>
    <r>
      <rPr>
        <sz val="12"/>
        <color theme="1"/>
        <rFont val="Arial"/>
        <family val="0"/>
        <charset val="1"/>
      </rPr>
      <t xml:space="preserve">Vignon Armand</t>
    </r>
  </si>
  <si>
    <r>
      <rPr>
        <sz val="12"/>
        <color theme="1"/>
        <rFont val="Arial"/>
        <family val="0"/>
        <charset val="134"/>
      </rPr>
      <t xml:space="preserve">NOBIME</t>
    </r>
    <r>
      <rPr>
        <sz val="12"/>
        <color theme="1"/>
        <rFont val="Arial"/>
        <family val="0"/>
        <charset val="1"/>
      </rPr>
      <t xml:space="preserve">Eustache Mathieu</t>
    </r>
  </si>
  <si>
    <r>
      <rPr>
        <sz val="12"/>
        <color theme="1"/>
        <rFont val="Arial"/>
        <family val="0"/>
        <charset val="134"/>
      </rPr>
      <t xml:space="preserve">NOBIME</t>
    </r>
    <r>
      <rPr>
        <sz val="12"/>
        <color theme="1"/>
        <rFont val="Arial"/>
        <family val="0"/>
        <charset val="1"/>
      </rPr>
      <t xml:space="preserve">Kooffi Narcisse</t>
    </r>
  </si>
  <si>
    <r>
      <rPr>
        <sz val="12"/>
        <color theme="1"/>
        <rFont val="Arial"/>
        <family val="0"/>
        <charset val="134"/>
      </rPr>
      <t xml:space="preserve">NOBIME</t>
    </r>
    <r>
      <rPr>
        <sz val="11"/>
        <color theme="1"/>
        <rFont val="Arial"/>
        <family val="0"/>
        <charset val="1"/>
      </rPr>
      <t xml:space="preserve">S. Herman</t>
    </r>
  </si>
  <si>
    <r>
      <rPr>
        <sz val="12"/>
        <color theme="1"/>
        <rFont val="Arial"/>
        <family val="0"/>
        <charset val="134"/>
      </rPr>
      <t xml:space="preserve">NOBIME</t>
    </r>
    <r>
      <rPr>
        <sz val="11"/>
        <color theme="1"/>
        <rFont val="Arial"/>
        <family val="0"/>
        <charset val="1"/>
      </rPr>
      <t xml:space="preserve">Audrey Primaël Wilfran</t>
    </r>
  </si>
  <si>
    <t xml:space="preserve">Option: Nutrition et Technologie Alimentaire </t>
  </si>
  <si>
    <r>
      <rPr>
        <sz val="10"/>
        <color rgb="FF000000"/>
        <rFont val="Tahoma"/>
        <family val="0"/>
        <charset val="134"/>
      </rPr>
      <t xml:space="preserve">ADAM BABA-BODY </t>
    </r>
    <r>
      <rPr>
        <sz val="10"/>
        <color rgb="FF000000"/>
        <rFont val="Tahoma"/>
        <family val="0"/>
        <charset val="1"/>
      </rPr>
      <t xml:space="preserve">Tamsiratou</t>
    </r>
  </si>
  <si>
    <r>
      <rPr>
        <sz val="10"/>
        <color rgb="FF000000"/>
        <rFont val="Tahoma"/>
        <family val="0"/>
        <charset val="134"/>
      </rPr>
      <t xml:space="preserve">ADJAHO </t>
    </r>
    <r>
      <rPr>
        <sz val="10"/>
        <color rgb="FF000000"/>
        <rFont val="Tahoma"/>
        <family val="0"/>
        <charset val="1"/>
      </rPr>
      <t xml:space="preserve">Ginette Ayaba Rolande</t>
    </r>
  </si>
  <si>
    <r>
      <rPr>
        <sz val="10"/>
        <color rgb="FF000000"/>
        <rFont val="Tahoma"/>
        <family val="0"/>
        <charset val="134"/>
      </rPr>
      <t xml:space="preserve">ADJALLALA </t>
    </r>
    <r>
      <rPr>
        <sz val="10"/>
        <color rgb="FF000000"/>
        <rFont val="Tahoma"/>
        <family val="0"/>
        <charset val="1"/>
      </rPr>
      <t xml:space="preserve">Georgette Eléonore</t>
    </r>
  </si>
  <si>
    <r>
      <rPr>
        <sz val="10"/>
        <color rgb="FF000000"/>
        <rFont val="Tahoma"/>
        <family val="0"/>
        <charset val="134"/>
      </rPr>
      <t xml:space="preserve">ADJANON </t>
    </r>
    <r>
      <rPr>
        <sz val="10"/>
        <color rgb="FF000000"/>
        <rFont val="Tahoma"/>
        <family val="0"/>
        <charset val="1"/>
      </rPr>
      <t xml:space="preserve">Afiavi Reine</t>
    </r>
  </si>
  <si>
    <r>
      <rPr>
        <sz val="10"/>
        <color rgb="FF000000"/>
        <rFont val="Tahoma"/>
        <family val="0"/>
        <charset val="134"/>
      </rPr>
      <t xml:space="preserve">AGBOTON</t>
    </r>
    <r>
      <rPr>
        <sz val="10"/>
        <color theme="1"/>
        <rFont val="Tahoma"/>
        <family val="0"/>
        <charset val="1"/>
      </rPr>
      <t xml:space="preserve">Sidonie Anne Sourou</t>
    </r>
  </si>
  <si>
    <r>
      <rPr>
        <sz val="10"/>
        <color rgb="FF000000"/>
        <rFont val="Tahoma"/>
        <family val="0"/>
        <charset val="134"/>
      </rPr>
      <t xml:space="preserve">AGUIAR </t>
    </r>
    <r>
      <rPr>
        <sz val="10"/>
        <color rgb="FF000000"/>
        <rFont val="Tahoma"/>
        <family val="0"/>
        <charset val="1"/>
      </rPr>
      <t xml:space="preserve">Nonvignon Priscille Ella Amour</t>
    </r>
  </si>
  <si>
    <r>
      <rPr>
        <sz val="10"/>
        <color rgb="FF000000"/>
        <rFont val="Tahoma"/>
        <family val="0"/>
        <charset val="134"/>
      </rPr>
      <t xml:space="preserve">AHANGBE </t>
    </r>
    <r>
      <rPr>
        <sz val="10"/>
        <color rgb="FF000000"/>
        <rFont val="Tahoma"/>
        <family val="0"/>
        <charset val="1"/>
      </rPr>
      <t xml:space="preserve">Fidèle</t>
    </r>
  </si>
  <si>
    <r>
      <rPr>
        <sz val="10"/>
        <color rgb="FF000000"/>
        <rFont val="Tahoma"/>
        <family val="0"/>
        <charset val="134"/>
      </rPr>
      <t xml:space="preserve">AHOUANGNIMON </t>
    </r>
    <r>
      <rPr>
        <sz val="10"/>
        <color rgb="FF000000"/>
        <rFont val="Tahoma"/>
        <family val="0"/>
        <charset val="1"/>
      </rPr>
      <t xml:space="preserve">Cécile Yéyinou</t>
    </r>
  </si>
  <si>
    <r>
      <rPr>
        <sz val="10"/>
        <color rgb="FF000000"/>
        <rFont val="Tahoma"/>
        <family val="0"/>
        <charset val="134"/>
      </rPr>
      <t xml:space="preserve">AHUIASSOU  </t>
    </r>
    <r>
      <rPr>
        <sz val="10"/>
        <color rgb="FF000000"/>
        <rFont val="Tahoma"/>
        <family val="0"/>
        <charset val="1"/>
      </rPr>
      <t xml:space="preserve">Sèwalin Anne-Marie Grâce</t>
    </r>
  </si>
  <si>
    <r>
      <rPr>
        <sz val="10"/>
        <color rgb="FF000000"/>
        <rFont val="Tahoma"/>
        <family val="0"/>
        <charset val="134"/>
      </rPr>
      <t xml:space="preserve">AÏDEGO  </t>
    </r>
    <r>
      <rPr>
        <sz val="10"/>
        <color rgb="FF000000"/>
        <rFont val="Tahoma"/>
        <family val="0"/>
        <charset val="1"/>
      </rPr>
      <t xml:space="preserve">Sèwanou Stanislas</t>
    </r>
  </si>
  <si>
    <r>
      <rPr>
        <sz val="10"/>
        <color rgb="FF000000"/>
        <rFont val="Tahoma"/>
        <family val="0"/>
        <charset val="134"/>
      </rPr>
      <t xml:space="preserve">AKELE </t>
    </r>
    <r>
      <rPr>
        <sz val="10"/>
        <color rgb="FF000000"/>
        <rFont val="Tahoma"/>
        <family val="0"/>
        <charset val="1"/>
      </rPr>
      <t xml:space="preserve">Noël Nounagnon</t>
    </r>
  </si>
  <si>
    <r>
      <rPr>
        <sz val="10"/>
        <color rgb="FF000000"/>
        <rFont val="Tahoma"/>
        <family val="0"/>
        <charset val="134"/>
      </rPr>
      <t xml:space="preserve">ALAZA  </t>
    </r>
    <r>
      <rPr>
        <sz val="10"/>
        <color rgb="FF000000"/>
        <rFont val="Tahoma"/>
        <family val="0"/>
        <charset val="1"/>
      </rPr>
      <t xml:space="preserve">Djalilatou</t>
    </r>
  </si>
  <si>
    <r>
      <rPr>
        <sz val="10"/>
        <color rgb="FF000000"/>
        <rFont val="Tahoma"/>
        <family val="0"/>
        <charset val="134"/>
      </rPr>
      <t xml:space="preserve">AMASSIWAN </t>
    </r>
    <r>
      <rPr>
        <sz val="10"/>
        <color rgb="FF000000"/>
        <rFont val="Tahoma"/>
        <family val="0"/>
        <charset val="1"/>
      </rPr>
      <t xml:space="preserve">Alihossi Berthe Thérèse</t>
    </r>
  </si>
  <si>
    <r>
      <rPr>
        <sz val="10"/>
        <color rgb="FF000000"/>
        <rFont val="Tahoma"/>
        <family val="0"/>
        <charset val="134"/>
      </rPr>
      <t xml:space="preserve">AZATASSOU </t>
    </r>
    <r>
      <rPr>
        <sz val="10"/>
        <color rgb="FF000000"/>
        <rFont val="Tahoma"/>
        <family val="0"/>
        <charset val="1"/>
      </rPr>
      <t xml:space="preserve">Delphine</t>
    </r>
  </si>
  <si>
    <r>
      <rPr>
        <sz val="10"/>
        <color rgb="FF000000"/>
        <rFont val="Tahoma"/>
        <family val="0"/>
        <charset val="134"/>
      </rPr>
      <t xml:space="preserve">BATCHO </t>
    </r>
    <r>
      <rPr>
        <sz val="10"/>
        <color rgb="FF000000"/>
        <rFont val="Tahoma"/>
        <family val="0"/>
        <charset val="1"/>
      </rPr>
      <t xml:space="preserve">A. I. Chantal</t>
    </r>
  </si>
  <si>
    <r>
      <rPr>
        <sz val="10"/>
        <color rgb="FF000000"/>
        <rFont val="Tahoma"/>
        <family val="0"/>
        <charset val="134"/>
      </rPr>
      <t xml:space="preserve">BINAZ0N</t>
    </r>
    <r>
      <rPr>
        <sz val="10"/>
        <color rgb="FF000000"/>
        <rFont val="Tahoma"/>
        <family val="0"/>
        <charset val="1"/>
      </rPr>
      <t xml:space="preserve">Missidou Henri Dohoue</t>
    </r>
  </si>
  <si>
    <r>
      <rPr>
        <sz val="10"/>
        <color rgb="FF000000"/>
        <rFont val="Tahoma"/>
        <family val="0"/>
        <charset val="134"/>
      </rPr>
      <t xml:space="preserve">BOHOUN </t>
    </r>
    <r>
      <rPr>
        <sz val="10"/>
        <color rgb="FF000000"/>
        <rFont val="Tahoma"/>
        <family val="0"/>
        <charset val="1"/>
      </rPr>
      <t xml:space="preserve">Sempè Aude</t>
    </r>
  </si>
  <si>
    <r>
      <rPr>
        <sz val="10"/>
        <color rgb="FF000000"/>
        <rFont val="Tahoma"/>
        <family val="0"/>
        <charset val="134"/>
      </rPr>
      <t xml:space="preserve">BOSSOU </t>
    </r>
    <r>
      <rPr>
        <sz val="10"/>
        <color rgb="FF000000"/>
        <rFont val="Tahoma"/>
        <family val="0"/>
        <charset val="1"/>
      </rPr>
      <t xml:space="preserve">Edwige</t>
    </r>
  </si>
  <si>
    <r>
      <rPr>
        <sz val="10"/>
        <color rgb="FF000000"/>
        <rFont val="Tahoma"/>
        <family val="0"/>
        <charset val="134"/>
      </rPr>
      <t xml:space="preserve">CHABLIS</t>
    </r>
    <r>
      <rPr>
        <sz val="10"/>
        <color rgb="FF000000"/>
        <rFont val="Tahoma"/>
        <family val="0"/>
        <charset val="1"/>
      </rPr>
      <t xml:space="preserve">Marie N. Noëlie</t>
    </r>
  </si>
  <si>
    <r>
      <rPr>
        <sz val="10"/>
        <color rgb="FF000000"/>
        <rFont val="Tahoma"/>
        <family val="0"/>
        <charset val="134"/>
      </rPr>
      <t xml:space="preserve">CODJA </t>
    </r>
    <r>
      <rPr>
        <sz val="10"/>
        <color rgb="FF000000"/>
        <rFont val="Tahoma"/>
        <family val="0"/>
        <charset val="1"/>
      </rPr>
      <t xml:space="preserve">Adélaïde Houndéma</t>
    </r>
  </si>
  <si>
    <r>
      <rPr>
        <sz val="10"/>
        <color rgb="FF000000"/>
        <rFont val="Tahoma"/>
        <family val="0"/>
        <charset val="134"/>
      </rPr>
      <t xml:space="preserve">COFFY </t>
    </r>
    <r>
      <rPr>
        <sz val="10"/>
        <color rgb="FF000000"/>
        <rFont val="Tahoma"/>
        <family val="0"/>
        <charset val="1"/>
      </rPr>
      <t xml:space="preserve">Prisca  Fifamey</t>
    </r>
  </si>
  <si>
    <r>
      <rPr>
        <sz val="10"/>
        <color rgb="FF000000"/>
        <rFont val="Tahoma"/>
        <family val="0"/>
        <charset val="134"/>
      </rPr>
      <t xml:space="preserve">COMLANVI </t>
    </r>
    <r>
      <rPr>
        <sz val="10"/>
        <color rgb="FF000000"/>
        <rFont val="Tahoma"/>
        <family val="0"/>
        <charset val="1"/>
      </rPr>
      <t xml:space="preserve">Ablawa Armellia Nancy</t>
    </r>
  </si>
  <si>
    <r>
      <rPr>
        <sz val="10"/>
        <color rgb="FF000000"/>
        <rFont val="Tahoma"/>
        <family val="0"/>
        <charset val="134"/>
      </rPr>
      <t xml:space="preserve">DANGBE </t>
    </r>
    <r>
      <rPr>
        <sz val="10"/>
        <color rgb="FF000000"/>
        <rFont val="Tahoma"/>
        <family val="0"/>
        <charset val="1"/>
      </rPr>
      <t xml:space="preserve">Houéfa Huguette Ghislaine</t>
    </r>
  </si>
  <si>
    <r>
      <rPr>
        <sz val="10"/>
        <color rgb="FF000000"/>
        <rFont val="Tahoma"/>
        <family val="0"/>
        <charset val="134"/>
      </rPr>
      <t xml:space="preserve">DENADI</t>
    </r>
    <r>
      <rPr>
        <sz val="10"/>
        <color rgb="FF000000"/>
        <rFont val="Tahoma"/>
        <family val="0"/>
        <charset val="1"/>
      </rPr>
      <t xml:space="preserve">Sènami Lydie Edith</t>
    </r>
  </si>
  <si>
    <r>
      <rPr>
        <sz val="10"/>
        <color rgb="FF000000"/>
        <rFont val="Tahoma"/>
        <family val="0"/>
        <charset val="134"/>
      </rPr>
      <t xml:space="preserve">DENADI  </t>
    </r>
    <r>
      <rPr>
        <sz val="10"/>
        <color rgb="FF000000"/>
        <rFont val="Tahoma"/>
        <family val="0"/>
        <charset val="1"/>
      </rPr>
      <t xml:space="preserve">Pierrette</t>
    </r>
  </si>
  <si>
    <r>
      <rPr>
        <sz val="10"/>
        <color rgb="FF000000"/>
        <rFont val="Tahoma"/>
        <family val="0"/>
        <charset val="134"/>
      </rPr>
      <t xml:space="preserve">DJIDONOU MEDEGNONWA </t>
    </r>
    <r>
      <rPr>
        <sz val="10"/>
        <color rgb="FF000000"/>
        <rFont val="Tahoma"/>
        <family val="0"/>
        <charset val="1"/>
      </rPr>
      <t xml:space="preserve">A. Sidonie F. Hélène</t>
    </r>
  </si>
  <si>
    <r>
      <rPr>
        <sz val="10"/>
        <color rgb="FF000000"/>
        <rFont val="Tahoma"/>
        <family val="0"/>
        <charset val="134"/>
      </rPr>
      <t xml:space="preserve">DOMINGO </t>
    </r>
    <r>
      <rPr>
        <sz val="10"/>
        <color rgb="FF000000"/>
        <rFont val="Tahoma"/>
        <family val="0"/>
        <charset val="1"/>
      </rPr>
      <t xml:space="preserve">Vihotogbé Lucresse Laurence</t>
    </r>
  </si>
  <si>
    <r>
      <rPr>
        <sz val="10"/>
        <color rgb="FF000000"/>
        <rFont val="Tahoma"/>
        <family val="0"/>
        <charset val="134"/>
      </rPr>
      <t xml:space="preserve">ETEKA </t>
    </r>
    <r>
      <rPr>
        <sz val="10"/>
        <color rgb="FF000000"/>
        <rFont val="Tahoma"/>
        <family val="0"/>
        <charset val="1"/>
      </rPr>
      <t xml:space="preserve">Tinikowa Prudencia Doris</t>
    </r>
  </si>
  <si>
    <r>
      <rPr>
        <sz val="10"/>
        <color rgb="FF000000"/>
        <rFont val="Tahoma"/>
        <family val="0"/>
        <charset val="134"/>
      </rPr>
      <t xml:space="preserve">FANDI </t>
    </r>
    <r>
      <rPr>
        <sz val="10"/>
        <color rgb="FF000000"/>
        <rFont val="Tahoma"/>
        <family val="0"/>
        <charset val="1"/>
      </rPr>
      <t xml:space="preserve">Oboubé Olivia</t>
    </r>
  </si>
  <si>
    <r>
      <rPr>
        <sz val="10"/>
        <color rgb="FF000000"/>
        <rFont val="Tahoma"/>
        <family val="0"/>
        <charset val="134"/>
      </rPr>
      <t xml:space="preserve">FIDEMATIN </t>
    </r>
    <r>
      <rPr>
        <sz val="10"/>
        <color rgb="FF000000"/>
        <rFont val="Tahoma"/>
        <family val="0"/>
        <charset val="1"/>
      </rPr>
      <t xml:space="preserve">Gbèdohouèdé Vital</t>
    </r>
  </si>
  <si>
    <r>
      <rPr>
        <sz val="10"/>
        <color rgb="FF000000"/>
        <rFont val="Calibri"/>
        <family val="0"/>
        <charset val="134"/>
      </rPr>
      <t xml:space="preserve">FOURDI </t>
    </r>
    <r>
      <rPr>
        <sz val="10"/>
        <color rgb="FF000000"/>
        <rFont val="Calibri"/>
        <family val="0"/>
        <charset val="1"/>
      </rPr>
      <t xml:space="preserve">Séïdou Pierre Damien</t>
    </r>
  </si>
  <si>
    <r>
      <rPr>
        <sz val="10"/>
        <color rgb="FF000000"/>
        <rFont val="Tahoma"/>
        <family val="0"/>
        <charset val="134"/>
      </rPr>
      <t xml:space="preserve">GANSIMIN </t>
    </r>
    <r>
      <rPr>
        <sz val="10"/>
        <color rgb="FF000000"/>
        <rFont val="Tahoma"/>
        <family val="0"/>
        <charset val="1"/>
      </rPr>
      <t xml:space="preserve">Sêkimonwan Vincent</t>
    </r>
  </si>
  <si>
    <r>
      <rPr>
        <sz val="10"/>
        <color rgb="FF000000"/>
        <rFont val="Tahoma"/>
        <family val="0"/>
        <charset val="134"/>
      </rPr>
      <t xml:space="preserve">GOUKPANIAN  </t>
    </r>
    <r>
      <rPr>
        <sz val="10"/>
        <color rgb="FF000000"/>
        <rFont val="Tahoma"/>
        <family val="0"/>
        <charset val="1"/>
      </rPr>
      <t xml:space="preserve">Germain</t>
    </r>
  </si>
  <si>
    <r>
      <rPr>
        <sz val="10"/>
        <color rgb="FF000000"/>
        <rFont val="Tahoma"/>
        <family val="0"/>
        <charset val="134"/>
      </rPr>
      <t xml:space="preserve">HOUEDE </t>
    </r>
    <r>
      <rPr>
        <sz val="10"/>
        <color rgb="FF000000"/>
        <rFont val="Tahoma"/>
        <family val="0"/>
        <charset val="1"/>
      </rPr>
      <t xml:space="preserve">Angèle</t>
    </r>
  </si>
  <si>
    <r>
      <rPr>
        <sz val="10"/>
        <color rgb="FF000000"/>
        <rFont val="Tahoma"/>
        <family val="0"/>
        <charset val="134"/>
      </rPr>
      <t xml:space="preserve">HOUNZANDJI </t>
    </r>
    <r>
      <rPr>
        <sz val="10"/>
        <color rgb="FF000000"/>
        <rFont val="Tahoma"/>
        <family val="0"/>
        <charset val="1"/>
      </rPr>
      <t xml:space="preserve">Sèmèvo Chantale</t>
    </r>
  </si>
  <si>
    <r>
      <rPr>
        <sz val="10"/>
        <color rgb="FF000000"/>
        <rFont val="Tahoma"/>
        <family val="0"/>
        <charset val="134"/>
      </rPr>
      <t xml:space="preserve">KOUCHORO </t>
    </r>
    <r>
      <rPr>
        <sz val="10"/>
        <color rgb="FF000000"/>
        <rFont val="Tahoma"/>
        <family val="0"/>
        <charset val="1"/>
      </rPr>
      <t xml:space="preserve">Hovoèdo Achabi Falilath</t>
    </r>
  </si>
  <si>
    <r>
      <rPr>
        <sz val="10"/>
        <color rgb="FF000000"/>
        <rFont val="Tahoma"/>
        <family val="0"/>
        <charset val="134"/>
      </rPr>
      <t xml:space="preserve">KOUKPO </t>
    </r>
    <r>
      <rPr>
        <sz val="10"/>
        <color rgb="FF000000"/>
        <rFont val="Tahoma"/>
        <family val="0"/>
        <charset val="1"/>
      </rPr>
      <t xml:space="preserve">Agnihonsi Agossino Angèle</t>
    </r>
  </si>
  <si>
    <r>
      <rPr>
        <sz val="10"/>
        <color rgb="FF000000"/>
        <rFont val="Tahoma"/>
        <family val="0"/>
        <charset val="134"/>
      </rPr>
      <t xml:space="preserve">KOULO </t>
    </r>
    <r>
      <rPr>
        <sz val="10"/>
        <color rgb="FF000000"/>
        <rFont val="Tahoma"/>
        <family val="0"/>
        <charset val="1"/>
      </rPr>
      <t xml:space="preserve">Hermine Fernande</t>
    </r>
  </si>
  <si>
    <r>
      <rPr>
        <sz val="10"/>
        <color rgb="FF000000"/>
        <rFont val="Tahoma"/>
        <family val="0"/>
        <charset val="134"/>
      </rPr>
      <t xml:space="preserve">KOURA </t>
    </r>
    <r>
      <rPr>
        <sz val="10"/>
        <color rgb="FF000000"/>
        <rFont val="Tahoma"/>
        <family val="0"/>
        <charset val="1"/>
      </rPr>
      <t xml:space="preserve">Marceline</t>
    </r>
  </si>
  <si>
    <r>
      <rPr>
        <sz val="10"/>
        <color rgb="FF000000"/>
        <rFont val="Tahoma"/>
        <family val="0"/>
        <charset val="134"/>
      </rPr>
      <t xml:space="preserve">KPODOHOUN </t>
    </r>
    <r>
      <rPr>
        <sz val="10"/>
        <color rgb="FF000000"/>
        <rFont val="Tahoma"/>
        <family val="0"/>
        <charset val="1"/>
      </rPr>
      <t xml:space="preserve">Sosthème Dispro N’Yamide Ayaba</t>
    </r>
  </si>
  <si>
    <r>
      <rPr>
        <sz val="10"/>
        <color rgb="FF000000"/>
        <rFont val="Tahoma"/>
        <family val="0"/>
        <charset val="134"/>
      </rPr>
      <t xml:space="preserve">KPOKPOYA </t>
    </r>
    <r>
      <rPr>
        <sz val="10"/>
        <color rgb="FF000000"/>
        <rFont val="Tahoma"/>
        <family val="0"/>
        <charset val="1"/>
      </rPr>
      <t xml:space="preserve">A. M. Josiane</t>
    </r>
  </si>
  <si>
    <r>
      <rPr>
        <sz val="10"/>
        <color rgb="FF000000"/>
        <rFont val="Tahoma"/>
        <family val="0"/>
        <charset val="134"/>
      </rPr>
      <t xml:space="preserve">LOKO </t>
    </r>
    <r>
      <rPr>
        <sz val="10"/>
        <color rgb="FF000000"/>
        <rFont val="Tahoma"/>
        <family val="0"/>
        <charset val="1"/>
      </rPr>
      <t xml:space="preserve">Carôle Viho</t>
    </r>
  </si>
  <si>
    <r>
      <rPr>
        <sz val="10"/>
        <color rgb="FF000000"/>
        <rFont val="Tahoma"/>
        <family val="0"/>
        <charset val="134"/>
      </rPr>
      <t xml:space="preserve">MADOU </t>
    </r>
    <r>
      <rPr>
        <sz val="10"/>
        <color rgb="FF000000"/>
        <rFont val="Tahoma"/>
        <family val="0"/>
        <charset val="1"/>
      </rPr>
      <t xml:space="preserve">Monsohi Hélène</t>
    </r>
  </si>
  <si>
    <r>
      <rPr>
        <sz val="10"/>
        <color rgb="FF000000"/>
        <rFont val="Tahoma"/>
        <family val="0"/>
        <charset val="134"/>
      </rPr>
      <t xml:space="preserve">MEHOU </t>
    </r>
    <r>
      <rPr>
        <sz val="10"/>
        <color rgb="FF000000"/>
        <rFont val="Tahoma"/>
        <family val="0"/>
        <charset val="1"/>
      </rPr>
      <t xml:space="preserve">Edjrossè Félicité</t>
    </r>
  </si>
  <si>
    <r>
      <rPr>
        <sz val="10"/>
        <color rgb="FF000000"/>
        <rFont val="Tahoma"/>
        <family val="0"/>
        <charset val="134"/>
      </rPr>
      <t xml:space="preserve">MEKPO </t>
    </r>
    <r>
      <rPr>
        <sz val="10"/>
        <color rgb="FF000000"/>
        <rFont val="Tahoma"/>
        <family val="0"/>
        <charset val="1"/>
      </rPr>
      <t xml:space="preserve">Adjowavi Blandine</t>
    </r>
  </si>
  <si>
    <r>
      <rPr>
        <sz val="10"/>
        <color rgb="FF000000"/>
        <rFont val="Tahoma"/>
        <family val="0"/>
        <charset val="134"/>
      </rPr>
      <t xml:space="preserve">METOGNINOU  </t>
    </r>
    <r>
      <rPr>
        <sz val="10"/>
        <color rgb="FF000000"/>
        <rFont val="Tahoma"/>
        <family val="0"/>
        <charset val="1"/>
      </rPr>
      <t xml:space="preserve">Elisabeth</t>
    </r>
  </si>
  <si>
    <r>
      <rPr>
        <sz val="10"/>
        <color rgb="FF000000"/>
        <rFont val="Tahoma"/>
        <family val="0"/>
        <charset val="134"/>
      </rPr>
      <t xml:space="preserve">ODJO </t>
    </r>
    <r>
      <rPr>
        <sz val="10"/>
        <color rgb="FF000000"/>
        <rFont val="Tahoma"/>
        <family val="0"/>
        <charset val="1"/>
      </rPr>
      <t xml:space="preserve">Caroline</t>
    </r>
  </si>
  <si>
    <r>
      <rPr>
        <sz val="10"/>
        <color rgb="FF000000"/>
        <rFont val="Tahoma"/>
        <family val="0"/>
        <charset val="134"/>
      </rPr>
      <t xml:space="preserve">OKIOH </t>
    </r>
    <r>
      <rPr>
        <sz val="10"/>
        <color rgb="FF000000"/>
        <rFont val="Tahoma"/>
        <family val="0"/>
        <charset val="1"/>
      </rPr>
      <t xml:space="preserve">Annick Olga Akodédjou Mondoukpè</t>
    </r>
  </si>
  <si>
    <r>
      <rPr>
        <sz val="10"/>
        <color rgb="FF000000"/>
        <rFont val="Tahoma"/>
        <family val="0"/>
        <charset val="134"/>
      </rPr>
      <t xml:space="preserve">SAGBOHAN </t>
    </r>
    <r>
      <rPr>
        <sz val="10"/>
        <color rgb="FF000000"/>
        <rFont val="Tahoma"/>
        <family val="0"/>
        <charset val="1"/>
      </rPr>
      <t xml:space="preserve">Mèdessè Evelyne</t>
    </r>
  </si>
  <si>
    <r>
      <rPr>
        <sz val="10"/>
        <color rgb="FF000000"/>
        <rFont val="Tahoma"/>
        <family val="0"/>
        <charset val="134"/>
      </rPr>
      <t xml:space="preserve">SANNY </t>
    </r>
    <r>
      <rPr>
        <sz val="10"/>
        <color rgb="FF000000"/>
        <rFont val="Tahoma"/>
        <family val="0"/>
        <charset val="1"/>
      </rPr>
      <t xml:space="preserve">Geneviève Abodourin</t>
    </r>
  </si>
  <si>
    <r>
      <rPr>
        <sz val="10"/>
        <color rgb="FF000000"/>
        <rFont val="Tahoma"/>
        <family val="0"/>
        <charset val="134"/>
      </rPr>
      <t xml:space="preserve">SANOUSSI </t>
    </r>
    <r>
      <rPr>
        <sz val="10"/>
        <color rgb="FF000000"/>
        <rFont val="Tahoma"/>
        <family val="0"/>
        <charset val="1"/>
      </rPr>
      <t xml:space="preserve">Adjokè Latifatou</t>
    </r>
  </si>
  <si>
    <r>
      <rPr>
        <sz val="12"/>
        <color rgb="FF000000"/>
        <rFont val="Calibri"/>
        <family val="0"/>
        <charset val="134"/>
      </rPr>
      <t xml:space="preserve">SEGBEDJI </t>
    </r>
    <r>
      <rPr>
        <sz val="12"/>
        <color rgb="FF000000"/>
        <rFont val="Calibri"/>
        <family val="0"/>
        <charset val="1"/>
      </rPr>
      <t xml:space="preserve">Edwige</t>
    </r>
  </si>
  <si>
    <r>
      <rPr>
        <sz val="10"/>
        <color rgb="FF000000"/>
        <rFont val="Tahoma"/>
        <family val="0"/>
        <charset val="134"/>
      </rPr>
      <t xml:space="preserve">SINGBO </t>
    </r>
    <r>
      <rPr>
        <sz val="10"/>
        <color rgb="FF000000"/>
        <rFont val="Tahoma"/>
        <family val="0"/>
        <charset val="1"/>
      </rPr>
      <t xml:space="preserve">Missimahu Fidélia Valérie</t>
    </r>
  </si>
  <si>
    <r>
      <rPr>
        <sz val="10"/>
        <color rgb="FF000000"/>
        <rFont val="Tahoma"/>
        <family val="0"/>
        <charset val="134"/>
      </rPr>
      <t xml:space="preserve">SOUROU </t>
    </r>
    <r>
      <rPr>
        <sz val="10"/>
        <color rgb="FF000000"/>
        <rFont val="Tahoma"/>
        <family val="0"/>
        <charset val="1"/>
      </rPr>
      <t xml:space="preserve">Jacqueline Penty Miton</t>
    </r>
  </si>
  <si>
    <r>
      <rPr>
        <sz val="10"/>
        <color rgb="FF000000"/>
        <rFont val="Tahoma"/>
        <family val="0"/>
        <charset val="134"/>
      </rPr>
      <t xml:space="preserve">TASSI</t>
    </r>
    <r>
      <rPr>
        <sz val="10"/>
        <color rgb="FF000000"/>
        <rFont val="Tahoma"/>
        <family val="0"/>
        <charset val="1"/>
      </rPr>
      <t xml:space="preserve">Neully Euridice Alice</t>
    </r>
  </si>
  <si>
    <r>
      <rPr>
        <sz val="10"/>
        <color rgb="FF000000"/>
        <rFont val="Tahoma"/>
        <family val="0"/>
        <charset val="134"/>
      </rPr>
      <t xml:space="preserve">TOFFA </t>
    </r>
    <r>
      <rPr>
        <sz val="10"/>
        <color rgb="FF000000"/>
        <rFont val="Tahoma"/>
        <family val="0"/>
        <charset val="1"/>
      </rPr>
      <t xml:space="preserve">Christelle Yvette</t>
    </r>
  </si>
  <si>
    <r>
      <rPr>
        <sz val="10"/>
        <color rgb="FF000000"/>
        <rFont val="Calibri"/>
        <family val="0"/>
        <charset val="134"/>
      </rPr>
      <t xml:space="preserve">TOKOUZAN </t>
    </r>
    <r>
      <rPr>
        <sz val="10"/>
        <color rgb="FF000000"/>
        <rFont val="Calibri"/>
        <family val="0"/>
        <charset val="1"/>
      </rPr>
      <t xml:space="preserve">Eloïse</t>
    </r>
  </si>
  <si>
    <r>
      <rPr>
        <sz val="10"/>
        <color rgb="FF000000"/>
        <rFont val="Tahoma"/>
        <family val="0"/>
        <charset val="134"/>
      </rPr>
      <t xml:space="preserve">TOSSOU</t>
    </r>
    <r>
      <rPr>
        <sz val="10"/>
        <color theme="1"/>
        <rFont val="Tahoma"/>
        <family val="0"/>
        <charset val="1"/>
      </rPr>
      <t xml:space="preserve">Carroline</t>
    </r>
  </si>
  <si>
    <r>
      <rPr>
        <sz val="10"/>
        <color rgb="FF000000"/>
        <rFont val="Tahoma"/>
        <family val="0"/>
        <charset val="134"/>
      </rPr>
      <t xml:space="preserve">VODOUNNOU </t>
    </r>
    <r>
      <rPr>
        <sz val="10"/>
        <color rgb="FF000000"/>
        <rFont val="Tahoma"/>
        <family val="0"/>
        <charset val="1"/>
      </rPr>
      <t xml:space="preserve">Sèho Sadok Roméo</t>
    </r>
  </si>
  <si>
    <r>
      <rPr>
        <sz val="10"/>
        <color rgb="FF000000"/>
        <rFont val="Tahoma"/>
        <family val="0"/>
        <charset val="134"/>
      </rPr>
      <t xml:space="preserve">WELE PASCAL </t>
    </r>
    <r>
      <rPr>
        <sz val="10"/>
        <color rgb="FF000000"/>
        <rFont val="Tahoma"/>
        <family val="0"/>
        <charset val="1"/>
      </rPr>
      <t xml:space="preserve">Anne</t>
    </r>
  </si>
  <si>
    <t xml:space="preserve">INGENIEUR DE CONCEPTION  EN GENIE CIVIL 2017-2018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</si>
  <si>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CIVIL</t>
    </r>
  </si>
  <si>
    <t xml:space="preserve">NOM ET PRENOMS</t>
  </si>
  <si>
    <t xml:space="preserve">ADJAHO V. Olivier Poitiers</t>
  </si>
  <si>
    <t xml:space="preserve">ADOHO Sènakpon Parfait</t>
  </si>
  <si>
    <t xml:space="preserve">ADRA Coffi Elias </t>
  </si>
  <si>
    <t xml:space="preserve">AGBE Narcisse Vignon</t>
  </si>
  <si>
    <t xml:space="preserve">AGLI Arnaud</t>
  </si>
  <si>
    <t xml:space="preserve">AGOSSOU C. Fabrice</t>
  </si>
  <si>
    <t xml:space="preserve">AGUIDISSOU Crespin</t>
  </si>
  <si>
    <t xml:space="preserve">AILO KOSSI Laurent</t>
  </si>
  <si>
    <t xml:space="preserve">AKOUTA Franck</t>
  </si>
  <si>
    <t xml:space="preserve">ATTIKPA Alexis</t>
  </si>
  <si>
    <t xml:space="preserve">DADONOUGBO T. Mathieu</t>
  </si>
  <si>
    <t xml:space="preserve">de SOUZA Fiacre Sewanou</t>
  </si>
  <si>
    <t xml:space="preserve">DEGUENON Mahugnon Bienvenu</t>
  </si>
  <si>
    <t xml:space="preserve">DOSSA Y. C. Placide A.</t>
  </si>
  <si>
    <t xml:space="preserve">GBEMENOU Gabin</t>
  </si>
  <si>
    <t xml:space="preserve">GNONLONFOUN Frank Françis J.</t>
  </si>
  <si>
    <t xml:space="preserve">HOUNWAKANOU Carlos</t>
  </si>
  <si>
    <t xml:space="preserve">HOUNYEME Ferdinand</t>
  </si>
  <si>
    <t xml:space="preserve">HOUSSOU KICHO Eliane</t>
  </si>
  <si>
    <t xml:space="preserve">KOLEOCHO SALAMI Laïssi</t>
  </si>
  <si>
    <t xml:space="preserve">KOLOYITO Luc</t>
  </si>
  <si>
    <t xml:space="preserve">KOTY S. Damien</t>
  </si>
  <si>
    <t xml:space="preserve">KOUHONOU Hector A.</t>
  </si>
  <si>
    <t xml:space="preserve">KPATCHAVI A. Damien</t>
  </si>
  <si>
    <t xml:space="preserve">LANTONKPODE  Stanislas</t>
  </si>
  <si>
    <t xml:space="preserve">MICHOZOUNNOU N. Benoit</t>
  </si>
  <si>
    <t xml:space="preserve">MILOHIN Claude</t>
  </si>
  <si>
    <t xml:space="preserve">MOUSSA ALASSOLE K. Dine M.</t>
  </si>
  <si>
    <t xml:space="preserve">MOUTAIROU Abdel Assad</t>
  </si>
  <si>
    <t xml:space="preserve">M'PO MBIMA KOUAGOU Soukou</t>
  </si>
  <si>
    <t xml:space="preserve">NOUNAWON Sena Herve</t>
  </si>
  <si>
    <t xml:space="preserve">OROULA S. Michel</t>
  </si>
  <si>
    <t xml:space="preserve">SAGBOHAN D. Joël</t>
  </si>
  <si>
    <t xml:space="preserve">SALIFOU Abdel Smail I.</t>
  </si>
  <si>
    <t xml:space="preserve">SEMAKO Serge Gislain N.</t>
  </si>
  <si>
    <t xml:space="preserve">TAMEGNON Bertin Roger</t>
  </si>
  <si>
    <t xml:space="preserve">TOKPANOUDE Diane</t>
  </si>
  <si>
    <t xml:space="preserve">VICHEMEY Samson</t>
  </si>
  <si>
    <t xml:space="preserve">ZOLA ZOSSOU Megni Bido Maroubou</t>
  </si>
  <si>
    <t xml:space="preserve">INGENIEUR EN GENIE CIVIL 2017-2018</t>
  </si>
  <si>
    <t xml:space="preserve"> DAGBA Y. Eric</t>
  </si>
  <si>
    <t xml:space="preserve">ADINGNI Léonce</t>
  </si>
  <si>
    <t xml:space="preserve">ADJOVI Ezekiel</t>
  </si>
  <si>
    <t xml:space="preserve">AGOSSOU Rogatien</t>
  </si>
  <si>
    <t xml:space="preserve">AKAKPO Alfred</t>
  </si>
  <si>
    <t xml:space="preserve">ALLOGNON G. Rodrigue</t>
  </si>
  <si>
    <t xml:space="preserve">ALLOHOUMBO M. Virgile Copernick</t>
  </si>
  <si>
    <t xml:space="preserve">AMOUSSOU Comlan Prudencio</t>
  </si>
  <si>
    <t xml:space="preserve">ASSO Alidou Amos</t>
  </si>
  <si>
    <t xml:space="preserve">ASSOGBA S. Christel</t>
  </si>
  <si>
    <t xml:space="preserve">AVOTRICAN Thierry Cedric</t>
  </si>
  <si>
    <t xml:space="preserve">DAKOSSI Abel</t>
  </si>
  <si>
    <t xml:space="preserve">DANNOU R. Privat</t>
  </si>
  <si>
    <t xml:space="preserve">DJOSSOU Berthelot</t>
  </si>
  <si>
    <t xml:space="preserve">DURAND Neil Giovani</t>
  </si>
  <si>
    <t xml:space="preserve">FAVI Marcelline Imeda</t>
  </si>
  <si>
    <t xml:space="preserve">GBAKOUE Zinhoué H. Bernadine</t>
  </si>
  <si>
    <t xml:space="preserve">GUEDE Jean Bosco Giovanni</t>
  </si>
  <si>
    <t xml:space="preserve">HOUKPETODE Eric</t>
  </si>
  <si>
    <t xml:space="preserve">KOBA AKOTCHAYE Martinien</t>
  </si>
  <si>
    <t xml:space="preserve">KAHO RHODE Dagbégnikin</t>
  </si>
  <si>
    <t xml:space="preserve">KOTCHE B. Christel</t>
  </si>
  <si>
    <t xml:space="preserve">KOTO Madjeed</t>
  </si>
  <si>
    <t xml:space="preserve">LINO Marielle K.  Madjè</t>
  </si>
  <si>
    <t xml:space="preserve">MEHOU GBEDOLO Désiré Hugues</t>
  </si>
  <si>
    <t xml:space="preserve">MENSAH Abel Négo</t>
  </si>
  <si>
    <t xml:space="preserve">METODAKOU Herbert</t>
  </si>
  <si>
    <t xml:space="preserve">OGOU Nel Midas</t>
  </si>
  <si>
    <t xml:space="preserve">OGOUNGBE A. Franck</t>
  </si>
  <si>
    <t xml:space="preserve">OUSMANE Issaka</t>
  </si>
  <si>
    <t xml:space="preserve">PADONOU Carmel</t>
  </si>
  <si>
    <t xml:space="preserve">PATINVOH Fiacre Candide</t>
  </si>
  <si>
    <t xml:space="preserve">SODEDJI Nadine</t>
  </si>
  <si>
    <t xml:space="preserve">SOVI Géraud Sèna</t>
  </si>
  <si>
    <t xml:space="preserve">TCHEHOUALI Nadège</t>
  </si>
  <si>
    <t xml:space="preserve">THOTO B. E. Evrard</t>
  </si>
  <si>
    <t xml:space="preserve">TOFFA H. Joël</t>
  </si>
  <si>
    <t xml:space="preserve">TONI Diane</t>
  </si>
  <si>
    <t xml:space="preserve">TOSSA H. Polycarpe</t>
  </si>
  <si>
    <t xml:space="preserve">TOSSOU Séverin</t>
  </si>
  <si>
    <t xml:space="preserve">TOUMENOU Liberty S. Brice</t>
  </si>
  <si>
    <t xml:space="preserve">ZINGBE Luc</t>
  </si>
  <si>
    <t xml:space="preserve">INGENIEUR GEOMETRE TOPOGRAPHE 2017-2018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</si>
  <si>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GEOMETRE TOPOGRAPHE</t>
    </r>
  </si>
  <si>
    <t xml:space="preserve">ADJIBOYE Koyodé Sylvestre</t>
  </si>
  <si>
    <t xml:space="preserve">AFFOGNON Hyacinthe A.</t>
  </si>
  <si>
    <t xml:space="preserve">AGBESSI A. Marc</t>
  </si>
  <si>
    <t xml:space="preserve">ATANKPON A. Germain D.</t>
  </si>
  <si>
    <t xml:space="preserve">BAKO Malik</t>
  </si>
  <si>
    <t xml:space="preserve">BOGLO MENSAH Kenth Gedéon</t>
  </si>
  <si>
    <t xml:space="preserve">CHODATON Hurbert Hervé</t>
  </si>
  <si>
    <t xml:space="preserve">FADO Sourou Vivien</t>
  </si>
  <si>
    <t xml:space="preserve">HOUESSIONON Chantale Mahoudjro</t>
  </si>
  <si>
    <t xml:space="preserve">HOUETO Bernad Mahougnon</t>
  </si>
  <si>
    <t xml:space="preserve">HOUETOHOSSOU Hospice</t>
  </si>
  <si>
    <t xml:space="preserve">HOUNDJE Polycarpe C.</t>
  </si>
  <si>
    <t xml:space="preserve">HOUNLELOU Franck</t>
  </si>
  <si>
    <t xml:space="preserve">KOKOUVI Ayi Paul Louis</t>
  </si>
  <si>
    <t xml:space="preserve">KOUDJROHEDE Boris S. Modeste</t>
  </si>
  <si>
    <t xml:space="preserve">KPADONOU Joël Henry</t>
  </si>
  <si>
    <t xml:space="preserve">SEGO Arnaud</t>
  </si>
  <si>
    <t xml:space="preserve">SEMASSOU Jean Rodrigue</t>
  </si>
  <si>
    <t xml:space="preserve">TANKEU GWAMBA Jocelyn Ines</t>
  </si>
  <si>
    <t xml:space="preserve">TCHIDI Sèwanou Rodolphe</t>
  </si>
  <si>
    <t xml:space="preserve">YENOUSSA Ileassou Alabi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</si>
  <si>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GENIE CIVIL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</si>
  <si>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CERTIFICAT PREPARATOIRE</t>
    </r>
  </si>
  <si>
    <t xml:space="preserve">ACLEHINTO Armand Lyonnel</t>
  </si>
  <si>
    <t xml:space="preserve">ADANHONDJI Aristide Narcisse</t>
  </si>
  <si>
    <t xml:space="preserve">AFFOGNON Levis Babatounde</t>
  </si>
  <si>
    <t xml:space="preserve">AGBEGNIGAN C.  Adonis Darwin</t>
  </si>
  <si>
    <t xml:space="preserve">AKPAKA Jean Baptise R.</t>
  </si>
  <si>
    <t xml:space="preserve">AMOUSSOU S Servais</t>
  </si>
  <si>
    <t xml:space="preserve">ASSOGBA ZANNOU Roland</t>
  </si>
  <si>
    <t xml:space="preserve">ASSOGBA SOUROU Albert Fortune</t>
  </si>
  <si>
    <t xml:space="preserve">AZONNOUDO G. Hugues E.</t>
  </si>
  <si>
    <t xml:space="preserve">GBAGUIDI A. Ulysse</t>
  </si>
  <si>
    <t xml:space="preserve">GUEDOU Pascal M.</t>
  </si>
  <si>
    <t xml:space="preserve">HODONOU Cossi</t>
  </si>
  <si>
    <t xml:space="preserve">HONFO Josias Frangy</t>
  </si>
  <si>
    <t xml:space="preserve">HOUNDANON HOUMENOU Habib</t>
  </si>
  <si>
    <t xml:space="preserve">HOUNYEME A. Amédé Herman</t>
  </si>
  <si>
    <t xml:space="preserve">HOUNKANRIN B. Princia</t>
  </si>
  <si>
    <t xml:space="preserve">IBRAHIMA Nazifatou</t>
  </si>
  <si>
    <t xml:space="preserve">KAKPOVI M. K. Isidore</t>
  </si>
  <si>
    <t xml:space="preserve">KONE Oubédoulaye</t>
  </si>
  <si>
    <t xml:space="preserve">KOTCHE F. Fructueux</t>
  </si>
  <si>
    <t xml:space="preserve">LEGAME SEDETO Bernadin</t>
  </si>
  <si>
    <t xml:space="preserve">LEGBA Boris</t>
  </si>
  <si>
    <t xml:space="preserve">LOHOU MESSAN Alexandre</t>
  </si>
  <si>
    <t xml:space="preserve">MAHINOU Augustin</t>
  </si>
  <si>
    <t xml:space="preserve">MOUSTAPHA FARAGE Agnidé</t>
  </si>
  <si>
    <t xml:space="preserve">NAHINI T. Mauris</t>
  </si>
  <si>
    <t xml:space="preserve">N'PO TEDAATA N. DA. Antoine</t>
  </si>
  <si>
    <t xml:space="preserve">ODOUNTAN Saturnin</t>
  </si>
  <si>
    <t xml:space="preserve">OGUIDAN Charles</t>
  </si>
  <si>
    <t xml:space="preserve">OTCHOUN H. Léon</t>
  </si>
  <si>
    <t xml:space="preserve">SARE KPERA Felicien</t>
  </si>
  <si>
    <t xml:space="preserve">SEHOUHOUE Thiery</t>
  </si>
  <si>
    <t xml:space="preserve">SEIDOU A. Riyal</t>
  </si>
  <si>
    <t xml:space="preserve">SIDI ABDOU Fadel</t>
  </si>
  <si>
    <t xml:space="preserve">SOBABE Roukaiyatou</t>
  </si>
  <si>
    <t xml:space="preserve">SOULE Sammuel</t>
  </si>
  <si>
    <t xml:space="preserve">TCHANKPANLIKAN M. Septime Carbel</t>
  </si>
  <si>
    <t xml:space="preserve">TONAHIN Bertin</t>
  </si>
  <si>
    <t xml:space="preserve">TOSSOU M. Brice</t>
  </si>
  <si>
    <t xml:space="preserve">PRESENTIEL LICENCE PROFESSIONNELLE 2017-2018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</si>
  <si>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GENIE CIVIL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</si>
  <si>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1ERE ANNEE</t>
    </r>
  </si>
  <si>
    <t xml:space="preserve">ABIOSSE O. Salomon</t>
  </si>
  <si>
    <t xml:space="preserve">ABOTO Messan Koffi Renaud</t>
  </si>
  <si>
    <t xml:space="preserve">ABOUBAKARY Ahmadou</t>
  </si>
  <si>
    <t xml:space="preserve">ADEGNIKA Amos A. B.</t>
  </si>
  <si>
    <t xml:space="preserve">j,l4</t>
  </si>
  <si>
    <t xml:space="preserve">ADJALALA Carine Houéfa</t>
  </si>
  <si>
    <t xml:space="preserve">AGOSSA Fréchinot Derrick</t>
  </si>
  <si>
    <t xml:space="preserve">AKIEMI O. Modeste</t>
  </si>
  <si>
    <t xml:space="preserve">AKPOVO Jean Laurent</t>
  </si>
  <si>
    <t xml:space="preserve">AMAHOUNNON Jean-Baptise O.</t>
  </si>
  <si>
    <t xml:space="preserve">AVLESSI Joël</t>
  </si>
  <si>
    <t xml:space="preserve">AZEHOUNOU Cosme Emeric</t>
  </si>
  <si>
    <t xml:space="preserve">BELCO Malidjanatou</t>
  </si>
  <si>
    <t xml:space="preserve">DAGNON Giscard H.</t>
  </si>
  <si>
    <t xml:space="preserve">DOSSOU S. Pascal Amos</t>
  </si>
  <si>
    <t xml:space="preserve">EHAKO Exaucé Paul</t>
  </si>
  <si>
    <t xml:space="preserve">GBETI Aaron Sousouni</t>
  </si>
  <si>
    <t xml:space="preserve">GBODJINOU S. Navidal</t>
  </si>
  <si>
    <t xml:space="preserve">GOUDOU T. Modeste</t>
  </si>
  <si>
    <t xml:space="preserve">GUEHOU Arnaud Chabel</t>
  </si>
  <si>
    <t xml:space="preserve">HOUESSIONON Koffi Armand D.</t>
  </si>
  <si>
    <t xml:space="preserve">KONKONGOU S. Enock</t>
  </si>
  <si>
    <t xml:space="preserve">KORA GUERA S. Wahid</t>
  </si>
  <si>
    <t xml:space="preserve">M'PASSANNI N'TCHA Kanti Reine</t>
  </si>
  <si>
    <t xml:space="preserve">NAKA Eddy E. Henderson</t>
  </si>
  <si>
    <t xml:space="preserve">NANCI Christian Désiré</t>
  </si>
  <si>
    <t xml:space="preserve">ZANNOU Marvin Marius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</si>
  <si>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2EME ANNEE</t>
    </r>
  </si>
  <si>
    <t xml:space="preserve">ASSONGBA Léa B. E.</t>
  </si>
  <si>
    <t xml:space="preserve"> BIO BATTA W. Hassirou</t>
  </si>
  <si>
    <t xml:space="preserve">DANVI Lyora Elsie</t>
  </si>
  <si>
    <t xml:space="preserve">GBEKIDE Elfrid Romaric</t>
  </si>
  <si>
    <t xml:space="preserve">HOUETOGNON K. Jonas</t>
  </si>
  <si>
    <t xml:space="preserve">KEDALO Pière Paul</t>
  </si>
  <si>
    <t xml:space="preserve">KEHOUNDE Bethel</t>
  </si>
  <si>
    <t xml:space="preserve">KIANSI Cyrille</t>
  </si>
  <si>
    <t xml:space="preserve">OGOUCHI O. Marielle O.</t>
  </si>
  <si>
    <t xml:space="preserve">SABI MAKO Salamata</t>
  </si>
  <si>
    <t xml:space="preserve">TOKOGNON B. Cossi Anselme</t>
  </si>
  <si>
    <t xml:space="preserve">ZANMENOU V. Brice</t>
  </si>
  <si>
    <t xml:space="preserve">   RECAPITULATIF DES RECETTES PAR FILIERS AU TITRE DE 2017-2018</t>
  </si>
  <si>
    <t xml:space="preserve">                                                                                                                    </t>
  </si>
  <si>
    <t xml:space="preserve">FORMATION A DISTANCE</t>
  </si>
  <si>
    <t xml:space="preserve">FILIERES / ANNEES</t>
  </si>
  <si>
    <t xml:space="preserve">EffECTIF</t>
  </si>
  <si>
    <t xml:space="preserve">RECETTE ATTENDUE</t>
  </si>
  <si>
    <t xml:space="preserve">RECETTE RECOUVREE</t>
  </si>
  <si>
    <t xml:space="preserve">RESTE</t>
  </si>
  <si>
    <t xml:space="preserve">TAUX</t>
  </si>
  <si>
    <t xml:space="preserve">G.C 1</t>
  </si>
  <si>
    <t xml:space="preserve">G.C 2</t>
  </si>
  <si>
    <t xml:space="preserve">G.C 3</t>
  </si>
  <si>
    <t xml:space="preserve">G.C 4</t>
  </si>
  <si>
    <t xml:space="preserve">G.E 1</t>
  </si>
  <si>
    <t xml:space="preserve">G.E 2</t>
  </si>
  <si>
    <t xml:space="preserve">G.E 3</t>
  </si>
  <si>
    <t xml:space="preserve">G.E 4</t>
  </si>
  <si>
    <t xml:space="preserve">HCQDA 1</t>
  </si>
  <si>
    <t xml:space="preserve">HCQDA 2</t>
  </si>
  <si>
    <t xml:space="preserve">HCQDA3</t>
  </si>
  <si>
    <t xml:space="preserve">HCQDA 4</t>
  </si>
  <si>
    <t xml:space="preserve">P.A 2</t>
  </si>
  <si>
    <t xml:space="preserve">P.A 4</t>
  </si>
  <si>
    <t xml:space="preserve">P.V 1</t>
  </si>
  <si>
    <t xml:space="preserve">P.V 2</t>
  </si>
  <si>
    <t xml:space="preserve">P.V 3</t>
  </si>
  <si>
    <t xml:space="preserve">P.V 4</t>
  </si>
  <si>
    <t xml:space="preserve">Env. 2</t>
  </si>
  <si>
    <t xml:space="preserve">Env. 4</t>
  </si>
  <si>
    <t xml:space="preserve">NTAD1</t>
  </si>
  <si>
    <t xml:space="preserve">BHSS2</t>
  </si>
  <si>
    <t xml:space="preserve">BHSS3</t>
  </si>
  <si>
    <t xml:space="preserve">BHSS4</t>
  </si>
  <si>
    <t xml:space="preserve">ABM3</t>
  </si>
  <si>
    <t xml:space="preserve">ABM4</t>
  </si>
  <si>
    <t xml:space="preserve">GT1</t>
  </si>
  <si>
    <t xml:space="preserve">GT2</t>
  </si>
  <si>
    <t xml:space="preserve">GT4</t>
  </si>
  <si>
    <t xml:space="preserve">TOTAL:  </t>
  </si>
  <si>
    <t xml:space="preserve">    CENTRE AUTONOME DE PERFECTIONNEMENT</t>
  </si>
  <si>
    <t xml:space="preserve">                            LIVRE JOURNAL EXERCICE 2018</t>
  </si>
  <si>
    <t xml:space="preserve">DATES</t>
  </si>
  <si>
    <t xml:space="preserve">LIBELLE</t>
  </si>
  <si>
    <t xml:space="preserve">REFERENCE</t>
  </si>
  <si>
    <t xml:space="preserve">SOMME DES RECETTES</t>
  </si>
  <si>
    <t xml:space="preserve">SOMME DES DEPENSES</t>
  </si>
  <si>
    <t xml:space="preserve">VARIATION DE SOLDE</t>
  </si>
  <si>
    <t xml:space="preserve">Solde à nouveau au 1/01/18</t>
  </si>
  <si>
    <t xml:space="preserve">Indemnité liés aux Préparations  des déliberations annuelle de la Licence Prof.</t>
  </si>
  <si>
    <t xml:space="preserve">Ord virement</t>
  </si>
  <si>
    <t xml:space="preserve">BOA / Prime mensuelle de sujétion et de communication. Janvier</t>
  </si>
  <si>
    <t xml:space="preserve">YATAKPO Henoc / Paie. Pour la realisation des prestations de service de l'animation , actualisation et l'entretien du site web de l'EPAC du mois de Décembre</t>
  </si>
  <si>
    <t xml:space="preserve">chq 588345</t>
  </si>
  <si>
    <t xml:space="preserve">Indemnité liés aux travaux de déliberations annuelle de la Licence Professionnelle</t>
  </si>
  <si>
    <t xml:space="preserve">Paiement  des frais d'Enseigmt, droit d'auteur, surveillance, du 2ème Regroup. 2017</t>
  </si>
  <si>
    <t xml:space="preserve">Règlmt  pour  achat de Boissons au profit de l'EPAC</t>
  </si>
  <si>
    <t xml:space="preserve">chq 588343</t>
  </si>
  <si>
    <t xml:space="preserve">Salaire du mois de Janvier  des agents du CAP</t>
  </si>
  <si>
    <t xml:space="preserve">Règlmt fact. N°29/17/HTS/NCA pour le paiement du 3ème décompte dans le cadre des traveaux de construction d'une paillotte à usage d'amphithéatre au profit de l'EPAC</t>
  </si>
  <si>
    <t xml:space="preserve">Avance pour la prise en charge des travaux de réfection de fresque murale conceptuelle au profit de l'EPAC</t>
  </si>
  <si>
    <t xml:space="preserve">chq 588347</t>
  </si>
  <si>
    <t xml:space="preserve">Règlmt fact. N°003/2018 pour  la commande de calendriers 2018</t>
  </si>
  <si>
    <t xml:space="preserve">chq 588346</t>
  </si>
  <si>
    <t xml:space="preserve">Règlmt fact. N°0204 pour entretien général des copieurs du 1er/06/17 au 29/12/17</t>
  </si>
  <si>
    <t xml:space="preserve">chq 588348</t>
  </si>
  <si>
    <t xml:space="preserve">Indemnité forfaitaire aux encadreurs des rapports de stage</t>
  </si>
  <si>
    <t xml:space="preserve">Paie des indemnités aux mbres de jury de soutenance de la LP</t>
  </si>
  <si>
    <t xml:space="preserve">Aide financier dans le cadre de l'organisation des premières journées Béninoises des sciences technologie géomatiques</t>
  </si>
  <si>
    <t xml:space="preserve">chq 588349</t>
  </si>
  <si>
    <t xml:space="preserve">Règlmt fact. N°003/ASM/2018 pour  l'avance dans le cadre de la confetion de toges et barrettes épitoges au profit de l'EPAC</t>
  </si>
  <si>
    <t xml:space="preserve">chq 588350</t>
  </si>
  <si>
    <t xml:space="preserve">Appui financier aux manifestations marquant le 40ème anniversaire de l'EPAC</t>
  </si>
  <si>
    <t xml:space="preserve">chq 0842952</t>
  </si>
  <si>
    <t xml:space="preserve">Règlment du solde pour la prise en charge des travaux de réfection de fresque murale conceptuelle au profit de l'EPAC</t>
  </si>
  <si>
    <t xml:space="preserve">chq 0842951</t>
  </si>
  <si>
    <t xml:space="preserve">31/01/2018</t>
  </si>
  <si>
    <t xml:space="preserve">Frais etude des dossiers 2016-2017</t>
  </si>
  <si>
    <t xml:space="preserve">Relevé</t>
  </si>
  <si>
    <t xml:space="preserve">31/01/2019</t>
  </si>
  <si>
    <t xml:space="preserve">Frais d'inscription et de formt° versés en Janvier 2018</t>
  </si>
  <si>
    <t xml:space="preserve">Paiemt IPTS+VPS du mois de Janvier 2018</t>
  </si>
  <si>
    <t xml:space="preserve">chq C 0006504</t>
  </si>
  <si>
    <t xml:space="preserve">Agio sur cheque certifié</t>
  </si>
  <si>
    <t xml:space="preserve">Avis</t>
  </si>
  <si>
    <t xml:space="preserve">Reversement de TVA retenue à la source de Janvier 2018</t>
  </si>
  <si>
    <t xml:space="preserve">chq C 0006505</t>
  </si>
  <si>
    <t xml:space="preserve">Prime mensuelle de sujétion et de communication. Mai</t>
  </si>
  <si>
    <t xml:space="preserve">Paiement pour la prise en charge de consommable de travaux pratiques des etudiants en SA1  et HCQ1</t>
  </si>
  <si>
    <t xml:space="preserve">chq 588336</t>
  </si>
  <si>
    <t xml:space="preserve">Règlmt fact.N°18-f4980 pr la couverture médiatique dans le cadre de la célébration des 40 ans de l'EPAC</t>
  </si>
  <si>
    <t xml:space="preserve">Règlmt fact. N°000/ASM/2018 pour le solde dans le cadre de la confetion de toges et barrettes épitoges au profit de l'EPAC</t>
  </si>
  <si>
    <t xml:space="preserve">Indemnité heures supp à la confection des monographies du18/12/17 au 31/01/18 du 1er regroupement</t>
  </si>
  <si>
    <t xml:space="preserve">Indemnité aux mbres de la c/ssion à l'étude de dossiers   CUCA de la Formation à Distance</t>
  </si>
  <si>
    <t xml:space="preserve">Indemnité liés aux travaux de déliberations annuelle en formation continiue des CPEI GC</t>
  </si>
  <si>
    <t xml:space="preserve">Indemnité liés aux travaux de déliberations annuelle en formation continiue des 1ère années de spécialité GC</t>
  </si>
  <si>
    <t xml:space="preserve">Indemnité liés aux travaux de déliberations annuelle en formation continiue en Master IM et ABM</t>
  </si>
  <si>
    <t xml:space="preserve">Heures d'enseignement aux enseignant intervenant en CPEI GC du 2ème semestre</t>
  </si>
  <si>
    <t xml:space="preserve">Heures d'enseignement aux enseignant intervenant en CPEI GTopo du 2ème semestre</t>
  </si>
  <si>
    <t xml:space="preserve">Règlmt fact.SIKA Sarl /05/02/18 pr la la fourniture et l'installation d'un climatiseur</t>
  </si>
  <si>
    <t xml:space="preserve">Chq 0842957</t>
  </si>
  <si>
    <t xml:space="preserve">Renouvellement  de la CMD</t>
  </si>
  <si>
    <t xml:space="preserve">Chq 0842956</t>
  </si>
  <si>
    <t xml:space="preserve">Salaire du mois de Février des agents du CAP</t>
  </si>
  <si>
    <t xml:space="preserve">Indemnité liés aux Préparations  des déliberations annuelle de la Formation continue.</t>
  </si>
  <si>
    <t xml:space="preserve"> </t>
  </si>
  <si>
    <t xml:space="preserve">Indemnité aux mbres de la c/ssion à l'étude de dossiers   CUCA de la Formation continue</t>
  </si>
  <si>
    <t xml:space="preserve">Heures d'enseignement aux enseignant intervenant en 1ere année de Master en ABM et IM du 1er semestre</t>
  </si>
  <si>
    <t xml:space="preserve">Heures d'enseignement aux enseignant intervenant en 1ère Année d'Ingenieur de conception en GC du 2ème semestre</t>
  </si>
  <si>
    <t xml:space="preserve">Indemnité  à l'etude des  dossiers de candidature  aux inscriptions 2017-2018 des Ingenieur en 1ère Année GC pr la Formation Continue</t>
  </si>
  <si>
    <t xml:space="preserve">Règlmt fact. N°16/02/18  pour la collation dans le cadre des sessions du CUCA 2017*2018</t>
  </si>
  <si>
    <t xml:space="preserve">chq 842958</t>
  </si>
  <si>
    <t xml:space="preserve">Règlmt fact. N°16/02/18  pour la collation dans le cadre des sessions du CUO 2017-2018</t>
  </si>
  <si>
    <t xml:space="preserve">chq 842959</t>
  </si>
  <si>
    <t xml:space="preserve">Règlmt Note. N°0311-18/02/18  pour la collation dans le cadre des sessions du CUCA 2017-2018</t>
  </si>
  <si>
    <t xml:space="preserve">028/02/2018</t>
  </si>
  <si>
    <t xml:space="preserve">Règlmt fact. N°0027/f/COT/SEEPEG/DG-SP   pour l'acquisition des materiels de travaux pratique en energetique</t>
  </si>
  <si>
    <t xml:space="preserve">chq 842960</t>
  </si>
  <si>
    <t xml:space="preserve">Règlmt fact. N°1021/2018/000208   pour la prime d'assurance du véhicule NISSA PATROL AN 1928RB du CAP</t>
  </si>
  <si>
    <t xml:space="preserve">chq 842961</t>
  </si>
  <si>
    <t xml:space="preserve">Frais d'inscription et de formt° versés en Février  2018</t>
  </si>
  <si>
    <t xml:space="preserve">BOA / Prime mensuelle de sujétion et de communication. Mars</t>
  </si>
  <si>
    <t xml:space="preserve">Paiemt IPTS+VPS du mois de Février 2018</t>
  </si>
  <si>
    <t xml:space="preserve">chq C 0006542</t>
  </si>
  <si>
    <t xml:space="preserve">YATAKPO Henoc / Paie. Pour la realisation des prestations de service de l'animation , actualisation et l'entretien du site web de l'EPAC du mois de Janvier-Février</t>
  </si>
  <si>
    <t xml:space="preserve">chq 842963</t>
  </si>
  <si>
    <t xml:space="preserve">Règlmt fact.N°3241/2018 pr la prime d'assurance maladie groupe personnels de l'EPAC</t>
  </si>
  <si>
    <t xml:space="preserve">chq 842962</t>
  </si>
  <si>
    <t xml:space="preserve">Paie pour l'entretien des salles de classe du 1er, 2ème  etage et de l'environnement du bâtiment du CAP</t>
  </si>
  <si>
    <t xml:space="preserve">Indemnité  à l'etude des  dossiers de candidature  aux inscriptions 2017-2018 pr la Formation à Distance</t>
  </si>
  <si>
    <t xml:space="preserve">Indemnité  à l'etude des  dossiers de candidature  aux inscriptions 2017-2018 pr la Formation des Ingenieur en Géomètre Topographe</t>
  </si>
  <si>
    <t xml:space="preserve">Règlmt fact. N°0527/TV/TPE/2017/BP pour l'achat de tickets valeurs</t>
  </si>
  <si>
    <t xml:space="preserve">chq 842965</t>
  </si>
  <si>
    <t xml:space="preserve">Règlmt fact. N°150  pour l'achat de tickets valeurs</t>
  </si>
  <si>
    <t xml:space="preserve">chq 842966</t>
  </si>
  <si>
    <t xml:space="preserve">Reversement de TVA retenue pour achat de ticket valeur</t>
  </si>
  <si>
    <t xml:space="preserve">chq C 0006550</t>
  </si>
  <si>
    <t xml:space="preserve">Prime de rendement annuel 206-2017 de la Licence Professionnelle aux  personnels  de la FAD</t>
  </si>
  <si>
    <t xml:space="preserve">Prime de rendement annuel 2016-2017 des Ingenieurs Gtopo aux  personnels de la FC</t>
  </si>
  <si>
    <t xml:space="preserve">Prime de rendement annuel 2016-2017 des Ingenieurs Genie Civil  aux  personnels de la FC</t>
  </si>
  <si>
    <t xml:space="preserve">Prime de rendement annuel 2016-2017 des Masters en ABM et  IM  aux  personnels de la FC</t>
  </si>
  <si>
    <t xml:space="preserve">Indemnité heures supp à la confection des monographies du01/02/18 au 15/03/18 du 2ème regroupement</t>
  </si>
  <si>
    <t xml:space="preserve">Indemnité aux mbres de la c/ssion à l'étude de dossiers   CUO de la Formation à Distance</t>
  </si>
  <si>
    <t xml:space="preserve">Paiement dans le cadre de la restauration et les frais de redaction de l'offre pour la validation de l'offre de Formation en Master en Energie Electrique</t>
  </si>
  <si>
    <t xml:space="preserve">Chq 842971</t>
  </si>
  <si>
    <t xml:space="preserve">Frais d'inscription et de formt° versés en Mars  2018</t>
  </si>
  <si>
    <t xml:space="preserve">BOA / Prime mensuelle de sujétion et de communication. Avril</t>
  </si>
  <si>
    <t xml:space="preserve">Paie des frais d'honoraires dans le cadre de la surveillance et contrôle des travaux de construction d'une paillotte au profit de l'EPAC</t>
  </si>
  <si>
    <t xml:space="preserve">Chq 842975</t>
  </si>
  <si>
    <t xml:space="preserve">Chq 842976</t>
  </si>
  <si>
    <t xml:space="preserve">Règlmt Fact . N° F 003/TFG/18  pour la fourniture d'un ordinateur serveur HP PROLIANT ML 310 et d'un onduleur Eaton</t>
  </si>
  <si>
    <t xml:space="preserve">Chq 842979</t>
  </si>
  <si>
    <t xml:space="preserve">Règlmt Fact . N°AC 0029/03/ABYDI/18  pour l'acquisition de fournitures de bureau</t>
  </si>
  <si>
    <t xml:space="preserve">Chq 842980</t>
  </si>
  <si>
    <t xml:space="preserve">Règlmt Fact . N°AC 0028/03/ABYDI/18  pour achat de boissons</t>
  </si>
  <si>
    <t xml:space="preserve">Chq 842981</t>
  </si>
  <si>
    <t xml:space="preserve">Paie des frais d'honoraires dans le cadre de la mission d'etude technique charpente metallique et production des plants des travaux de construction d'une paillotte au profit de l'EPAC</t>
  </si>
  <si>
    <t xml:space="preserve">Chq 842977</t>
  </si>
  <si>
    <t xml:space="preserve">Paie cotisation salariale des Agents du CAP</t>
  </si>
  <si>
    <t xml:space="preserve">Chq 842969</t>
  </si>
  <si>
    <t xml:space="preserve">Chq 842970</t>
  </si>
  <si>
    <t xml:space="preserve">Paiemt IPTS+VPS du mois de Mars 2018</t>
  </si>
  <si>
    <t xml:space="preserve">chq C 0006579</t>
  </si>
  <si>
    <t xml:space="preserve">Plus percu sur salaire</t>
  </si>
  <si>
    <t xml:space="preserve">Règlmt Fact . N°44/18  pour les travaux de reparation du véhicule TOYOTA COASIER AM 7110 RB au profit de l'EPAC</t>
  </si>
  <si>
    <t xml:space="preserve">Chq 842982</t>
  </si>
  <si>
    <t xml:space="preserve">Règlmt Fact . N°45/18  pour les travaux de reparation du véhicule NISSAN PATROL AB 1239 RB au profit de l'EPAC</t>
  </si>
  <si>
    <t xml:space="preserve">Chq 842983</t>
  </si>
  <si>
    <t xml:space="preserve">Règlmt Fact . N°43/18  pour les travaux de reparation du véhicule TOYOTA COASIER AN 8595 RB au profit de l'EPAC</t>
  </si>
  <si>
    <t xml:space="preserve">Chq 842984</t>
  </si>
  <si>
    <t xml:space="preserve">Règlmt Fact . N°190318/CS  pour l'acquisition de matériels médicaux</t>
  </si>
  <si>
    <t xml:space="preserve">Chq 842985</t>
  </si>
  <si>
    <t xml:space="preserve">Règlmt Fact . N°04045/COTAF/18  pour l'acquisition de fournitures de bureau</t>
  </si>
  <si>
    <t xml:space="preserve">Chq 842987</t>
  </si>
  <si>
    <t xml:space="preserve">Règlmt fact. N°04/18/HTS/NCA pour le paiement du 4ème décompte dans le cadre des traveaux de construction d'une paillotte à usage d'amphithéatre au profit de l'EPAC</t>
  </si>
  <si>
    <t xml:space="preserve">Chq 842989</t>
  </si>
  <si>
    <t xml:space="preserve">Règlmt fact. N°06/18/HTS/NCA pour le paiement du  décompte unique dans le cadre des traveaux de construction d'une paillotte à usage d'amphithéatre au profit de l'EPAC</t>
  </si>
  <si>
    <t xml:space="preserve">Chq 842990</t>
  </si>
  <si>
    <t xml:space="preserve">BOA / Ind. Forfaitaires pr le soutien Technique, supervision et à l'entretien des lieux du 1er Reg.</t>
  </si>
  <si>
    <t xml:space="preserve">Ind. Forfaitaires pr l'organisation et de la gestion des activités  du 1er Reg.</t>
  </si>
  <si>
    <t xml:space="preserve">Paiement  des heures d'Enseignement , frais de production des monographies de deplacement et de la surveillance du 1er Regroup. 2018</t>
  </si>
  <si>
    <t xml:space="preserve">YATAKPO Henoc / Paie. Pour la realisation des prestations de service de l'animation , actualisation et l'entretien du site web de l'EPAC du mois de Mars </t>
  </si>
  <si>
    <t xml:space="preserve">chq 842968</t>
  </si>
  <si>
    <t xml:space="preserve">Paie de la prise en charge des droits et taxes d'enlèvement des equipements et matériels des panneaux solaires</t>
  </si>
  <si>
    <t xml:space="preserve">chq 241260</t>
  </si>
  <si>
    <t xml:space="preserve">Salaire du mois d'Avril  des agents du CAP</t>
  </si>
  <si>
    <t xml:space="preserve">Frais d'inscription et de formt° versés en Avril  2018</t>
  </si>
  <si>
    <t xml:space="preserve">Règlmt fact. N°0001968 du solde pr la fourniture et installation des cartes et modules de télécommunication au profit de l'EPAC</t>
  </si>
  <si>
    <t xml:space="preserve">chq 0842992</t>
  </si>
  <si>
    <t xml:space="preserve">Indemnité liés aux travaux  des déliberations annuelle en spécialité Géo Topo de la Formation continue.</t>
  </si>
  <si>
    <t xml:space="preserve">BOA / Prime mensuelle de sujétion et de communication. Mai</t>
  </si>
  <si>
    <t xml:space="preserve">Règlmt fact.N°294/12/17 /SRH/DG/DAS pr le gardiennage et la surveillance du bâtiment CAP du mois de Décembre 17 au Février 18 </t>
  </si>
  <si>
    <t xml:space="preserve">chq 0842993</t>
  </si>
  <si>
    <t xml:space="preserve">Remboursement de prêt à CERA</t>
  </si>
  <si>
    <t xml:space="preserve">Règlmt Fact . N°0103/04/18  pour achat de boissons</t>
  </si>
  <si>
    <t xml:space="preserve">chq 0842994</t>
  </si>
  <si>
    <t xml:space="preserve">Prise en charge d'une partie des cadeaux aux retraités dans le cadre de la fête du 1er Mai</t>
  </si>
  <si>
    <t xml:space="preserve">chq 0842995</t>
  </si>
  <si>
    <t xml:space="preserve">Paie d'une avance dans le cadre de la reprise totale de l'installation electrique du bâtiment du CAP</t>
  </si>
  <si>
    <t xml:space="preserve">chq 0842996</t>
  </si>
  <si>
    <t xml:space="preserve">Paie dans le cadre de l'entretien des salles de cours du 1er,2ème étage et l'environnement du bâtiment du CAP</t>
  </si>
  <si>
    <t xml:space="preserve">Règlmt fact. N°AC 0031/03/ABYDI/18  pour achat de boissons</t>
  </si>
  <si>
    <t xml:space="preserve">chq 0842986</t>
  </si>
  <si>
    <t xml:space="preserve">Remboursement des frais de formation</t>
  </si>
  <si>
    <t xml:space="preserve">chq 0842988</t>
  </si>
  <si>
    <t xml:space="preserve">Paiemt IPTS+VPS du mois d'avril 2018</t>
  </si>
  <si>
    <t xml:space="preserve">chq C 120944</t>
  </si>
  <si>
    <t xml:space="preserve">Salaire du webmaster dans le cadre de l'animation, l'actualisation et l'entretien du site web de l'EPAC</t>
  </si>
  <si>
    <t xml:space="preserve">chq 0842997</t>
  </si>
  <si>
    <t xml:space="preserve">Salaire du mois de Mai  des agents du CAP</t>
  </si>
  <si>
    <t xml:space="preserve">Paie indemnités à l'etude de dossiers des inscriptions en cours préparatoire au CAP</t>
  </si>
  <si>
    <t xml:space="preserve">Paie indemnités aux membres de la commission chargée d'élaborer la brochure des résultats de fin d'année 2016-2017</t>
  </si>
  <si>
    <t xml:space="preserve">Paie indemnités aux membres de la commission dans le cadre des différents travaux de la decision de fin de formation</t>
  </si>
  <si>
    <t xml:space="preserve">Règlmt fact.N°050/AC/18 pour la fourniture de pièces de rechange des copieurs du CAP</t>
  </si>
  <si>
    <t xml:space="preserve">chq 0842998</t>
  </si>
  <si>
    <t xml:space="preserve">Règlmt fact.N°0056/COTAF pour la commande des tables et bancs</t>
  </si>
  <si>
    <t xml:space="preserve">chq 0842999</t>
  </si>
  <si>
    <t xml:space="preserve">Indemnité liés aux travaux  des déliberations annuelle des 4ème année de la Formation à distance.</t>
  </si>
  <si>
    <t xml:space="preserve">chq 0843000</t>
  </si>
  <si>
    <t xml:space="preserve">Règlmt Fact . N°81/18  pour les travaux de reparation du véhicule NISSAN PATROL AN 1928 RB du CAP</t>
  </si>
  <si>
    <t xml:space="preserve">chq 0843001</t>
  </si>
  <si>
    <t xml:space="preserve">Règlmt Fact . N°82/18  pour les travaux de reparation du véhicule NISSAN PATROL AN 1928 RB du CAP</t>
  </si>
  <si>
    <t xml:space="preserve">chq 0843002</t>
  </si>
  <si>
    <t xml:space="preserve">Frais d'inscription et de formt° versés en Mai  2018</t>
  </si>
  <si>
    <t xml:space="preserve">BOA / Prime mensuelle de sujétion et de communication. Juin</t>
  </si>
  <si>
    <t xml:space="preserve">Paiement  des heures d'Enseignement en 1ère année d'Ingenieurs de conception Genie Civil du 2ème semestre 2016-2017</t>
  </si>
  <si>
    <t xml:space="preserve">Indemnité heures supp à la confection des monographies du04/05  au 31/05/18 </t>
  </si>
  <si>
    <t xml:space="preserve">Paiement  des heures d'Enseignement en 3ème année d'Ingenieurs de conception Géomètre Topo du 1er semestre</t>
  </si>
  <si>
    <t xml:space="preserve">Paie d'une avance pour la mise en place d'un système informatique au CAP</t>
  </si>
  <si>
    <t xml:space="preserve">chq 0843003</t>
  </si>
  <si>
    <t xml:space="preserve">Aide financier dans le cadre des formations scientifiques au service du Développement Durable des Doctoriales à l'UAC</t>
  </si>
  <si>
    <t xml:space="preserve">chq 0843004</t>
  </si>
  <si>
    <t xml:space="preserve">Paie indemnités à l'etude de dossiers des inscriptions des etudiants en Genie Civil au CAP</t>
  </si>
  <si>
    <t xml:space="preserve">Paiemt IPTS+VPS du mois de Mai 2018</t>
  </si>
  <si>
    <t xml:space="preserve">chq C 0171961</t>
  </si>
  <si>
    <t xml:space="preserve">Paie indemnités à l'etude de dossiers des inscriptions des etudiants  au CAP</t>
  </si>
  <si>
    <t xml:space="preserve">Salaire du mois de Juin  des agents du CAP</t>
  </si>
  <si>
    <t xml:space="preserve">Règlmt fact.N°00449/COTAF pour achat de fournitures de bureau et consommables informatique</t>
  </si>
  <si>
    <t xml:space="preserve">chq 0843005</t>
  </si>
  <si>
    <t xml:space="preserve">Règlmt fact.N°129/05/17 /SRH/DG/DAS pr le gardiennage et la surveillance du bâtiment CAP du mois de Mars, Avril et Mai 18 </t>
  </si>
  <si>
    <t xml:space="preserve">chq 0843006</t>
  </si>
  <si>
    <t xml:space="preserve">Paie dans le cadre du sarclage de l'environnement du bâtiment du CAP</t>
  </si>
  <si>
    <t xml:space="preserve">chq 0843007</t>
  </si>
  <si>
    <t xml:space="preserve">Prêtn remboursable au département de Genie Mécanique et Energetique/Bureau d'etudes et des Méthodes</t>
  </si>
  <si>
    <t xml:space="preserve">chq 0843008</t>
  </si>
  <si>
    <t xml:space="preserve">Frais d'inscription et de formt° versés en Juin  2018</t>
  </si>
  <si>
    <t xml:space="preserve">Chq 843009</t>
  </si>
  <si>
    <t xml:space="preserve">Chq 843010</t>
  </si>
  <si>
    <t xml:space="preserve">Prime mensuelle de sujétion et de communication. Juillet</t>
  </si>
  <si>
    <t xml:space="preserve">Paie frais honoraires dans le cadre de la realisation des plans d'une paillote à usage d'amphithéatre à l'EPAC</t>
  </si>
  <si>
    <t xml:space="preserve">Chq 842978</t>
  </si>
  <si>
    <t xml:space="preserve">Règlmt fact.N°160 pour la reparation du copieur IR 2022</t>
  </si>
  <si>
    <t xml:space="preserve">Chq 843011</t>
  </si>
  <si>
    <t xml:space="preserve">Indemnité heures supp à la confection des monographies du 01/06  au 29/06/18 </t>
  </si>
  <si>
    <t xml:space="preserve">Paiemt IPTS+VPS du mois de Juin 2018</t>
  </si>
  <si>
    <t xml:space="preserve">chq C 0171987</t>
  </si>
  <si>
    <t xml:space="preserve">10/17/18</t>
  </si>
  <si>
    <t xml:space="preserve">Reversement de TVA retenue à la source de Juin 2018</t>
  </si>
  <si>
    <t xml:space="preserve">chq C 0171988</t>
  </si>
  <si>
    <t xml:space="preserve">Salaire du mois de Juillet  des agents du CAP</t>
  </si>
  <si>
    <t xml:space="preserve">Paie  pour l'organisation et la supervision des activités de soutenance de la LP</t>
  </si>
  <si>
    <t xml:space="preserve">Paie d'Indemnités aux membres de jury de soutenance des rapports de stage</t>
  </si>
  <si>
    <t xml:space="preserve">Paie d'Indemnités aux encadreurs  des rapports de stage</t>
  </si>
  <si>
    <t xml:space="preserve">Règlmt fact.N°0046/FP/TA/MMSE pr l'achat de consommable d'imagerie medicale</t>
  </si>
  <si>
    <t xml:space="preserve">Chq 843012</t>
  </si>
  <si>
    <t xml:space="preserve">Paie des frais de mission dans le cadre  de la sensibilisation et de marketing sur les differents formations du CAP</t>
  </si>
  <si>
    <t xml:space="preserve">Règlmt fact. N°AC 0057/03/ABYDI/18  du solde pour la reprise totale de l'installation electrique du bâtiment du CAP</t>
  </si>
  <si>
    <t xml:space="preserve">chq 0843015</t>
  </si>
  <si>
    <t xml:space="preserve">Comminuqué  radio dans le cadre des cours à distance</t>
  </si>
  <si>
    <t xml:space="preserve">chq 0843016</t>
  </si>
  <si>
    <t xml:space="preserve">Règlmt Fact . N°120/18  pour les travaux de reparation du véhicule N° BF 3412 RB  de l'EPAC</t>
  </si>
  <si>
    <t xml:space="preserve">chq 0843017</t>
  </si>
  <si>
    <t xml:space="preserve">Règlmt Fact . N°0104/17  pour achat de boissons</t>
  </si>
  <si>
    <t xml:space="preserve">chq 0843018</t>
  </si>
  <si>
    <t xml:space="preserve">Règlmt fact. N°0311 pour entretien général des copieurs du 02/01/18 au 29/06/18</t>
  </si>
  <si>
    <t xml:space="preserve">chq 0843019</t>
  </si>
  <si>
    <t xml:space="preserve">Indemnité heures supp à la confection des monographies du 01/07  au 31/07/18 </t>
  </si>
  <si>
    <t xml:space="preserve">Frais d'inscription et de formt° versés en Juillet  2018</t>
  </si>
  <si>
    <t xml:space="preserve">Prime mensuelle de sujétion et de communication. Août</t>
  </si>
  <si>
    <t xml:space="preserve">Règlmt fact. N°50/ATMNS/DG-2018 pour la restauration dans le cadre des activités des 40 ans de l'EPAC</t>
  </si>
  <si>
    <t xml:space="preserve">chq 0843020</t>
  </si>
  <si>
    <t xml:space="preserve">Règlmt fact. N°054-18/IG/DG/DC/CO/CC pour la réalisation de plaquettes dans le cadre des activités des 40 ans d l'EPAC</t>
  </si>
  <si>
    <t xml:space="preserve">chq 0843021</t>
  </si>
  <si>
    <t xml:space="preserve">Paiemt IPTS+VPS du mois de Juillet 2018</t>
  </si>
  <si>
    <t xml:space="preserve">chq C 011875</t>
  </si>
  <si>
    <t xml:space="preserve">Aide financière dans le cadre d'appui en carburant à la participartion de la délégation béninoise aux 19ème journée de la SOACHIM</t>
  </si>
  <si>
    <t xml:space="preserve">chq 0843022</t>
  </si>
  <si>
    <t xml:space="preserve">Salaire du mois d'Août des agents du CAP</t>
  </si>
  <si>
    <t xml:space="preserve">Frais d'inscription et de formt° versés en Août 2018</t>
  </si>
  <si>
    <t xml:space="preserve">Prime mensuelle de sujétion et de communication. Septembre</t>
  </si>
  <si>
    <t xml:space="preserve">Paiemt IPTS+VPS du mois de d'Août 2018</t>
  </si>
  <si>
    <t xml:space="preserve">Paie indemnités aux membres de la commission de suivi à l'ouverture des plis du dépouillement et de l'etude des offres relatif au recrutement d'un webmaster à l'EPAC</t>
  </si>
  <si>
    <t xml:space="preserve">Paie indemnités aux membres de la commission de suivi à l'ouverture des plis du dépouillement et de l'etude des offres relatif à l'execution des travaux de construction d'un bloc pédagogique de type R+2 à l'EPAC</t>
  </si>
  <si>
    <t xml:space="preserve">Paie indemnités aux membres de la commission de suivi à l'ouverture des plis du dépouillement et de l'etude des offres relatif à l'elaboration du plan stratégie de développement de l'EPAC</t>
  </si>
  <si>
    <t xml:space="preserve">Paie de moins perçu sur les frais de mission de sensibilisation sur les differentes formations du CAP</t>
  </si>
  <si>
    <t xml:space="preserve">Paiement  des heures d'Enseignement en 1ère année d'Ingenieurs de conception Genie Civil du 2ème semestre 2016-2017 et en master microbiologie et immunologie en formation continue</t>
  </si>
  <si>
    <t xml:space="preserve">Chq 843029</t>
  </si>
  <si>
    <t xml:space="preserve">Règlmt fact.N°00614/DG/USS/18 pr le gardiennage et la surveillance du bâtiment CAP du mois de Juin 18 </t>
  </si>
  <si>
    <t xml:space="preserve">Chq 843024</t>
  </si>
  <si>
    <t xml:space="preserve">Règlmt fact.N°00615/DG/USS/18 pr le gardiennage et la surveillance du bâtiment CAP du mois de Juillet 18 </t>
  </si>
  <si>
    <t xml:space="preserve">Chq 843025</t>
  </si>
  <si>
    <t xml:space="preserve">Règlmt fact.N°00616/DG/USS/18 pr le gardiennage et la surveillance du bâtiment CAP du mois de Août 18 </t>
  </si>
  <si>
    <t xml:space="preserve">Chq 843026</t>
  </si>
  <si>
    <t xml:space="preserve">Salaire du mois de Septembre des agents du CAP</t>
  </si>
  <si>
    <t xml:space="preserve">Aide financier dans le cadre de l'organisation des  journées de létudiant polytechnicien de l'EPAC</t>
  </si>
  <si>
    <t xml:space="preserve">chq 0843023</t>
  </si>
  <si>
    <t xml:space="preserve">Règlmt fact. N°AC 0014/03/ABYDI/18  pour l'acquisition de fournitures de bureau</t>
  </si>
  <si>
    <t xml:space="preserve">chq 0843036</t>
  </si>
  <si>
    <t xml:space="preserve">Paie des indemnites d'heures de vacation aux enseignants de l'EPAC</t>
  </si>
  <si>
    <t xml:space="preserve">Règlmt fact.N°034/DG/DAE/SA/18 d'une avance dans le cadre d'elaboration de la strategie de développement de l'EPAC</t>
  </si>
  <si>
    <t xml:space="preserve">chq 0843035</t>
  </si>
  <si>
    <t xml:space="preserve">chq 0843030</t>
  </si>
  <si>
    <t xml:space="preserve">chq 0843031</t>
  </si>
  <si>
    <t xml:space="preserve">chq 0843032</t>
  </si>
  <si>
    <t xml:space="preserve">Règlmt Fact . N°94/18  pour les travaux de reparation du véhiculeAB 1239 RB de l'EPAC dans le cadre de la mission de sensibilisation</t>
  </si>
  <si>
    <t xml:space="preserve">chq 0843039</t>
  </si>
  <si>
    <t xml:space="preserve">Reversement des frais d'inscription au rectorat de l'année academique 2016-2017</t>
  </si>
  <si>
    <t xml:space="preserve">chq 0843037</t>
  </si>
  <si>
    <t xml:space="preserve">Reversement des frais d'inscription au rectorat de l'année academique 2015-2016</t>
  </si>
  <si>
    <t xml:space="preserve">Paie d'indemnités aux membres de la commission d'organisation de la semaine du monde professionnel de l'EPAC</t>
  </si>
  <si>
    <t xml:space="preserve">chq 0843041</t>
  </si>
  <si>
    <t xml:space="preserve">Paie desprimes de traitement des demandes d'attestation</t>
  </si>
  <si>
    <t xml:space="preserve">chq 0843044</t>
  </si>
  <si>
    <t xml:space="preserve">Paie indemnités aux membres de la commission chargée d'elaboration de la brochure des resultats de fin d'année 2015-2016 à l'EPAC</t>
  </si>
  <si>
    <t xml:space="preserve">Paie indemnités aux membres de la commission chargée d'elaboration de la decision qui sanctionne l'admission aux differents etudiants  de l'EPAC</t>
  </si>
  <si>
    <t xml:space="preserve">chq 0843042</t>
  </si>
  <si>
    <t xml:space="preserve">Paie indemnités aux membres de la commission mise en place dans le cadre des travaux des activités academique 2016-2017</t>
  </si>
  <si>
    <t xml:space="preserve">chq 0843043</t>
  </si>
  <si>
    <t xml:space="preserve">Paie desprimes dans le cadre des recettes relatifs aux divers actes délivrés du 1er trimestre 2018</t>
  </si>
  <si>
    <t xml:space="preserve">chq 0843045</t>
  </si>
  <si>
    <t xml:space="preserve">chq 0843046</t>
  </si>
  <si>
    <t xml:space="preserve">Paie desprimes dans le cadre des recettes relatifs aux divers actes délivrés du 2ème trimestre 2018</t>
  </si>
  <si>
    <t xml:space="preserve">chq 0843047</t>
  </si>
  <si>
    <t xml:space="preserve">chq 0843048</t>
  </si>
  <si>
    <t xml:space="preserve">Paie indemnités aux membres de la commission chargée d'organisation du seminaire de formation du personnel de l'EPAC</t>
  </si>
  <si>
    <t xml:space="preserve">Paie indemnités aux membres de la commission chargée du traitement des états de paiement aux differentes commissions mise sur pied à l'EPAC</t>
  </si>
  <si>
    <t xml:space="preserve">Frais d'inscription et de formt° versés en Septembre 2018</t>
  </si>
  <si>
    <t xml:space="preserve">Règlmt fact.N°11/18/DG/DE/DT/SP HQS d'une avance dans le cadre de demarrage des travaux de construction d'un bloc pédagogique de type R+2</t>
  </si>
  <si>
    <t xml:space="preserve">chq 0843050</t>
  </si>
  <si>
    <t xml:space="preserve">Chq 843051</t>
  </si>
  <si>
    <t xml:space="preserve">Prime mensuelle de sujétion et de communication. Octobre</t>
  </si>
  <si>
    <t xml:space="preserve">Règlmt fact.N°005/AI/SARL  pour la fourniture de tableau blan à marqueur</t>
  </si>
  <si>
    <t xml:space="preserve">Chq 843053</t>
  </si>
  <si>
    <t xml:space="preserve">Paiemt IPTS+VPS du mois de Septembre 2018</t>
  </si>
  <si>
    <t xml:space="preserve">chq C 011852</t>
  </si>
  <si>
    <t xml:space="preserve">Salaire du mois de Octobre des agents du CAP</t>
  </si>
  <si>
    <t xml:space="preserve">Paie d'heures d'enseignement en cours d'ingenieurs de conception Genie Civil</t>
  </si>
  <si>
    <t xml:space="preserve">Règlmt fact.N°1697-18  du solde pour la pause cafécocktail et déjeuner dans le cadre des 40 ans de l'EPAC</t>
  </si>
  <si>
    <t xml:space="preserve">chq C 011854</t>
  </si>
  <si>
    <t xml:space="preserve">chq 0843056</t>
  </si>
  <si>
    <t xml:space="preserve">Paie indemnités aux membres de la commission de suivi à l'ouverture des plis du dépouillement et de l'etude des offres dans le cadre de la construction d'un bâtiment à usage de toilettede développement de l'EPAC</t>
  </si>
  <si>
    <t xml:space="preserve">Règlmt fact.N°AC 0409/10/ABYDI/18  d'une avance pour les travaux de construction d'un bâtiment à usage de toilette publique au CAP</t>
  </si>
  <si>
    <t xml:space="preserve">chq 0843059</t>
  </si>
  <si>
    <t xml:space="preserve">Frais d'inscription et de formt° versés en Octobre 2018</t>
  </si>
  <si>
    <t xml:space="preserve">Règlmt fact.N°00777/DG/USS/18 pr le gardiennage et la surveillance du bâtiment CAP du mois de Septembre 18 </t>
  </si>
  <si>
    <t xml:space="preserve">Chq 843058</t>
  </si>
  <si>
    <t xml:space="preserve">Règlmt fact.N°00500/CB/EEM/01/18 pour la confection des lacostes dans le cadre des 40 ans de l'EPAC</t>
  </si>
  <si>
    <t xml:space="preserve">Chq 843060</t>
  </si>
  <si>
    <t xml:space="preserve">Règlmt fact.N°005A/SCSF/18 pour la la fourniture de carte d'invitation, de dépliant de mémorandum, de poster et des affiches dans le cadre des activités des 40 ans de l'EPAC</t>
  </si>
  <si>
    <t xml:space="preserve">Chq 843062</t>
  </si>
  <si>
    <t xml:space="preserve">Achat de dossiers d'appel d'offre</t>
  </si>
  <si>
    <t xml:space="preserve">Règlmt Fact . N°151/18  pour les travaux de reparation du système de climatisation du véhicule NISSAN PATROL N°AN 1928 RB du CAP</t>
  </si>
  <si>
    <t xml:space="preserve">Chq 843063</t>
  </si>
  <si>
    <t xml:space="preserve">chq 0843065</t>
  </si>
  <si>
    <t xml:space="preserve">Règlmt fact.N°00614/DG/USS/18 pr le gardiennage et la surveillance du bâtiment CAP du mois de Octobre 18 </t>
  </si>
  <si>
    <t xml:space="preserve">Chq 843066</t>
  </si>
  <si>
    <t xml:space="preserve">Règlmt fact.N°F14/TFG/18 du solde relatif à la mise en place d'un système informatique au CAP</t>
  </si>
  <si>
    <t xml:space="preserve">Chq 843067</t>
  </si>
  <si>
    <t xml:space="preserve">Paiemt IPTS+VPS du mois de Octobre 2018</t>
  </si>
  <si>
    <t xml:space="preserve">chq C 011836</t>
  </si>
  <si>
    <t xml:space="preserve">Paie d'heures d'enseignement en cours dmaster en microbiologie-Immunologie du 1er semestre 2016-2017</t>
  </si>
  <si>
    <t xml:space="preserve">Salaire du mois de Novembre des agents du CAP</t>
  </si>
  <si>
    <t xml:space="preserve">Paie d'heures d'enseignement aux enseignants dans le cadre du 2ème regroupement 2018</t>
  </si>
  <si>
    <t xml:space="preserve">Règlmt fact.N°0450/AC/18  pour la fourniture des pièces de rechange des copieurs du CAP</t>
  </si>
  <si>
    <t xml:space="preserve">Chq 843074</t>
  </si>
  <si>
    <t xml:space="preserve">Règlmt fact.N° MO 235/18/YN  pour la commande des reactifs et consommables de laboratoire</t>
  </si>
  <si>
    <t xml:space="preserve">Chq 843075</t>
  </si>
  <si>
    <t xml:space="preserve">Paie indemnités aux membres de la commission dans le cadre des travaux de recouvrement des recettes au CAP</t>
  </si>
  <si>
    <t xml:space="preserve">Paie indemnités aux membres dans le cadre de la supervision des activités du 2ème regroupement</t>
  </si>
  <si>
    <t xml:space="preserve">Chq 843076</t>
  </si>
  <si>
    <t xml:space="preserve">31/18/11</t>
  </si>
  <si>
    <t xml:space="preserve">Règlmt fact.N° 18  pour  achat de boissons</t>
  </si>
  <si>
    <t xml:space="preserve">Chq 843064</t>
  </si>
  <si>
    <t xml:space="preserve">Frais d'inscription et de formt° versés en Novembre 2018</t>
  </si>
  <si>
    <t xml:space="preserve">Paie indemnités aux membres dans le cadre de la supervision, l'entretien des lieux et du soutien technique des activités du 2ème regroupement</t>
  </si>
  <si>
    <t xml:space="preserve">Chq 843078</t>
  </si>
  <si>
    <t xml:space="preserve">Chq 843079</t>
  </si>
  <si>
    <t xml:space="preserve">chq 0843080</t>
  </si>
  <si>
    <t xml:space="preserve">03//12/18</t>
  </si>
  <si>
    <t xml:space="preserve">Prime mensuelle de sujétion et de communication. Décembre</t>
  </si>
  <si>
    <t xml:space="preserve">Paie d'heures de vacation aux enseignants en cours présentiels</t>
  </si>
  <si>
    <t xml:space="preserve">Paie des indemnités dans le cadre de l'organisation des activités du 2ème regroupement 2018</t>
  </si>
  <si>
    <t xml:space="preserve">Paie des indemnités  des travaux de déliberation annuelle en formation à distance </t>
  </si>
  <si>
    <t xml:space="preserve">Règlmt fact.N° 034/DG/DAF/SA/18 du 2ème acompte  dans le cadre de l'elaboration de la stratégie de développement de l'EPAC</t>
  </si>
  <si>
    <t xml:space="preserve">chq 0843082</t>
  </si>
  <si>
    <t xml:space="preserve">Prise en charge dans le cadre de la comminiqué radiodifusé de la rentrée academique 208-209 à l'EPAC</t>
  </si>
  <si>
    <t xml:space="preserve">chq 0843083</t>
  </si>
  <si>
    <t xml:space="preserve">Paie des indemnités  des travaux de préparation de déliberation annuelle en formation à distance </t>
  </si>
  <si>
    <t xml:space="preserve">Paie desprimes dans le cadre des recettes relatifs aux divers actes délivrés du 3ème trimestre 2018</t>
  </si>
  <si>
    <t xml:space="preserve">chq 0843084</t>
  </si>
  <si>
    <t xml:space="preserve">chq 0843085</t>
  </si>
  <si>
    <t xml:space="preserve">Paiemt IPTS+VPS du mois de Novembre 2018</t>
  </si>
  <si>
    <t xml:space="preserve">chq C 011815</t>
  </si>
  <si>
    <t xml:space="preserve">Paie indemnités aux membres de la commission chargée d'organisation de la semaine du monde professionnel de l'UAC à l'EPAC</t>
  </si>
  <si>
    <t xml:space="preserve">Salaire du mois de Décembre des agents du CAP</t>
  </si>
  <si>
    <t xml:space="preserve">Règlmt fact.N° AC 0300/10/ABYDI/ pour achat de boissons</t>
  </si>
  <si>
    <t xml:space="preserve">chq 0843087</t>
  </si>
  <si>
    <t xml:space="preserve">TOTAL DES MOUVEMENTS</t>
  </si>
  <si>
    <t xml:space="preserve">SOLDE  AU 31/12/2018</t>
  </si>
  <si>
    <t xml:space="preserve">COURS PREPARATOIRES INGENIEURS GENIE CIVIL CAP EPAC 2016</t>
  </si>
  <si>
    <t xml:space="preserve">LISTE DE PRESENCE</t>
  </si>
  <si>
    <t xml:space="preserve">DATE: …………………………….</t>
  </si>
  <si>
    <t xml:space="preserve">NOMS ET PRENOMS</t>
  </si>
  <si>
    <t xml:space="preserve">Téléphones</t>
  </si>
  <si>
    <t xml:space="preserve">emails</t>
  </si>
  <si>
    <t xml:space="preserve">Signatures</t>
  </si>
  <si>
    <t xml:space="preserve">ADJOVI Ezéchiel</t>
  </si>
  <si>
    <t xml:space="preserve">ezkadjov@gmail.com</t>
  </si>
  <si>
    <t xml:space="preserve">AFOUDA Olatoudji Fabrice</t>
  </si>
  <si>
    <t xml:space="preserve">afouda96fabice@gmail.com</t>
  </si>
  <si>
    <t xml:space="preserve">AGBESSI Serge</t>
  </si>
  <si>
    <t xml:space="preserve">finagnonb@yahoo.fr</t>
  </si>
  <si>
    <t xml:space="preserve">ALLOGNON Rodrigue</t>
  </si>
  <si>
    <t xml:space="preserve">rodrigue.allognon@yahoo.fr </t>
  </si>
  <si>
    <t xml:space="preserve">1er Responsable</t>
  </si>
  <si>
    <t xml:space="preserve">ALLOHOUMBO Copernik</t>
  </si>
  <si>
    <t xml:space="preserve">allocop1@gmail.com</t>
  </si>
  <si>
    <t xml:space="preserve">prudencioamoussou@gmail.com</t>
  </si>
  <si>
    <t xml:space="preserve">ASSOGBA S. C. Christel</t>
  </si>
  <si>
    <t xml:space="preserve">setchegbee1@yahoo.fr</t>
  </si>
  <si>
    <t xml:space="preserve">atcédric.91@gmail.com</t>
  </si>
  <si>
    <t xml:space="preserve">BOKOVO Oscar Coovi</t>
  </si>
  <si>
    <t xml:space="preserve">oscar.bokovo@yahoo.fr</t>
  </si>
  <si>
    <t xml:space="preserve">DAGBA M. Eric</t>
  </si>
  <si>
    <t xml:space="preserve">lapatmail@yahoo.fr</t>
  </si>
  <si>
    <t xml:space="preserve">abnahel@yahoo.fr</t>
  </si>
  <si>
    <t xml:space="preserve">DANOU R. Privat</t>
  </si>
  <si>
    <t xml:space="preserve">DJOSSOU Nougnon Berthelot</t>
  </si>
  <si>
    <t xml:space="preserve">djoertho@gmail.com</t>
  </si>
  <si>
    <t xml:space="preserve">FAVI Imelda</t>
  </si>
  <si>
    <t xml:space="preserve">GBAKOUE Z. Bernadine</t>
  </si>
  <si>
    <t xml:space="preserve">GUEDE Giovanni</t>
  </si>
  <si>
    <t xml:space="preserve">ditoudogiovanni@gmail.com</t>
  </si>
  <si>
    <t xml:space="preserve">HOUKANDJI K. Jacques</t>
  </si>
  <si>
    <t xml:space="preserve">heric1981@yahoo.fr</t>
  </si>
  <si>
    <t xml:space="preserve">KAHO Rhode</t>
  </si>
  <si>
    <t xml:space="preserve">KahoRhode@gmail.com</t>
  </si>
  <si>
    <t xml:space="preserve">KOBA Akotchayé Martinien</t>
  </si>
  <si>
    <t xml:space="preserve">madjeedkoto@yahoo.fr</t>
  </si>
  <si>
    <t xml:space="preserve">KOUDJEDON Jean marie</t>
  </si>
  <si>
    <t xml:space="preserve">jkoudjedon@gmail.com</t>
  </si>
  <si>
    <t xml:space="preserve">LINO Marielle KOTO MADJE</t>
  </si>
  <si>
    <t xml:space="preserve">barbaritalino@gmail.com</t>
  </si>
  <si>
    <t xml:space="preserve">MEHOU Hugues</t>
  </si>
  <si>
    <t xml:space="preserve">abelnegomensah@gmail.com</t>
  </si>
  <si>
    <t xml:space="preserve">metodakouherbert@outlook.fr</t>
  </si>
  <si>
    <t xml:space="preserve">OGOU Nel-Midas</t>
  </si>
  <si>
    <t xml:space="preserve">OGOUNGBE Armand Franck</t>
  </si>
  <si>
    <t xml:space="preserve">PATINVOH Fiacre C.</t>
  </si>
  <si>
    <t xml:space="preserve">paficama@gmail.com</t>
  </si>
  <si>
    <t xml:space="preserve">SEGNON Claude F.</t>
  </si>
  <si>
    <t xml:space="preserve">97190432 /64383880</t>
  </si>
  <si>
    <t xml:space="preserve">aiejotechno@yahoo.fr</t>
  </si>
  <si>
    <t xml:space="preserve">TCHEHOUALI Corine F. P.</t>
  </si>
  <si>
    <t xml:space="preserve">2è Responsable</t>
  </si>
  <si>
    <t xml:space="preserve">TOFFA H. Joel</t>
  </si>
  <si>
    <t xml:space="preserve">htoffa@yahoo.fr</t>
  </si>
  <si>
    <t xml:space="preserve">herpoly@2000yahoo.fr</t>
  </si>
  <si>
    <t xml:space="preserve">TOUMENOU Liberty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</si>
  <si>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GESTION DE L'ENVIRONNEMENT</t>
    </r>
  </si>
  <si>
    <t xml:space="preserve">REFERENCES QUITTANCES</t>
  </si>
  <si>
    <t xml:space="preserve">AGUIDI I. Arnauld Rock</t>
  </si>
  <si>
    <t xml:space="preserve">AKOUNSOUHA Akponi Rafiou N.</t>
  </si>
  <si>
    <t xml:space="preserve">HOUNDJO Martin Coovi</t>
  </si>
  <si>
    <t xml:space="preserve">PADONOU Sylvestre</t>
  </si>
  <si>
    <t xml:space="preserve">SONON Koffi Narcisse</t>
  </si>
  <si>
    <t xml:space="preserve">ATCHEKPE Blandine</t>
  </si>
  <si>
    <t xml:space="preserve">ASSANI Abdel Kassir</t>
  </si>
  <si>
    <t xml:space="preserve">GOGAN A Fréderic</t>
  </si>
  <si>
    <t xml:space="preserve">LAWSON BOE IME Josiah</t>
  </si>
  <si>
    <t xml:space="preserve">AHINDE NINA Maxime</t>
  </si>
  <si>
    <t xml:space="preserve">GANSIMIN S. Vincent</t>
  </si>
  <si>
    <t xml:space="preserve">GOUKPANIAN Germain</t>
  </si>
  <si>
    <t xml:space="preserve">KPONOU TOCHEME Irène Adeline</t>
  </si>
  <si>
    <t xml:space="preserve">LATOUNDJI Laetitia Annie</t>
  </si>
  <si>
    <t xml:space="preserve">MEKPO A. Blandine</t>
  </si>
  <si>
    <t xml:space="preserve">ROINGUEM M. Berthe</t>
  </si>
  <si>
    <t xml:space="preserve">SAÏZONOU Rsemonde</t>
  </si>
  <si>
    <t xml:space="preserve">SOGLO Fernandine</t>
  </si>
  <si>
    <t xml:space="preserve">KOUNI Assana Sidonie</t>
  </si>
  <si>
    <t xml:space="preserve">VILON GUEZO S. Frise Moreas</t>
  </si>
  <si>
    <t xml:space="preserve">ZANNOU Y. Nadine Estelle</t>
  </si>
  <si>
    <t xml:space="preserve">ASSOUMANOU IMOROU AbdeL A. A.</t>
  </si>
  <si>
    <t xml:space="preserve">MAYAKI ADAMOU Nafissatou</t>
  </si>
  <si>
    <t xml:space="preserve">BAGRI B. Christ</t>
  </si>
  <si>
    <t xml:space="preserve">ZIME Safiatou</t>
  </si>
  <si>
    <t xml:space="preserve">AZELOKONON S. O. Amour (redblant)</t>
  </si>
  <si>
    <t xml:space="preserve">OUANTA Philippe (redblant)</t>
  </si>
  <si>
    <t xml:space="preserve">ACCROBESSI Geraud C. François</t>
  </si>
  <si>
    <t xml:space="preserve">AGBANA Kossi Augustin</t>
  </si>
  <si>
    <t xml:space="preserve">AGBOKONI C. Julien</t>
  </si>
  <si>
    <t xml:space="preserve">ALITONOU B. Arcadius Luc</t>
  </si>
  <si>
    <t xml:space="preserve">BANCOLE B. Rico Romuald</t>
  </si>
  <si>
    <t xml:space="preserve">BATOKO ISSAKA Issa</t>
  </si>
  <si>
    <t xml:space="preserve">GAMBA Abdel Wahidi</t>
  </si>
  <si>
    <t xml:space="preserve">GANGAN Félicien</t>
  </si>
  <si>
    <t xml:space="preserve">GNIMADI Sèmèvo Arsène Elie</t>
  </si>
  <si>
    <t xml:space="preserve">LISSASSI M. Achille E.</t>
  </si>
  <si>
    <t xml:space="preserve">NICO Kadukpè Roméo</t>
  </si>
  <si>
    <t xml:space="preserve">NONVIGNON Eric</t>
  </si>
  <si>
    <t xml:space="preserve">SOVOESSI N. Patrice Joël</t>
  </si>
  <si>
    <t xml:space="preserve">TOGBOSSI Cocou Robert</t>
  </si>
  <si>
    <t xml:space="preserve">YEMEZIN Comlan François-Xavier</t>
  </si>
  <si>
    <t xml:space="preserve">HOUNNOU Hamilton Hershell</t>
  </si>
  <si>
    <t xml:space="preserve">OGOUDINA Vianou Germain</t>
  </si>
  <si>
    <t xml:space="preserve">SEDJRO Bonaventure Joël</t>
  </si>
  <si>
    <t xml:space="preserve">SEGNON Carlos Carmel G.</t>
  </si>
  <si>
    <t xml:space="preserve">TELLA Comlan Stanislas Odjoladé L.</t>
  </si>
  <si>
    <t xml:space="preserve">YEDJENOU T. D. Donatien</t>
  </si>
  <si>
    <t xml:space="preserve">BLAKA Ulrich Samuel</t>
  </si>
  <si>
    <t xml:space="preserve">DEGNON Ansavi</t>
  </si>
  <si>
    <t xml:space="preserve">DOGBLE Ablavi Edwige</t>
  </si>
  <si>
    <t xml:space="preserve">HOUNKANLIN Achille C. O.</t>
  </si>
  <si>
    <t xml:space="preserve">HOUNZINME Gbêtondji Edmond</t>
  </si>
  <si>
    <t xml:space="preserve">KOUKOU Missinwa</t>
  </si>
  <si>
    <t xml:space="preserve">LAWIN Eustache Pierre R. A.</t>
  </si>
  <si>
    <t xml:space="preserve">NOUNAGNON F. Gilles Ernest</t>
  </si>
  <si>
    <t xml:space="preserve">SAGBO Akomabou Sylvestre</t>
  </si>
  <si>
    <t xml:space="preserve">SAYO ISSA Tamala</t>
  </si>
  <si>
    <t xml:space="preserve">SEKPON Selligbena Patricia N.</t>
  </si>
  <si>
    <t xml:space="preserve">SIMBIA Lucie N'Koua</t>
  </si>
  <si>
    <t xml:space="preserve">ABOGOUNRIN W. Fatimata</t>
  </si>
  <si>
    <t xml:space="preserve">ASSOSSOU Seraphin</t>
  </si>
  <si>
    <t xml:space="preserve">GNONKE Medard</t>
  </si>
  <si>
    <t xml:space="preserve">BOKO K. Prisca Sèna</t>
  </si>
  <si>
    <t xml:space="preserve">ABATTY Estelle Ida</t>
  </si>
  <si>
    <t xml:space="preserve">ADELAKOUN Chegun Honoré</t>
  </si>
  <si>
    <t xml:space="preserve">ADIMI Nadine Yéba</t>
  </si>
  <si>
    <t xml:space="preserve">ADJIDOWE Sourou Firmin</t>
  </si>
  <si>
    <t xml:space="preserve">ADOHOUNBLESSI Bastide</t>
  </si>
  <si>
    <t xml:space="preserve">AGBANGNANOU Y. D. Ulrich</t>
  </si>
  <si>
    <t xml:space="preserve">AGNILA Soumaïla</t>
  </si>
  <si>
    <t xml:space="preserve">AHOGNI Gustave</t>
  </si>
  <si>
    <t xml:space="preserve">AHOLOUKPE Huguette Houéfa Irène</t>
  </si>
  <si>
    <t xml:space="preserve">AKIBOU Maroufou Irénée</t>
  </si>
  <si>
    <t xml:space="preserve">AKPODE Sèmèvo Benoît</t>
  </si>
  <si>
    <t xml:space="preserve">ALLABI Sessi Rachel Yolande</t>
  </si>
  <si>
    <t xml:space="preserve">ALLODOHOUNDE Bernard</t>
  </si>
  <si>
    <t xml:space="preserve">AMAVI ANOUVI Pelula Firmine</t>
  </si>
  <si>
    <t xml:space="preserve">APOVO Zinsou Jean Hervé</t>
  </si>
  <si>
    <t xml:space="preserve">ARAYE Okpè Abadjayé Evelyne</t>
  </si>
  <si>
    <t xml:space="preserve">AREKPA Karamatou</t>
  </si>
  <si>
    <t xml:space="preserve">ASSANI Saïdath</t>
  </si>
  <si>
    <t xml:space="preserve">ASSOGBA Bessan Jean</t>
  </si>
  <si>
    <t xml:space="preserve">ASSOGBA Monlou Claudine</t>
  </si>
  <si>
    <t xml:space="preserve">ATANHLOUETO Bricette Ayaba</t>
  </si>
  <si>
    <t xml:space="preserve">BADAROU Fataî Djidjoho</t>
  </si>
  <si>
    <t xml:space="preserve">BANCOLE Makandjou-Ola E. Marie-N.</t>
  </si>
  <si>
    <t xml:space="preserve">BIAOU Chabi Ibidonni David</t>
  </si>
  <si>
    <t xml:space="preserve">BOLEAN Sourou Thierry</t>
  </si>
  <si>
    <t xml:space="preserve">BOTON Rolland Harold Elias D.</t>
  </si>
  <si>
    <t xml:space="preserve">CHADARE Augias Olougbemi</t>
  </si>
  <si>
    <t xml:space="preserve">CHOGOLOU Cyriaque</t>
  </si>
  <si>
    <t xml:space="preserve">DAGBA Afifonsi Roselyne Liliane</t>
  </si>
  <si>
    <t xml:space="preserve">DAGBA Gabin</t>
  </si>
  <si>
    <t xml:space="preserve">DANVI Ogoudegnon Jacques</t>
  </si>
  <si>
    <t xml:space="preserve">DOFONSOUHOU Toundé Florent</t>
  </si>
  <si>
    <t xml:space="preserve">DOSSOU-TOGBE John-Ross</t>
  </si>
  <si>
    <t xml:space="preserve">EZIN Wilfried</t>
  </si>
  <si>
    <t xml:space="preserve">FAMBO Machel</t>
  </si>
  <si>
    <t xml:space="preserve">FANDOHAN Antoine</t>
  </si>
  <si>
    <t xml:space="preserve">FATOUMBI Lorette Saîda M.</t>
  </si>
  <si>
    <t xml:space="preserve">FAYALO Comlan Gilbert</t>
  </si>
  <si>
    <t xml:space="preserve">GBETOKPANOU Jean-Baptiste R.</t>
  </si>
  <si>
    <t xml:space="preserve">GERARD NANA Aïchatou</t>
  </si>
  <si>
    <t xml:space="preserve">GNINOU Nicaise</t>
  </si>
  <si>
    <t xml:space="preserve">GNONHOUE Clorinde</t>
  </si>
  <si>
    <t xml:space="preserve">GOUSSI Mariette</t>
  </si>
  <si>
    <t xml:space="preserve">HAMIDOU Yaya Koladé</t>
  </si>
  <si>
    <t xml:space="preserve">HOUNDAYI Sylvie Enagnon</t>
  </si>
  <si>
    <t xml:space="preserve">HOUNKANRIN Yéyinou Hombéline</t>
  </si>
  <si>
    <t xml:space="preserve">HOUNKPONOU Sègla Raoul R.</t>
  </si>
  <si>
    <t xml:space="preserve">KAGBO Cosme</t>
  </si>
  <si>
    <t xml:space="preserve">KANGBETO Clotaire Clovis Claude</t>
  </si>
  <si>
    <t xml:space="preserve">KIKISSAGBE Wanvêmi Honorine</t>
  </si>
  <si>
    <t xml:space="preserve">KIOSSOU Romarie</t>
  </si>
  <si>
    <t xml:space="preserve">KOTTO Sonagnon Augustin A.</t>
  </si>
  <si>
    <t xml:space="preserve">KOUASSI Melkior Yaovi</t>
  </si>
  <si>
    <t xml:space="preserve">KPEKOU Tossou Cyriaque</t>
  </si>
  <si>
    <t xml:space="preserve">KPOZE Rodrigue Justin Sètchégbé</t>
  </si>
  <si>
    <t xml:space="preserve">LANIKPEKOUN Nafiou-Olakou Désiré</t>
  </si>
  <si>
    <t xml:space="preserve">LANTEYI G. S. Michel</t>
  </si>
  <si>
    <t xml:space="preserve">LOUMEDJINON Frank</t>
  </si>
  <si>
    <t xml:space="preserve">MAHINOU Cossi Eliace</t>
  </si>
  <si>
    <t xml:space="preserve">MAKPONSE Afiavi Houénafa Esther O.</t>
  </si>
  <si>
    <t xml:space="preserve">MALENOU Dieu-donné</t>
  </si>
  <si>
    <t xml:space="preserve">MEVODJO Pascaline Akovognon</t>
  </si>
  <si>
    <t xml:space="preserve">MONTEIRO Amamath Aïda</t>
  </si>
  <si>
    <t xml:space="preserve">NATABOU Olandé Christiane</t>
  </si>
  <si>
    <t xml:space="preserve">NOUAGOVI Marcellin H. Dieudonné</t>
  </si>
  <si>
    <t xml:space="preserve">ODO Yaba Charlotte</t>
  </si>
  <si>
    <t xml:space="preserve">OGOUMOUIWA Innocent</t>
  </si>
  <si>
    <t xml:space="preserve">OKE Alfred Juste</t>
  </si>
  <si>
    <t xml:space="preserve">OLADIKPO Bella Honorine Titibla</t>
  </si>
  <si>
    <t xml:space="preserve">OSSENI Mombereola Taliatou</t>
  </si>
  <si>
    <t xml:space="preserve">PARAÏSO Abdou Raïmi Alladé</t>
  </si>
  <si>
    <t xml:space="preserve">QUENUM Sèdjro Ella Gildas</t>
  </si>
  <si>
    <t xml:space="preserve">SABI CISSE F. Séîdou</t>
  </si>
  <si>
    <t xml:space="preserve">SIANOU Houénagnon Antoine</t>
  </si>
  <si>
    <t xml:space="preserve">SOMAKPO Félicienne</t>
  </si>
  <si>
    <t xml:space="preserve">TCHINCOUN Ayawovi</t>
  </si>
  <si>
    <t xml:space="preserve">TOKPANOU Médard Nounagnon</t>
  </si>
  <si>
    <t xml:space="preserve">TOKPO W. Nicephore</t>
  </si>
  <si>
    <t xml:space="preserve">TOLLO Pulcherie Claire</t>
  </si>
  <si>
    <t xml:space="preserve">WOROU OLOU Frédéric</t>
  </si>
  <si>
    <t xml:space="preserve">ZODOME Pélagie</t>
  </si>
  <si>
    <t xml:space="preserve">ZOHOU Bruno</t>
  </si>
  <si>
    <t xml:space="preserve">ABDOULAYE Rashidi</t>
  </si>
  <si>
    <t xml:space="preserve">AMOUSSA Madinatou Dohonou</t>
  </si>
  <si>
    <t xml:space="preserve">ELECHO Abibola Abdoul Raïmy</t>
  </si>
  <si>
    <t xml:space="preserve">ENOUHERAN Mondoukpè Hermionne</t>
  </si>
  <si>
    <t xml:space="preserve">KOUAKANOU Donaldo Beaugelais</t>
  </si>
  <si>
    <t xml:space="preserve">TOHOUN Cossi Hervé Marc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</si>
  <si>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GEOMETRE TOPOGRAPHE</t>
    </r>
  </si>
  <si>
    <t xml:space="preserve">ADJOKANNOU Quentin Koffi</t>
  </si>
  <si>
    <t xml:space="preserve">DJESSOU Djima Randal</t>
  </si>
  <si>
    <t xml:space="preserve">DOSSOU Dénis Ogouchinan</t>
  </si>
  <si>
    <t xml:space="preserve">FIOGBE Epiphane</t>
  </si>
  <si>
    <t xml:space="preserve">KAKPO Gildas</t>
  </si>
  <si>
    <t xml:space="preserve">NOUHOTO Félix</t>
  </si>
  <si>
    <t xml:space="preserve">ALI RAMATH ABEKE</t>
  </si>
  <si>
    <t xml:space="preserve">GANYE A. Damien </t>
  </si>
  <si>
    <t xml:space="preserve">HOUNGBEDJI H. Roland </t>
  </si>
  <si>
    <t xml:space="preserve">MASTER   EN MICROBIOLOGIE/ IMMUNOLOGIE 2017-2018</t>
  </si>
  <si>
    <t xml:space="preserve">2EME ANNEE</t>
  </si>
  <si>
    <t xml:space="preserve">ADEGBINDIN Rafiou</t>
  </si>
  <si>
    <t xml:space="preserve">ADEROMOU Eriyomi Toussain</t>
  </si>
  <si>
    <t xml:space="preserve">GBOSSA Hans Eddy M. O.</t>
  </si>
  <si>
    <t xml:space="preserve">AGOUNDOTE Mahussi L. Hermione</t>
  </si>
  <si>
    <t xml:space="preserve">BOURAÏMA Brikissou Alaga</t>
  </si>
  <si>
    <t xml:space="preserve">MAMAN  NANA Mariama</t>
  </si>
  <si>
    <t xml:space="preserve">DEGBO Jesutin T. Sylvestre</t>
  </si>
  <si>
    <t xml:space="preserve">GBAGUIDI Bernice Carene</t>
  </si>
  <si>
    <t xml:space="preserve">GNACADJA Prisca</t>
  </si>
  <si>
    <t xml:space="preserve">HOUNGUE Koffi Désiré</t>
  </si>
  <si>
    <t xml:space="preserve">HOUNSOU SOUROU Albert</t>
  </si>
  <si>
    <t xml:space="preserve">KOMAHOUE KOMABOU Fulbert</t>
  </si>
  <si>
    <t xml:space="preserve">KOUKE Rosny Sergyne N.</t>
  </si>
  <si>
    <t xml:space="preserve">ODOUN Sêwena Mathieu</t>
  </si>
  <si>
    <t xml:space="preserve">QUENUM Rosine Assiba</t>
  </si>
  <si>
    <t xml:space="preserve">SAGBO  Maranatha</t>
  </si>
  <si>
    <t xml:space="preserve">KINSICLOUNON Rosette</t>
  </si>
  <si>
    <t xml:space="preserve">TESSI AKPITI Irène</t>
  </si>
  <si>
    <t xml:space="preserve">CAKPO Alfred Jeannot Codjo(redouble)</t>
  </si>
  <si>
    <t xml:space="preserve">DONOU Hermann Frédéric</t>
  </si>
  <si>
    <t xml:space="preserve">SOSSOUHOUNTO Ibrahima Satarou</t>
  </si>
  <si>
    <t xml:space="preserve">BIAOU Bienvenue (redblant)</t>
  </si>
  <si>
    <t xml:space="preserve">HOUINSA Dossa Christian (redblant)</t>
  </si>
  <si>
    <t xml:space="preserve">KASSA KOUASSI Maxime Rodrigue</t>
  </si>
  <si>
    <t xml:space="preserve">KITI K. C. Claude (redblant)</t>
  </si>
  <si>
    <t xml:space="preserve">KPEDE Alexis</t>
  </si>
  <si>
    <t xml:space="preserve">LOHENTO Donald (redblant)</t>
  </si>
  <si>
    <t xml:space="preserve">MEDENOUVO Mathieu (redblant)</t>
  </si>
  <si>
    <t xml:space="preserve">NAMIMA Claver T. (redblant)</t>
  </si>
  <si>
    <t xml:space="preserve">SOTON A. Aimé (redblant)</t>
  </si>
  <si>
    <t xml:space="preserve">ADITI H. Gaël (redblant)</t>
  </si>
  <si>
    <t xml:space="preserve">ALAVO Angelos. Gérard (redblant)</t>
  </si>
  <si>
    <t xml:space="preserve">CHABI SIDI W. Azedine (redblant)</t>
  </si>
  <si>
    <t xml:space="preserve">DANHOUEGNON D. Syvestre (redblant)</t>
  </si>
  <si>
    <t xml:space="preserve">DANSI Paulin (redblant)</t>
  </si>
  <si>
    <t xml:space="preserve">GOUNOUDE N. Hébert O. (redblant)</t>
  </si>
  <si>
    <t xml:space="preserve">KASSOUIN Assana (redblant)</t>
  </si>
  <si>
    <t xml:space="preserve">KOUOLA Ahmed (redblant)</t>
  </si>
  <si>
    <t xml:space="preserve">MESSANH Aude Grégoire (redblant)</t>
  </si>
  <si>
    <t xml:space="preserve">MOHAMADOU A.. Zoulkifl AKAMBI</t>
  </si>
  <si>
    <t xml:space="preserve">AHONOUKOUN Médard (redblant)</t>
  </si>
  <si>
    <t xml:space="preserve">D'ALMEIDA Armand D. Kouassi (redblant)</t>
  </si>
  <si>
    <t xml:space="preserve">HOUINDO Guy S. (redblant)</t>
  </si>
  <si>
    <t xml:space="preserve">HOUNDETON Joly Gabin(redblant)</t>
  </si>
  <si>
    <t xml:space="preserve">KINKPE Gildas Didier K. V. (redblant)</t>
  </si>
  <si>
    <t xml:space="preserve">SAÏZONOU Narcisse S. (redblant)</t>
  </si>
  <si>
    <t xml:space="preserve">TOTONGNON AGOSSOU René Jules (redblant)</t>
  </si>
  <si>
    <t xml:space="preserve">TOUNGAKOUAGOU K. Sokoka (redblant)</t>
  </si>
  <si>
    <t xml:space="preserve">AHOUISSOU Mesmin Maurille(redblant)</t>
  </si>
  <si>
    <t xml:space="preserve">BOURAIMA SADISSOU Kolawolé</t>
  </si>
  <si>
    <t xml:space="preserve">ZOSSOUNGBO A. Corinne</t>
  </si>
  <si>
    <t xml:space="preserve">ADAM Amidou</t>
  </si>
  <si>
    <t xml:space="preserve">DJITRINOU Marinhos</t>
  </si>
  <si>
    <t xml:space="preserve">LEKOYO M. Hippolyte (redblant)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</si>
</sst>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General"/>
    <numFmt numFmtId="167" formatCode="0"/>
    <numFmt numFmtId="168" formatCode="0\ %"/>
    <numFmt numFmtId="169" formatCode="0.00\ %"/>
    <numFmt numFmtId="170" formatCode="dd/mm/yyyy"/>
    <numFmt numFmtId="171" formatCode="0.00"/>
  </numFmts>
  <fonts count="89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34"/>
    </font>
    <font>
      <sz val="14"/>
      <color theme="1"/>
      <name val="Elephant"/>
      <family val="0"/>
      <charset val="134"/>
    </font>
    <font>
      <sz val="12"/>
      <color theme="1"/>
      <name val="Arial"/>
      <family val="0"/>
      <charset val="134"/>
    </font>
    <font>
      <sz val="12"/>
      <color theme="1"/>
      <name val="comic"/>
      <family val="0"/>
      <charset val="134"/>
    </font>
    <font>
      <b val="true"/>
      <sz val="12"/>
      <color theme="1"/>
      <name val="comic"/>
      <family val="0"/>
      <charset val="134"/>
    </font>
    <font>
      <b val="true"/>
      <i val="true"/>
      <sz val="12"/>
      <color theme="1"/>
      <name val="Calibri"/>
      <family val="0"/>
      <charset val="134"/>
    </font>
    <font>
      <b val="true"/>
      <sz val="12"/>
      <color theme="1"/>
      <name val="Calibri"/>
      <family val="0"/>
      <charset val="134"/>
    </font>
    <font>
      <b val="true"/>
      <u val="single"/>
      <sz val="12"/>
      <color theme="1"/>
      <name val="comic"/>
      <family val="0"/>
      <charset val="134"/>
    </font>
    <font>
      <b val="true"/>
      <sz val="12"/>
      <color rgb="FFFF0000"/>
      <name val="Albertus MT Lt"/>
      <family val="0"/>
      <charset val="134"/>
    </font>
    <font>
      <b val="true"/>
      <sz val="12"/>
      <color theme="1"/>
      <name val="Arial Narrow"/>
      <family val="0"/>
      <charset val="134"/>
    </font>
    <font>
      <b val="true"/>
      <sz val="12"/>
      <color rgb="FF00B050"/>
      <name val="Arial Narrow"/>
      <family val="0"/>
      <charset val="134"/>
    </font>
    <font>
      <b val="true"/>
      <sz val="12"/>
      <color rgb="FFC00000"/>
      <name val="Arial Narrow"/>
      <family val="0"/>
      <charset val="134"/>
    </font>
    <font>
      <b val="true"/>
      <sz val="12"/>
      <color rgb="FFFF0000"/>
      <name val="Arial Narrow"/>
      <family val="0"/>
      <charset val="134"/>
    </font>
    <font>
      <sz val="12"/>
      <color theme="1"/>
      <name val="Arial Narrow"/>
      <family val="0"/>
      <charset val="134"/>
    </font>
    <font>
      <sz val="12"/>
      <color theme="1"/>
      <name val="Calibri"/>
      <family val="0"/>
      <charset val="134"/>
    </font>
    <font>
      <sz val="14"/>
      <color theme="1"/>
      <name val="Aharoni"/>
      <family val="0"/>
      <charset val="177"/>
    </font>
    <font>
      <b val="true"/>
      <sz val="12"/>
      <color rgb="FF00B050"/>
      <name val="Calibri"/>
      <family val="0"/>
      <charset val="134"/>
    </font>
    <font>
      <b val="true"/>
      <sz val="12"/>
      <color rgb="FFC00000"/>
      <name val="Calibri"/>
      <family val="0"/>
      <charset val="134"/>
    </font>
    <font>
      <b val="true"/>
      <sz val="12"/>
      <color rgb="FFFF0000"/>
      <name val="Calibri"/>
      <family val="0"/>
      <charset val="134"/>
    </font>
    <font>
      <b val="true"/>
      <sz val="12"/>
      <color theme="1"/>
      <name val="Albertus MT Lt"/>
      <family val="0"/>
      <charset val="134"/>
    </font>
    <font>
      <sz val="12"/>
      <name val="Arial Narrow"/>
      <family val="0"/>
      <charset val="134"/>
    </font>
    <font>
      <sz val="12"/>
      <name val="Calibri"/>
      <family val="0"/>
      <charset val="134"/>
    </font>
    <font>
      <b val="true"/>
      <sz val="16"/>
      <color theme="1"/>
      <name val="Aharoni"/>
      <family val="0"/>
      <charset val="177"/>
    </font>
    <font>
      <b val="true"/>
      <sz val="14"/>
      <color rgb="FF00B050"/>
      <name val="Calibri"/>
      <family val="0"/>
      <charset val="134"/>
    </font>
    <font>
      <b val="true"/>
      <sz val="14"/>
      <color rgb="FF002060"/>
      <name val="Calibri"/>
      <family val="0"/>
      <charset val="134"/>
    </font>
    <font>
      <b val="true"/>
      <sz val="14"/>
      <color rgb="FFFF0000"/>
      <name val="Calibri"/>
      <family val="0"/>
      <charset val="134"/>
    </font>
    <font>
      <sz val="10"/>
      <color theme="1"/>
      <name val="Bookman Old Style"/>
      <family val="0"/>
      <charset val="134"/>
    </font>
    <font>
      <sz val="11"/>
      <color theme="1"/>
      <name val="Tahoma"/>
      <family val="0"/>
      <charset val="134"/>
    </font>
    <font>
      <b val="true"/>
      <sz val="14"/>
      <color theme="1"/>
      <name val="Aharoni"/>
      <family val="0"/>
      <charset val="177"/>
    </font>
    <font>
      <sz val="11"/>
      <color theme="1"/>
      <name val="Arial Narrow"/>
      <family val="0"/>
      <charset val="134"/>
    </font>
    <font>
      <sz val="10"/>
      <name val="Arial"/>
      <family val="2"/>
    </font>
    <font>
      <sz val="14"/>
      <color theme="1"/>
      <name val="Elephant"/>
      <family val="0"/>
      <charset val="1"/>
    </font>
    <font>
      <b val="true"/>
      <i val="true"/>
      <sz val="12"/>
      <color theme="1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u val="single"/>
      <sz val="12"/>
      <color theme="1"/>
      <name val="comic"/>
      <family val="0"/>
      <charset val="1"/>
    </font>
    <font>
      <b val="true"/>
      <sz val="12"/>
      <color rgb="FF00B050"/>
      <name val="Arial Narrow"/>
      <family val="0"/>
      <charset val="1"/>
    </font>
    <font>
      <b val="true"/>
      <sz val="12"/>
      <color rgb="FFC00000"/>
      <name val="Arial Narrow"/>
      <family val="0"/>
      <charset val="1"/>
    </font>
    <font>
      <b val="true"/>
      <sz val="12"/>
      <color rgb="FFFF0000"/>
      <name val="Arial Narrow"/>
      <family val="0"/>
      <charset val="1"/>
    </font>
    <font>
      <sz val="12"/>
      <color rgb="FF000000"/>
      <name val="Calibri"/>
      <family val="0"/>
      <charset val="134"/>
    </font>
    <font>
      <sz val="12"/>
      <color rgb="FF000000"/>
      <name val="Calibri"/>
      <family val="0"/>
      <charset val="1"/>
    </font>
    <font>
      <sz val="14"/>
      <color theme="1"/>
      <name val="Aharoni"/>
      <family val="0"/>
      <charset val="1"/>
    </font>
    <font>
      <sz val="12"/>
      <color rgb="FFFF0000"/>
      <name val="Arial Narrow"/>
      <family val="0"/>
      <charset val="134"/>
    </font>
    <font>
      <sz val="12"/>
      <color rgb="FFFF0000"/>
      <name val="Calibri"/>
      <family val="0"/>
      <charset val="1"/>
    </font>
    <font>
      <sz val="12"/>
      <color rgb="FFFF0000"/>
      <name val="Calibri"/>
      <family val="0"/>
      <charset val="134"/>
    </font>
    <font>
      <sz val="10"/>
      <color rgb="FF000000"/>
      <name val="Tahoma"/>
      <family val="0"/>
      <charset val="134"/>
    </font>
    <font>
      <sz val="10"/>
      <color rgb="FF000000"/>
      <name val="Tahoma"/>
      <family val="0"/>
      <charset val="1"/>
    </font>
    <font>
      <sz val="11"/>
      <color rgb="FF000000"/>
      <name val="Arial"/>
      <family val="0"/>
      <charset val="134"/>
    </font>
    <font>
      <sz val="11"/>
      <color rgb="FF000000"/>
      <name val="Arial"/>
      <family val="0"/>
      <charset val="1"/>
    </font>
    <font>
      <sz val="12"/>
      <color theme="1"/>
      <name val="Arial"/>
      <family val="0"/>
      <charset val="1"/>
    </font>
    <font>
      <sz val="11"/>
      <color theme="1"/>
      <name val="Arial"/>
      <family val="0"/>
      <charset val="134"/>
    </font>
    <font>
      <sz val="11"/>
      <color theme="1"/>
      <name val="Arial"/>
      <family val="0"/>
      <charset val="1"/>
    </font>
    <font>
      <b val="true"/>
      <i val="true"/>
      <sz val="14"/>
      <color theme="1"/>
      <name val="Calibri"/>
      <family val="0"/>
      <charset val="1"/>
    </font>
    <font>
      <sz val="10"/>
      <color theme="1"/>
      <name val="Tahoma"/>
      <family val="0"/>
      <charset val="1"/>
    </font>
    <font>
      <sz val="10"/>
      <color rgb="FF000000"/>
      <name val="Calibri"/>
      <family val="0"/>
      <charset val="134"/>
    </font>
    <font>
      <sz val="10"/>
      <color rgb="FF000000"/>
      <name val="Calibri"/>
      <family val="0"/>
      <charset val="1"/>
    </font>
    <font>
      <sz val="12"/>
      <color theme="1"/>
      <name val="Elephant"/>
      <family val="0"/>
      <charset val="134"/>
    </font>
    <font>
      <b val="true"/>
      <u val="single"/>
      <sz val="12"/>
      <color theme="1"/>
      <name val="Calibri"/>
      <family val="0"/>
      <charset val="134"/>
    </font>
    <font>
      <b val="true"/>
      <sz val="12"/>
      <color rgb="FF002060"/>
      <name val="Arial Narrow"/>
      <family val="0"/>
      <charset val="134"/>
    </font>
    <font>
      <sz val="11"/>
      <name val="Calibri"/>
      <family val="0"/>
      <charset val="134"/>
    </font>
    <font>
      <b val="true"/>
      <sz val="16"/>
      <color theme="1"/>
      <name val="Calibri"/>
      <family val="0"/>
      <charset val="134"/>
    </font>
    <font>
      <sz val="14"/>
      <color rgb="FF00B050"/>
      <name val="Calibri"/>
      <family val="0"/>
      <charset val="134"/>
    </font>
    <font>
      <b val="true"/>
      <i val="true"/>
      <sz val="14"/>
      <color theme="1"/>
      <name val="Calibri"/>
      <family val="0"/>
      <charset val="134"/>
    </font>
    <font>
      <sz val="14"/>
      <color rgb="FFFF0000"/>
      <name val="Elephant"/>
      <family val="0"/>
      <charset val="134"/>
    </font>
    <font>
      <b val="true"/>
      <sz val="11"/>
      <name val="Albertus MT Lt"/>
      <family val="0"/>
      <charset val="134"/>
    </font>
    <font>
      <b val="true"/>
      <sz val="12"/>
      <name val="Baskerville Old Face"/>
      <family val="0"/>
      <charset val="134"/>
    </font>
    <font>
      <b val="true"/>
      <sz val="10"/>
      <name val="Albertus MT Lt"/>
      <family val="0"/>
      <charset val="134"/>
    </font>
    <font>
      <b val="true"/>
      <sz val="10"/>
      <color theme="7" tint="0.5999"/>
      <name val="Albertus MT Lt"/>
      <family val="0"/>
      <charset val="134"/>
    </font>
    <font>
      <b val="true"/>
      <sz val="12"/>
      <name val="Albertus MT Lt"/>
      <family val="0"/>
      <charset val="134"/>
    </font>
    <font>
      <b val="true"/>
      <sz val="11"/>
      <color theme="1"/>
      <name val="Calibri"/>
      <family val="0"/>
      <charset val="134"/>
    </font>
    <font>
      <b val="true"/>
      <sz val="10"/>
      <color theme="7" tint="0.3999"/>
      <name val="Albertus MT Lt"/>
      <family val="0"/>
      <charset val="134"/>
    </font>
    <font>
      <b val="true"/>
      <sz val="12"/>
      <name val="Arial"/>
      <family val="0"/>
      <charset val="134"/>
    </font>
    <font>
      <b val="true"/>
      <sz val="22"/>
      <name val="Arial Narrow"/>
      <family val="0"/>
      <charset val="134"/>
    </font>
    <font>
      <b val="true"/>
      <sz val="20"/>
      <name val="Arial Narrow"/>
      <family val="0"/>
      <charset val="134"/>
    </font>
    <font>
      <sz val="14"/>
      <name val="Arial"/>
      <family val="0"/>
      <charset val="134"/>
    </font>
    <font>
      <b val="true"/>
      <sz val="12"/>
      <name val="Arial Narrow"/>
      <family val="0"/>
      <charset val="134"/>
    </font>
    <font>
      <b val="true"/>
      <sz val="9"/>
      <name val="Arial"/>
      <family val="0"/>
      <charset val="134"/>
    </font>
    <font>
      <sz val="10"/>
      <color theme="0"/>
      <name val="Arial"/>
      <family val="0"/>
      <charset val="134"/>
    </font>
    <font>
      <sz val="10"/>
      <color rgb="FF000000"/>
      <name val="Arial"/>
      <family val="0"/>
      <charset val="134"/>
    </font>
    <font>
      <sz val="14"/>
      <name val="Arial Black"/>
      <family val="0"/>
      <charset val="134"/>
    </font>
    <font>
      <sz val="9"/>
      <name val="Arial"/>
      <family val="0"/>
      <charset val="134"/>
    </font>
    <font>
      <b val="true"/>
      <sz val="12"/>
      <color theme="1"/>
      <name val="Eras Demi ITC"/>
      <family val="0"/>
      <charset val="134"/>
    </font>
    <font>
      <u val="single"/>
      <sz val="11"/>
      <color theme="10"/>
      <name val="Calibri"/>
      <family val="0"/>
      <charset val="134"/>
    </font>
    <font>
      <b val="true"/>
      <u val="single"/>
      <sz val="11"/>
      <color theme="10"/>
      <name val="Calibri"/>
      <family val="0"/>
      <charset val="134"/>
    </font>
    <font>
      <sz val="9"/>
      <color theme="1"/>
      <name val="Calibri"/>
      <family val="0"/>
      <charset val="134"/>
    </font>
    <font>
      <sz val="8"/>
      <color theme="1"/>
      <name val="Calibri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7" tint="0.5999"/>
        <bgColor rgb="FFBFBFBF"/>
      </patternFill>
    </fill>
    <fill>
      <patternFill patternType="solid">
        <fgColor theme="8" tint="0.5999"/>
        <bgColor rgb="FFCCC1DA"/>
      </patternFill>
    </fill>
    <fill>
      <patternFill patternType="solid">
        <fgColor theme="0" tint="-0.25"/>
        <bgColor rgb="FFCCC1DA"/>
      </patternFill>
    </fill>
  </fills>
  <borders count="59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double"/>
      <right/>
      <top style="thin"/>
      <bottom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double"/>
      <right style="double"/>
      <top style="thin"/>
      <bottom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 style="double"/>
      <top style="double"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2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1" fillId="2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2" fillId="2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2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21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22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2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0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5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2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8" fillId="0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2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3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3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2" fillId="2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2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1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2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2" fillId="0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2" fillId="2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2" fillId="0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2" fillId="0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2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2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5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7" fillId="3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7" fillId="3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2" fillId="2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2" fillId="0" borderId="2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4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2" fillId="3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8" fillId="2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2" fillId="0" borderId="3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8" fillId="2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4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3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8" fillId="0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8" fillId="0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7" fillId="2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5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3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9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2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9" fillId="0" borderId="3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9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3" borderId="3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9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4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9" fillId="4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9" fillId="4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9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9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0" fillId="4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1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1" fillId="4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9" fillId="0" borderId="4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0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0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0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2" fillId="4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4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9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9" fillId="4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4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9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4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9" fillId="4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9" fillId="4" borderId="4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9" fillId="0" borderId="4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1" fillId="4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1" fillId="4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9" fillId="4" borderId="4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9" fillId="2" borderId="4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4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9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9" fillId="4" borderId="4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3" fillId="4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3" fillId="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3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3" fillId="4" borderId="4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4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1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1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1" fillId="3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1" fillId="0" borderId="3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6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7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8" fillId="0" borderId="3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0" borderId="5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0" borderId="5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24" fillId="0" borderId="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4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4" fillId="0" borderId="1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9" fillId="2" borderId="5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8" fillId="0" borderId="49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" fillId="2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0" fillId="0" borderId="1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0" fillId="0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1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5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1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4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1" fillId="2" borderId="1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1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1" fillId="2" borderId="5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1" fillId="2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1" fillId="2" borderId="4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2" fillId="0" borderId="5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3" fillId="0" borderId="5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9" fillId="0" borderId="3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9" fillId="0" borderId="3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9" fillId="3" borderId="3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5" fillId="2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5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6" fillId="6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8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7" fillId="0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5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7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7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5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87" fillId="0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8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8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8" fillId="0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7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87" fillId="0" borderId="3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87" fillId="0" borderId="2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7" fillId="0" borderId="3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7" fillId="0" borderId="2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87" fillId="0" borderId="3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7" fillId="0" borderId="3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87" fillId="2" borderId="3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0" borderId="30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0" borderId="29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B3A2C7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ezkadjov@gmail.com" TargetMode="External"/><Relationship Id="rId2" Type="http://schemas.openxmlformats.org/officeDocument/2006/relationships/hyperlink" Target="mailto:afouda96fabice@gmail.com" TargetMode="External"/><Relationship Id="rId3" Type="http://schemas.openxmlformats.org/officeDocument/2006/relationships/hyperlink" Target="mailto:finagnonb@yahoo.fr" TargetMode="External"/><Relationship Id="rId4" Type="http://schemas.openxmlformats.org/officeDocument/2006/relationships/hyperlink" Target="mailto:rodrigue.allognon@yahoo.fr" TargetMode="External"/><Relationship Id="rId5" Type="http://schemas.openxmlformats.org/officeDocument/2006/relationships/hyperlink" Target="mailto:allocop1@gmail.com" TargetMode="External"/><Relationship Id="rId6" Type="http://schemas.openxmlformats.org/officeDocument/2006/relationships/hyperlink" Target="mailto:prudencioamoussou@gmail.com" TargetMode="External"/><Relationship Id="rId7" Type="http://schemas.openxmlformats.org/officeDocument/2006/relationships/hyperlink" Target="mailto:setchegbee1@yahoo.fr" TargetMode="External"/><Relationship Id="rId8" Type="http://schemas.openxmlformats.org/officeDocument/2006/relationships/hyperlink" Target="mailto:atc&#233;dric.91@gmail.com" TargetMode="External"/><Relationship Id="rId9" Type="http://schemas.openxmlformats.org/officeDocument/2006/relationships/hyperlink" Target="mailto:oscar.bokovo@yahoo.fr" TargetMode="External"/><Relationship Id="rId10" Type="http://schemas.openxmlformats.org/officeDocument/2006/relationships/hyperlink" Target="mailto:lapatmail@yahoo.fr" TargetMode="External"/><Relationship Id="rId11" Type="http://schemas.openxmlformats.org/officeDocument/2006/relationships/hyperlink" Target="mailto:abnahel@yahoo.fr" TargetMode="External"/><Relationship Id="rId12" Type="http://schemas.openxmlformats.org/officeDocument/2006/relationships/hyperlink" Target="mailto:djoertho@gmail.com" TargetMode="External"/><Relationship Id="rId13" Type="http://schemas.openxmlformats.org/officeDocument/2006/relationships/hyperlink" Target="mailto:ditoudogiovanni@gmail.com" TargetMode="External"/><Relationship Id="rId14" Type="http://schemas.openxmlformats.org/officeDocument/2006/relationships/hyperlink" Target="mailto:heric1981@yahoo.fr" TargetMode="External"/><Relationship Id="rId15" Type="http://schemas.openxmlformats.org/officeDocument/2006/relationships/hyperlink" Target="mailto:KahoRhode@gmail.com" TargetMode="External"/><Relationship Id="rId16" Type="http://schemas.openxmlformats.org/officeDocument/2006/relationships/hyperlink" Target="mailto:madjeedkoto@yahoo.fr" TargetMode="External"/><Relationship Id="rId17" Type="http://schemas.openxmlformats.org/officeDocument/2006/relationships/hyperlink" Target="mailto:jkoudjedon@gmail.com" TargetMode="External"/><Relationship Id="rId18" Type="http://schemas.openxmlformats.org/officeDocument/2006/relationships/hyperlink" Target="mailto:barbaritalino@gmail.com" TargetMode="External"/><Relationship Id="rId19" Type="http://schemas.openxmlformats.org/officeDocument/2006/relationships/hyperlink" Target="mailto:abelnegomensah@gmail.com" TargetMode="External"/><Relationship Id="rId20" Type="http://schemas.openxmlformats.org/officeDocument/2006/relationships/hyperlink" Target="mailto:metodakouherbert@outlook.fr" TargetMode="External"/><Relationship Id="rId21" Type="http://schemas.openxmlformats.org/officeDocument/2006/relationships/hyperlink" Target="mailto:paficama@gmail.com" TargetMode="External"/><Relationship Id="rId22" Type="http://schemas.openxmlformats.org/officeDocument/2006/relationships/hyperlink" Target="mailto:aiejotechno@yahoo.fr" TargetMode="External"/><Relationship Id="rId23" Type="http://schemas.openxmlformats.org/officeDocument/2006/relationships/hyperlink" Target="mailto:htoffa@yahoo.fr" TargetMode="External"/><Relationship Id="rId24" Type="http://schemas.openxmlformats.org/officeDocument/2006/relationships/hyperlink" Target="mailto:herpoly@2000yahoo.f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771"/>
  <sheetViews>
    <sheetView showFormulas="false" showGridLines="true" showRowColHeaders="true" showZeros="true" rightToLeft="false" tabSelected="false" showOutlineSymbols="true" defaultGridColor="true" view="normal" topLeftCell="A220" colorId="64" zoomScale="93" zoomScaleNormal="93" zoomScalePageLayoutView="100" workbookViewId="0">
      <selection pane="topLeft" activeCell="K358" activeCellId="0" sqref="K358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32.43"/>
    <col collapsed="false" customWidth="true" hidden="false" outlineLevel="0" max="3" min="3" style="1" width="13.15"/>
    <col collapsed="false" customWidth="true" hidden="false" outlineLevel="0" max="4" min="4" style="1" width="12.86"/>
    <col collapsed="false" customWidth="true" hidden="false" outlineLevel="0" max="5" min="5" style="1" width="12.43"/>
    <col collapsed="false" customWidth="true" hidden="false" outlineLevel="0" max="16384" min="16370" style="0" width="11.53"/>
  </cols>
  <sheetData>
    <row r="3" customFormat="false" ht="17.35" hidden="false" customHeight="false" outlineLevel="0" collapsed="false">
      <c r="A3" s="2"/>
      <c r="B3" s="2" t="s">
        <v>0</v>
      </c>
    </row>
    <row r="4" customFormat="false" ht="15" hidden="false" customHeight="false" outlineLevel="0" collapsed="false">
      <c r="A4" s="1" t="s">
        <v>1</v>
      </c>
    </row>
    <row r="5" customFormat="false" ht="17.25" hidden="false" customHeight="false" outlineLevel="0" collapsed="false">
      <c r="B5" s="3" t="s">
        <v>2</v>
      </c>
    </row>
    <row r="8" customFormat="false" ht="17.25" hidden="false" customHeight="false" outlineLevel="0" collapsed="false">
      <c r="B8" s="4" t="s">
        <v>3</v>
      </c>
      <c r="D8" s="5" t="s">
        <v>4</v>
      </c>
    </row>
    <row r="10" customFormat="false" ht="15" hidden="false" customHeight="false" outlineLevel="0" collapsed="false">
      <c r="A10" s="6" t="s">
        <v>5</v>
      </c>
      <c r="B10" s="7" t="s">
        <v>6</v>
      </c>
      <c r="C10" s="8" t="s">
        <v>7</v>
      </c>
      <c r="D10" s="9" t="s">
        <v>8</v>
      </c>
      <c r="E10" s="10" t="s">
        <v>9</v>
      </c>
    </row>
    <row r="11" customFormat="false" ht="15" hidden="false" customHeight="false" outlineLevel="0" collapsed="false">
      <c r="A11" s="11" t="n">
        <v>1</v>
      </c>
      <c r="B11" s="12" t="s">
        <v>10</v>
      </c>
      <c r="C11" s="13" t="n">
        <v>416500</v>
      </c>
      <c r="D11" s="13" t="n">
        <f aca="false">20000+200000+200000</f>
        <v>420000</v>
      </c>
      <c r="E11" s="14" t="n">
        <f aca="false">C11-D11</f>
        <v>-3500</v>
      </c>
    </row>
    <row r="12" customFormat="false" ht="15" hidden="false" customHeight="false" outlineLevel="0" collapsed="false">
      <c r="A12" s="1" t="n">
        <v>2</v>
      </c>
      <c r="B12" s="15" t="s">
        <v>11</v>
      </c>
      <c r="C12" s="16" t="n">
        <v>416500</v>
      </c>
      <c r="D12" s="13" t="n">
        <f aca="false">216000+200500</f>
        <v>416500</v>
      </c>
      <c r="E12" s="17" t="n">
        <f aca="false">C12-D12</f>
        <v>0</v>
      </c>
    </row>
    <row r="13" customFormat="false" ht="15" hidden="false" customHeight="false" outlineLevel="0" collapsed="false">
      <c r="A13" s="18" t="n">
        <v>3</v>
      </c>
      <c r="B13" s="12" t="s">
        <v>12</v>
      </c>
      <c r="C13" s="16" t="n">
        <v>416500</v>
      </c>
      <c r="D13" s="13"/>
      <c r="E13" s="17" t="n">
        <f aca="false">C13-D13</f>
        <v>416500</v>
      </c>
    </row>
    <row r="14" customFormat="false" ht="15" hidden="false" customHeight="false" outlineLevel="0" collapsed="false">
      <c r="A14" s="11" t="n">
        <v>4</v>
      </c>
      <c r="B14" s="12" t="s">
        <v>13</v>
      </c>
      <c r="C14" s="16" t="n">
        <v>416500</v>
      </c>
      <c r="D14" s="13" t="n">
        <f aca="false">200000</f>
        <v>200000</v>
      </c>
      <c r="E14" s="17" t="n">
        <f aca="false">C14-D14</f>
        <v>216500</v>
      </c>
    </row>
    <row r="15" customFormat="false" ht="15" hidden="false" customHeight="false" outlineLevel="0" collapsed="false">
      <c r="A15" s="1" t="n">
        <v>5</v>
      </c>
      <c r="B15" s="12" t="s">
        <v>14</v>
      </c>
      <c r="C15" s="16" t="n">
        <v>416500</v>
      </c>
      <c r="D15" s="13" t="n">
        <f aca="false">216000+100000+100500</f>
        <v>416500</v>
      </c>
      <c r="E15" s="17" t="n">
        <f aca="false">C15-D15</f>
        <v>0</v>
      </c>
    </row>
    <row r="16" customFormat="false" ht="15" hidden="false" customHeight="false" outlineLevel="0" collapsed="false">
      <c r="A16" s="18" t="n">
        <v>6</v>
      </c>
      <c r="B16" s="12" t="s">
        <v>15</v>
      </c>
      <c r="C16" s="16" t="n">
        <v>416500</v>
      </c>
      <c r="D16" s="13" t="n">
        <f aca="false">216500+200000</f>
        <v>416500</v>
      </c>
      <c r="E16" s="17" t="n">
        <f aca="false">C16-D16</f>
        <v>0</v>
      </c>
    </row>
    <row r="17" customFormat="false" ht="15" hidden="false" customHeight="false" outlineLevel="0" collapsed="false">
      <c r="A17" s="11" t="n">
        <v>7</v>
      </c>
      <c r="B17" s="12" t="s">
        <v>16</v>
      </c>
      <c r="C17" s="16" t="n">
        <v>416500</v>
      </c>
      <c r="D17" s="13"/>
      <c r="E17" s="17" t="n">
        <f aca="false">C17-D17</f>
        <v>416500</v>
      </c>
    </row>
    <row r="18" customFormat="false" ht="15" hidden="false" customHeight="false" outlineLevel="0" collapsed="false">
      <c r="A18" s="1" t="n">
        <v>8</v>
      </c>
      <c r="B18" s="12" t="s">
        <v>17</v>
      </c>
      <c r="C18" s="16" t="n">
        <v>416500</v>
      </c>
      <c r="D18" s="13"/>
      <c r="E18" s="17" t="n">
        <f aca="false">C18-D18</f>
        <v>416500</v>
      </c>
    </row>
    <row r="19" customFormat="false" ht="15" hidden="false" customHeight="false" outlineLevel="0" collapsed="false">
      <c r="A19" s="18" t="n">
        <v>9</v>
      </c>
      <c r="B19" s="12" t="s">
        <v>18</v>
      </c>
      <c r="C19" s="16" t="n">
        <v>416500</v>
      </c>
      <c r="D19" s="13" t="n">
        <v>416500</v>
      </c>
      <c r="E19" s="17" t="n">
        <f aca="false">C19-D19</f>
        <v>0</v>
      </c>
    </row>
    <row r="20" customFormat="false" ht="15" hidden="false" customHeight="false" outlineLevel="0" collapsed="false">
      <c r="A20" s="11" t="n">
        <v>10</v>
      </c>
      <c r="B20" s="12" t="s">
        <v>19</v>
      </c>
      <c r="C20" s="16" t="n">
        <v>416500</v>
      </c>
      <c r="D20" s="13" t="n">
        <v>416500</v>
      </c>
      <c r="E20" s="17" t="n">
        <f aca="false">C20-D20</f>
        <v>0</v>
      </c>
    </row>
    <row r="21" customFormat="false" ht="15" hidden="false" customHeight="false" outlineLevel="0" collapsed="false">
      <c r="A21" s="1" t="n">
        <v>11</v>
      </c>
      <c r="B21" s="12" t="s">
        <v>20</v>
      </c>
      <c r="C21" s="16" t="n">
        <v>416500</v>
      </c>
      <c r="D21" s="13"/>
      <c r="E21" s="17" t="n">
        <f aca="false">C21-D21</f>
        <v>416500</v>
      </c>
    </row>
    <row r="22" customFormat="false" ht="15" hidden="false" customHeight="false" outlineLevel="0" collapsed="false">
      <c r="A22" s="18" t="n">
        <v>12</v>
      </c>
      <c r="B22" s="12" t="s">
        <v>21</v>
      </c>
      <c r="C22" s="16" t="n">
        <v>416500</v>
      </c>
      <c r="D22" s="13" t="n">
        <v>416500</v>
      </c>
      <c r="E22" s="17" t="n">
        <f aca="false">C22-D22</f>
        <v>0</v>
      </c>
    </row>
    <row r="23" customFormat="false" ht="17.35" hidden="false" customHeight="false" outlineLevel="0" collapsed="false">
      <c r="A23" s="19"/>
      <c r="B23" s="20" t="s">
        <v>22</v>
      </c>
      <c r="C23" s="21" t="n">
        <f aca="false">SUM(C11:C22)</f>
        <v>4998000</v>
      </c>
      <c r="D23" s="22" t="n">
        <f aca="false">SUM(D11:D22)</f>
        <v>3119000</v>
      </c>
      <c r="E23" s="23" t="n">
        <f aca="false">SUM(E12:E22)</f>
        <v>1882500</v>
      </c>
    </row>
    <row r="24" customFormat="false" ht="15" hidden="false" customHeight="false" outlineLevel="0" collapsed="false">
      <c r="D24" s="24"/>
      <c r="E24" s="24"/>
    </row>
    <row r="25" customFormat="false" ht="15" hidden="false" customHeight="false" outlineLevel="0" collapsed="false">
      <c r="D25" s="24"/>
      <c r="E25" s="24"/>
    </row>
    <row r="26" customFormat="false" ht="15" hidden="false" customHeight="false" outlineLevel="0" collapsed="false">
      <c r="D26" s="24"/>
      <c r="E26" s="24"/>
    </row>
    <row r="27" customFormat="false" ht="15" hidden="false" customHeight="false" outlineLevel="0" collapsed="false">
      <c r="D27" s="24"/>
      <c r="E27" s="24"/>
    </row>
    <row r="28" customFormat="false" ht="17.35" hidden="false" customHeight="false" outlineLevel="0" collapsed="false">
      <c r="A28" s="2"/>
      <c r="B28" s="2" t="s">
        <v>0</v>
      </c>
      <c r="D28" s="24"/>
      <c r="E28" s="24"/>
    </row>
    <row r="29" customFormat="false" ht="15" hidden="false" customHeight="false" outlineLevel="0" collapsed="false">
      <c r="D29" s="24"/>
      <c r="E29" s="24"/>
    </row>
    <row r="30" customFormat="false" ht="17.25" hidden="false" customHeight="false" outlineLevel="0" collapsed="false">
      <c r="B30" s="3" t="s">
        <v>2</v>
      </c>
      <c r="D30" s="24"/>
      <c r="E30" s="24"/>
    </row>
    <row r="31" customFormat="false" ht="15" hidden="false" customHeight="false" outlineLevel="0" collapsed="false">
      <c r="D31" s="24"/>
      <c r="E31" s="24"/>
    </row>
    <row r="32" customFormat="false" ht="15" hidden="false" customHeight="false" outlineLevel="0" collapsed="false">
      <c r="D32" s="24"/>
      <c r="E32" s="24"/>
    </row>
    <row r="33" customFormat="false" ht="17.25" hidden="false" customHeight="false" outlineLevel="0" collapsed="false">
      <c r="B33" s="4" t="s">
        <v>3</v>
      </c>
      <c r="D33" s="25" t="s">
        <v>23</v>
      </c>
      <c r="E33" s="24"/>
    </row>
    <row r="34" customFormat="false" ht="15" hidden="false" customHeight="false" outlineLevel="0" collapsed="false">
      <c r="D34" s="24"/>
      <c r="E34" s="24"/>
    </row>
    <row r="35" customFormat="false" ht="15" hidden="false" customHeight="false" outlineLevel="0" collapsed="false">
      <c r="A35" s="26" t="s">
        <v>5</v>
      </c>
      <c r="B35" s="27" t="s">
        <v>6</v>
      </c>
      <c r="C35" s="28" t="s">
        <v>7</v>
      </c>
      <c r="D35" s="29" t="s">
        <v>8</v>
      </c>
      <c r="E35" s="30" t="s">
        <v>9</v>
      </c>
    </row>
    <row r="36" customFormat="false" ht="15" hidden="false" customHeight="false" outlineLevel="0" collapsed="false">
      <c r="A36" s="31" t="n">
        <v>1</v>
      </c>
      <c r="B36" s="32" t="s">
        <v>24</v>
      </c>
      <c r="C36" s="33" t="n">
        <v>416500</v>
      </c>
      <c r="D36" s="34" t="n">
        <v>416500</v>
      </c>
      <c r="E36" s="35" t="n">
        <f aca="false">C36-D36</f>
        <v>0</v>
      </c>
    </row>
    <row r="37" customFormat="false" ht="15" hidden="false" customHeight="false" outlineLevel="0" collapsed="false">
      <c r="A37" s="18" t="n">
        <v>2</v>
      </c>
      <c r="B37" s="32" t="s">
        <v>25</v>
      </c>
      <c r="C37" s="16" t="n">
        <v>416500</v>
      </c>
      <c r="D37" s="13" t="n">
        <f aca="false">90000+326500</f>
        <v>416500</v>
      </c>
      <c r="E37" s="17" t="n">
        <f aca="false">C37-D37</f>
        <v>0</v>
      </c>
    </row>
    <row r="38" customFormat="false" ht="15" hidden="false" customHeight="false" outlineLevel="0" collapsed="false">
      <c r="A38" s="18" t="n">
        <v>3</v>
      </c>
      <c r="B38" s="32" t="s">
        <v>26</v>
      </c>
      <c r="C38" s="16" t="n">
        <v>416500</v>
      </c>
      <c r="D38" s="13" t="n">
        <f aca="false">150000+216500+50000</f>
        <v>416500</v>
      </c>
      <c r="E38" s="17" t="n">
        <f aca="false">C38-D38</f>
        <v>0</v>
      </c>
    </row>
    <row r="39" customFormat="false" ht="15" hidden="false" customHeight="false" outlineLevel="0" collapsed="false">
      <c r="A39" s="31" t="n">
        <v>4</v>
      </c>
      <c r="B39" s="32" t="s">
        <v>27</v>
      </c>
      <c r="C39" s="16" t="n">
        <v>416500</v>
      </c>
      <c r="D39" s="13"/>
      <c r="E39" s="17" t="n">
        <f aca="false">C39-D39</f>
        <v>416500</v>
      </c>
    </row>
    <row r="40" customFormat="false" ht="15" hidden="false" customHeight="false" outlineLevel="0" collapsed="false">
      <c r="A40" s="18" t="n">
        <v>5</v>
      </c>
      <c r="B40" s="32" t="s">
        <v>28</v>
      </c>
      <c r="C40" s="16" t="n">
        <v>416500</v>
      </c>
      <c r="D40" s="13"/>
      <c r="E40" s="17" t="n">
        <f aca="false">C40-D40</f>
        <v>416500</v>
      </c>
    </row>
    <row r="41" customFormat="false" ht="15" hidden="false" customHeight="false" outlineLevel="0" collapsed="false">
      <c r="A41" s="18" t="n">
        <v>6</v>
      </c>
      <c r="B41" s="32" t="s">
        <v>29</v>
      </c>
      <c r="C41" s="16" t="n">
        <v>416500</v>
      </c>
      <c r="D41" s="13"/>
      <c r="E41" s="17" t="n">
        <f aca="false">C41-D41</f>
        <v>416500</v>
      </c>
    </row>
    <row r="42" customFormat="false" ht="15" hidden="false" customHeight="false" outlineLevel="0" collapsed="false">
      <c r="A42" s="31" t="n">
        <v>7</v>
      </c>
      <c r="B42" s="32" t="s">
        <v>30</v>
      </c>
      <c r="C42" s="16" t="n">
        <v>416500</v>
      </c>
      <c r="D42" s="13" t="n">
        <v>416500</v>
      </c>
      <c r="E42" s="17" t="n">
        <f aca="false">C42-D42</f>
        <v>0</v>
      </c>
    </row>
    <row r="43" customFormat="false" ht="15" hidden="false" customHeight="false" outlineLevel="0" collapsed="false">
      <c r="A43" s="18" t="n">
        <v>8</v>
      </c>
      <c r="B43" s="32" t="s">
        <v>31</v>
      </c>
      <c r="C43" s="16" t="n">
        <v>416500</v>
      </c>
      <c r="D43" s="13"/>
      <c r="E43" s="17" t="n">
        <f aca="false">C43-D43</f>
        <v>416500</v>
      </c>
    </row>
    <row r="44" customFormat="false" ht="15" hidden="false" customHeight="false" outlineLevel="0" collapsed="false">
      <c r="A44" s="18" t="n">
        <v>9</v>
      </c>
      <c r="B44" s="32" t="s">
        <v>32</v>
      </c>
      <c r="C44" s="16" t="n">
        <v>416500</v>
      </c>
      <c r="D44" s="13"/>
      <c r="E44" s="17" t="n">
        <f aca="false">C44-D44</f>
        <v>416500</v>
      </c>
    </row>
    <row r="45" customFormat="false" ht="15" hidden="false" customHeight="false" outlineLevel="0" collapsed="false">
      <c r="A45" s="31" t="n">
        <v>10</v>
      </c>
      <c r="B45" s="32" t="s">
        <v>33</v>
      </c>
      <c r="C45" s="16" t="n">
        <v>416500</v>
      </c>
      <c r="D45" s="13"/>
      <c r="E45" s="17" t="n">
        <f aca="false">C45-D45</f>
        <v>416500</v>
      </c>
    </row>
    <row r="46" customFormat="false" ht="15" hidden="false" customHeight="false" outlineLevel="0" collapsed="false">
      <c r="A46" s="18" t="n">
        <v>11</v>
      </c>
      <c r="B46" s="32" t="s">
        <v>34</v>
      </c>
      <c r="C46" s="16" t="n">
        <v>416500</v>
      </c>
      <c r="D46" s="13"/>
      <c r="E46" s="17" t="n">
        <f aca="false">C46-D46</f>
        <v>416500</v>
      </c>
    </row>
    <row r="47" customFormat="false" ht="15" hidden="false" customHeight="false" outlineLevel="0" collapsed="false">
      <c r="A47" s="18" t="n">
        <v>12</v>
      </c>
      <c r="B47" s="32" t="s">
        <v>35</v>
      </c>
      <c r="C47" s="16" t="n">
        <v>416500</v>
      </c>
      <c r="D47" s="13" t="n">
        <f aca="false">142000+70000+9500+195000</f>
        <v>416500</v>
      </c>
      <c r="E47" s="17" t="n">
        <f aca="false">C47-D47</f>
        <v>0</v>
      </c>
    </row>
    <row r="48" customFormat="false" ht="15" hidden="false" customHeight="false" outlineLevel="0" collapsed="false">
      <c r="A48" s="31" t="n">
        <v>13</v>
      </c>
      <c r="B48" s="32" t="s">
        <v>36</v>
      </c>
      <c r="C48" s="16" t="n">
        <v>416500</v>
      </c>
      <c r="D48" s="13"/>
      <c r="E48" s="17" t="n">
        <f aca="false">C48-D48</f>
        <v>416500</v>
      </c>
    </row>
    <row r="49" customFormat="false" ht="17.35" hidden="false" customHeight="false" outlineLevel="0" collapsed="false">
      <c r="A49" s="19"/>
      <c r="B49" s="20" t="s">
        <v>22</v>
      </c>
      <c r="C49" s="21" t="n">
        <f aca="false">SUM(C36:C48)</f>
        <v>5414500</v>
      </c>
      <c r="D49" s="22" t="n">
        <f aca="false">SUM(D36:D48)</f>
        <v>2082500</v>
      </c>
      <c r="E49" s="23" t="n">
        <f aca="false">SUM(E36:E48)</f>
        <v>3332000</v>
      </c>
    </row>
    <row r="50" customFormat="false" ht="17.35" hidden="false" customHeight="false" outlineLevel="0" collapsed="false">
      <c r="B50" s="36"/>
      <c r="C50" s="37"/>
      <c r="D50" s="38"/>
      <c r="E50" s="39"/>
    </row>
    <row r="51" customFormat="false" ht="17.35" hidden="false" customHeight="false" outlineLevel="0" collapsed="false">
      <c r="B51" s="36"/>
      <c r="C51" s="37"/>
      <c r="D51" s="38"/>
      <c r="E51" s="39"/>
    </row>
    <row r="52" customFormat="false" ht="17.35" hidden="false" customHeight="false" outlineLevel="0" collapsed="false">
      <c r="B52" s="36"/>
      <c r="C52" s="37"/>
      <c r="D52" s="38"/>
      <c r="E52" s="39"/>
    </row>
    <row r="53" customFormat="false" ht="17.35" hidden="false" customHeight="false" outlineLevel="0" collapsed="false">
      <c r="A53" s="40"/>
      <c r="B53" s="2" t="s">
        <v>0</v>
      </c>
      <c r="D53" s="24"/>
      <c r="E53" s="24"/>
    </row>
    <row r="54" customFormat="false" ht="15" hidden="false" customHeight="false" outlineLevel="0" collapsed="false">
      <c r="A54" s="40"/>
      <c r="D54" s="24"/>
      <c r="E54" s="24"/>
    </row>
    <row r="55" customFormat="false" ht="15" hidden="false" customHeight="false" outlineLevel="0" collapsed="false">
      <c r="A55" s="40"/>
      <c r="D55" s="24"/>
      <c r="E55" s="24"/>
    </row>
    <row r="56" customFormat="false" ht="17.25" hidden="false" customHeight="false" outlineLevel="0" collapsed="false">
      <c r="A56" s="40"/>
      <c r="B56" s="4" t="s">
        <v>37</v>
      </c>
      <c r="D56" s="41" t="s">
        <v>4</v>
      </c>
      <c r="E56" s="24"/>
    </row>
    <row r="57" customFormat="false" ht="15" hidden="false" customHeight="false" outlineLevel="0" collapsed="false">
      <c r="A57" s="40"/>
      <c r="D57" s="24"/>
      <c r="E57" s="24"/>
    </row>
    <row r="58" customFormat="false" ht="15" hidden="false" customHeight="false" outlineLevel="0" collapsed="false">
      <c r="A58" s="6" t="s">
        <v>5</v>
      </c>
      <c r="B58" s="7" t="s">
        <v>6</v>
      </c>
      <c r="C58" s="8" t="s">
        <v>7</v>
      </c>
      <c r="D58" s="42" t="s">
        <v>8</v>
      </c>
      <c r="E58" s="43" t="s">
        <v>9</v>
      </c>
    </row>
    <row r="59" customFormat="false" ht="15" hidden="false" customHeight="false" outlineLevel="0" collapsed="false">
      <c r="A59" s="18" t="n">
        <v>1</v>
      </c>
      <c r="B59" s="44" t="s">
        <v>38</v>
      </c>
      <c r="C59" s="16" t="n">
        <v>416500</v>
      </c>
      <c r="D59" s="13" t="n">
        <f aca="false">216500+200000</f>
        <v>416500</v>
      </c>
      <c r="E59" s="14" t="n">
        <f aca="false">C59-D59</f>
        <v>0</v>
      </c>
    </row>
    <row r="60" customFormat="false" ht="15" hidden="false" customHeight="false" outlineLevel="0" collapsed="false">
      <c r="A60" s="18" t="n">
        <v>2</v>
      </c>
      <c r="B60" s="32" t="s">
        <v>39</v>
      </c>
      <c r="C60" s="16" t="n">
        <v>416500</v>
      </c>
      <c r="D60" s="13"/>
      <c r="E60" s="14" t="n">
        <f aca="false">C60-D60</f>
        <v>416500</v>
      </c>
    </row>
    <row r="61" customFormat="false" ht="15" hidden="false" customHeight="false" outlineLevel="0" collapsed="false">
      <c r="A61" s="18" t="n">
        <v>3</v>
      </c>
      <c r="B61" s="32" t="s">
        <v>40</v>
      </c>
      <c r="C61" s="16" t="n">
        <v>416500</v>
      </c>
      <c r="D61" s="13"/>
      <c r="E61" s="14" t="n">
        <f aca="false">C61-D61</f>
        <v>416500</v>
      </c>
    </row>
    <row r="62" customFormat="false" ht="15" hidden="false" customHeight="false" outlineLevel="0" collapsed="false">
      <c r="A62" s="18" t="n">
        <v>4</v>
      </c>
      <c r="B62" s="15" t="s">
        <v>41</v>
      </c>
      <c r="C62" s="16" t="n">
        <v>416500</v>
      </c>
      <c r="D62" s="13" t="n">
        <v>416500</v>
      </c>
      <c r="E62" s="14" t="n">
        <f aca="false">C62-D62</f>
        <v>0</v>
      </c>
    </row>
    <row r="63" customFormat="false" ht="15" hidden="false" customHeight="false" outlineLevel="0" collapsed="false">
      <c r="A63" s="18" t="n">
        <v>5</v>
      </c>
      <c r="B63" s="32" t="s">
        <v>42</v>
      </c>
      <c r="C63" s="16" t="n">
        <v>416500</v>
      </c>
      <c r="D63" s="13" t="n">
        <f aca="false">220000</f>
        <v>220000</v>
      </c>
      <c r="E63" s="14" t="n">
        <f aca="false">C63-D63</f>
        <v>196500</v>
      </c>
    </row>
    <row r="64" customFormat="false" ht="15" hidden="false" customHeight="false" outlineLevel="0" collapsed="false">
      <c r="A64" s="18" t="n">
        <v>6</v>
      </c>
      <c r="B64" s="32" t="s">
        <v>43</v>
      </c>
      <c r="C64" s="16" t="n">
        <v>416500</v>
      </c>
      <c r="D64" s="13"/>
      <c r="E64" s="14" t="n">
        <f aca="false">C64-D64</f>
        <v>416500</v>
      </c>
    </row>
    <row r="65" customFormat="false" ht="15" hidden="false" customHeight="false" outlineLevel="0" collapsed="false">
      <c r="A65" s="18" t="n">
        <v>7</v>
      </c>
      <c r="B65" s="32" t="s">
        <v>44</v>
      </c>
      <c r="C65" s="16" t="n">
        <v>416500</v>
      </c>
      <c r="D65" s="13" t="n">
        <f aca="false">100000+316500</f>
        <v>416500</v>
      </c>
      <c r="E65" s="14" t="n">
        <f aca="false">C65-D65</f>
        <v>0</v>
      </c>
    </row>
    <row r="66" customFormat="false" ht="15" hidden="false" customHeight="false" outlineLevel="0" collapsed="false">
      <c r="A66" s="18" t="n">
        <v>8</v>
      </c>
      <c r="B66" s="32" t="s">
        <v>45</v>
      </c>
      <c r="C66" s="16" t="n">
        <v>416500</v>
      </c>
      <c r="D66" s="13" t="n">
        <f aca="false">66500+150000+200000</f>
        <v>416500</v>
      </c>
      <c r="E66" s="14" t="n">
        <f aca="false">C66-D66</f>
        <v>0</v>
      </c>
    </row>
    <row r="67" customFormat="false" ht="15" hidden="false" customHeight="false" outlineLevel="0" collapsed="false">
      <c r="A67" s="18" t="n">
        <v>9</v>
      </c>
      <c r="B67" s="32" t="s">
        <v>46</v>
      </c>
      <c r="C67" s="16" t="n">
        <v>416500</v>
      </c>
      <c r="D67" s="13" t="n">
        <f aca="false">17000+100000</f>
        <v>117000</v>
      </c>
      <c r="E67" s="14" t="n">
        <f aca="false">C67-D67</f>
        <v>299500</v>
      </c>
    </row>
    <row r="68" customFormat="false" ht="15" hidden="false" customHeight="false" outlineLevel="0" collapsed="false">
      <c r="A68" s="18" t="n">
        <v>10</v>
      </c>
      <c r="B68" s="32" t="s">
        <v>47</v>
      </c>
      <c r="C68" s="16" t="n">
        <v>416500</v>
      </c>
      <c r="D68" s="13" t="n">
        <f aca="false">150000+66000+200500</f>
        <v>416500</v>
      </c>
      <c r="E68" s="14" t="n">
        <f aca="false">C68-D68</f>
        <v>0</v>
      </c>
    </row>
    <row r="69" customFormat="false" ht="15" hidden="false" customHeight="false" outlineLevel="0" collapsed="false">
      <c r="A69" s="18" t="n">
        <v>11</v>
      </c>
      <c r="B69" s="32" t="s">
        <v>48</v>
      </c>
      <c r="C69" s="16" t="n">
        <v>416500</v>
      </c>
      <c r="D69" s="13" t="n">
        <f aca="false">205000+211000</f>
        <v>416000</v>
      </c>
      <c r="E69" s="14" t="n">
        <f aca="false">C69-D69</f>
        <v>500</v>
      </c>
    </row>
    <row r="70" customFormat="false" ht="15" hidden="false" customHeight="false" outlineLevel="0" collapsed="false">
      <c r="A70" s="18" t="n">
        <v>12</v>
      </c>
      <c r="B70" s="32" t="s">
        <v>49</v>
      </c>
      <c r="C70" s="16" t="n">
        <v>416500</v>
      </c>
      <c r="D70" s="13"/>
      <c r="E70" s="14" t="n">
        <f aca="false">C70-D70</f>
        <v>416500</v>
      </c>
    </row>
    <row r="71" customFormat="false" ht="15" hidden="false" customHeight="false" outlineLevel="0" collapsed="false">
      <c r="A71" s="18" t="n">
        <v>13</v>
      </c>
      <c r="B71" s="32" t="s">
        <v>50</v>
      </c>
      <c r="C71" s="16" t="n">
        <v>416500</v>
      </c>
      <c r="D71" s="13"/>
      <c r="E71" s="14" t="n">
        <f aca="false">C71-D71</f>
        <v>416500</v>
      </c>
    </row>
    <row r="72" customFormat="false" ht="17.35" hidden="false" customHeight="false" outlineLevel="0" collapsed="false">
      <c r="A72" s="18"/>
      <c r="B72" s="20" t="s">
        <v>22</v>
      </c>
      <c r="C72" s="21" t="n">
        <f aca="false">SUM(C59:C71)</f>
        <v>5414500</v>
      </c>
      <c r="D72" s="22" t="n">
        <f aca="false">SUM(D59:D71)</f>
        <v>2835500</v>
      </c>
      <c r="E72" s="45" t="n">
        <f aca="false">C72-D72</f>
        <v>2579000</v>
      </c>
    </row>
    <row r="73" customFormat="false" ht="17.35" hidden="false" customHeight="false" outlineLevel="0" collapsed="false">
      <c r="B73" s="36"/>
      <c r="C73" s="37"/>
      <c r="D73" s="38"/>
      <c r="E73" s="39"/>
    </row>
    <row r="74" customFormat="false" ht="17.35" hidden="false" customHeight="false" outlineLevel="0" collapsed="false">
      <c r="A74" s="46"/>
      <c r="B74" s="36"/>
      <c r="C74" s="37"/>
      <c r="D74" s="47"/>
      <c r="E74" s="39"/>
    </row>
    <row r="75" customFormat="false" ht="17.35" hidden="false" customHeight="false" outlineLevel="0" collapsed="false">
      <c r="A75" s="40"/>
      <c r="B75" s="2" t="s">
        <v>0</v>
      </c>
      <c r="D75" s="24"/>
      <c r="E75" s="24"/>
    </row>
    <row r="76" customFormat="false" ht="15" hidden="false" customHeight="false" outlineLevel="0" collapsed="false">
      <c r="A76" s="40"/>
      <c r="B76" s="40"/>
      <c r="C76" s="40"/>
      <c r="D76" s="48"/>
      <c r="E76" s="48"/>
    </row>
    <row r="77" customFormat="false" ht="15" hidden="false" customHeight="false" outlineLevel="0" collapsed="false">
      <c r="A77" s="40"/>
      <c r="D77" s="24"/>
      <c r="E77" s="24"/>
    </row>
    <row r="78" customFormat="false" ht="17.25" hidden="false" customHeight="false" outlineLevel="0" collapsed="false">
      <c r="A78" s="40"/>
      <c r="B78" s="4" t="s">
        <v>37</v>
      </c>
      <c r="D78" s="25" t="s">
        <v>51</v>
      </c>
      <c r="E78" s="24"/>
    </row>
    <row r="79" customFormat="false" ht="15" hidden="false" customHeight="false" outlineLevel="0" collapsed="false">
      <c r="A79" s="40"/>
      <c r="D79" s="24"/>
      <c r="E79" s="24"/>
    </row>
    <row r="80" customFormat="false" ht="15" hidden="false" customHeight="false" outlineLevel="0" collapsed="false">
      <c r="A80" s="6" t="s">
        <v>5</v>
      </c>
      <c r="B80" s="7" t="s">
        <v>6</v>
      </c>
      <c r="C80" s="8" t="s">
        <v>7</v>
      </c>
      <c r="D80" s="42" t="s">
        <v>8</v>
      </c>
      <c r="E80" s="43" t="s">
        <v>9</v>
      </c>
    </row>
    <row r="81" customFormat="false" ht="15" hidden="false" customHeight="false" outlineLevel="0" collapsed="false">
      <c r="A81" s="49" t="n">
        <v>1</v>
      </c>
      <c r="B81" s="12" t="s">
        <v>52</v>
      </c>
      <c r="C81" s="16" t="n">
        <v>416500</v>
      </c>
      <c r="D81" s="13"/>
      <c r="E81" s="14" t="n">
        <f aca="false">C81-D81</f>
        <v>416500</v>
      </c>
    </row>
    <row r="82" customFormat="false" ht="15" hidden="false" customHeight="false" outlineLevel="0" collapsed="false">
      <c r="A82" s="18" t="n">
        <v>2</v>
      </c>
      <c r="B82" s="32" t="s">
        <v>53</v>
      </c>
      <c r="C82" s="16" t="n">
        <v>416500</v>
      </c>
      <c r="D82" s="13" t="n">
        <f aca="false">300000+116500</f>
        <v>416500</v>
      </c>
      <c r="E82" s="14" t="n">
        <f aca="false">C82-D82</f>
        <v>0</v>
      </c>
    </row>
    <row r="83" customFormat="false" ht="15" hidden="false" customHeight="false" outlineLevel="0" collapsed="false">
      <c r="A83" s="49" t="n">
        <v>3</v>
      </c>
      <c r="B83" s="32" t="s">
        <v>54</v>
      </c>
      <c r="C83" s="16" t="n">
        <v>416500</v>
      </c>
      <c r="D83" s="13" t="n">
        <f aca="false">216500+200000</f>
        <v>416500</v>
      </c>
      <c r="E83" s="14" t="n">
        <f aca="false">C83-D83</f>
        <v>0</v>
      </c>
    </row>
    <row r="84" customFormat="false" ht="15" hidden="false" customHeight="false" outlineLevel="0" collapsed="false">
      <c r="A84" s="49" t="n">
        <v>4</v>
      </c>
      <c r="B84" s="32" t="s">
        <v>55</v>
      </c>
      <c r="C84" s="16" t="n">
        <v>416500</v>
      </c>
      <c r="D84" s="13" t="n">
        <f aca="false">200500+216500</f>
        <v>417000</v>
      </c>
      <c r="E84" s="14" t="n">
        <f aca="false">C84-D84</f>
        <v>-500</v>
      </c>
    </row>
    <row r="85" customFormat="false" ht="15" hidden="false" customHeight="false" outlineLevel="0" collapsed="false">
      <c r="A85" s="18" t="n">
        <v>5</v>
      </c>
      <c r="B85" s="32" t="s">
        <v>56</v>
      </c>
      <c r="C85" s="16" t="n">
        <v>416500</v>
      </c>
      <c r="D85" s="13"/>
      <c r="E85" s="14" t="n">
        <f aca="false">C85-D85</f>
        <v>416500</v>
      </c>
    </row>
    <row r="86" customFormat="false" ht="15" hidden="false" customHeight="false" outlineLevel="0" collapsed="false">
      <c r="A86" s="49" t="n">
        <v>6</v>
      </c>
      <c r="B86" s="32" t="s">
        <v>57</v>
      </c>
      <c r="C86" s="16" t="n">
        <v>416500</v>
      </c>
      <c r="D86" s="13"/>
      <c r="E86" s="14" t="n">
        <f aca="false">C86-D86</f>
        <v>416500</v>
      </c>
    </row>
    <row r="87" customFormat="false" ht="15" hidden="false" customHeight="false" outlineLevel="0" collapsed="false">
      <c r="A87" s="49" t="n">
        <v>7</v>
      </c>
      <c r="B87" s="32" t="s">
        <v>58</v>
      </c>
      <c r="C87" s="16" t="n">
        <v>416500</v>
      </c>
      <c r="D87" s="13" t="n">
        <f aca="false">216000+200500</f>
        <v>416500</v>
      </c>
      <c r="E87" s="14" t="n">
        <f aca="false">C87-D87</f>
        <v>0</v>
      </c>
    </row>
    <row r="88" customFormat="false" ht="15" hidden="false" customHeight="false" outlineLevel="0" collapsed="false">
      <c r="A88" s="18" t="n">
        <v>8</v>
      </c>
      <c r="B88" s="32" t="s">
        <v>59</v>
      </c>
      <c r="C88" s="16" t="n">
        <v>416500</v>
      </c>
      <c r="D88" s="13" t="n">
        <f aca="false">220000+196500</f>
        <v>416500</v>
      </c>
      <c r="E88" s="14" t="n">
        <f aca="false">C88-D88</f>
        <v>0</v>
      </c>
    </row>
    <row r="89" customFormat="false" ht="15" hidden="false" customHeight="false" outlineLevel="0" collapsed="false">
      <c r="A89" s="49" t="n">
        <v>9</v>
      </c>
      <c r="B89" s="32" t="s">
        <v>60</v>
      </c>
      <c r="C89" s="16" t="n">
        <v>416500</v>
      </c>
      <c r="D89" s="13" t="n">
        <f aca="false">103500+160000+153000</f>
        <v>416500</v>
      </c>
      <c r="E89" s="14" t="n">
        <f aca="false">C89-D89</f>
        <v>0</v>
      </c>
    </row>
    <row r="90" customFormat="false" ht="15" hidden="false" customHeight="false" outlineLevel="0" collapsed="false">
      <c r="A90" s="49" t="n">
        <v>10</v>
      </c>
      <c r="B90" s="32" t="s">
        <v>61</v>
      </c>
      <c r="C90" s="16" t="n">
        <v>416500</v>
      </c>
      <c r="D90" s="13"/>
      <c r="E90" s="14" t="n">
        <f aca="false">C90-D90</f>
        <v>416500</v>
      </c>
    </row>
    <row r="91" customFormat="false" ht="15" hidden="false" customHeight="false" outlineLevel="0" collapsed="false">
      <c r="A91" s="18" t="n">
        <v>11</v>
      </c>
      <c r="B91" s="32" t="s">
        <v>62</v>
      </c>
      <c r="C91" s="16" t="n">
        <v>416500</v>
      </c>
      <c r="D91" s="13" t="n">
        <f aca="false">200000+216000+500</f>
        <v>416500</v>
      </c>
      <c r="E91" s="14" t="n">
        <f aca="false">C91-D91</f>
        <v>0</v>
      </c>
    </row>
    <row r="92" customFormat="false" ht="15" hidden="false" customHeight="false" outlineLevel="0" collapsed="false">
      <c r="A92" s="49" t="n">
        <v>12</v>
      </c>
      <c r="B92" s="32" t="s">
        <v>63</v>
      </c>
      <c r="C92" s="16" t="n">
        <v>416500</v>
      </c>
      <c r="D92" s="13"/>
      <c r="E92" s="14" t="n">
        <f aca="false">C92-D92</f>
        <v>416500</v>
      </c>
    </row>
    <row r="93" customFormat="false" ht="15" hidden="false" customHeight="false" outlineLevel="0" collapsed="false">
      <c r="A93" s="49" t="n">
        <v>13</v>
      </c>
      <c r="B93" s="32" t="s">
        <v>64</v>
      </c>
      <c r="C93" s="16" t="n">
        <v>416500</v>
      </c>
      <c r="D93" s="13" t="n">
        <f aca="false">100000+50000+150000+116500</f>
        <v>416500</v>
      </c>
      <c r="E93" s="14" t="n">
        <f aca="false">C93-D93</f>
        <v>0</v>
      </c>
    </row>
    <row r="94" customFormat="false" ht="15" hidden="false" customHeight="false" outlineLevel="0" collapsed="false">
      <c r="A94" s="18" t="n">
        <v>14</v>
      </c>
      <c r="B94" s="32" t="s">
        <v>65</v>
      </c>
      <c r="C94" s="16" t="n">
        <v>416500</v>
      </c>
      <c r="D94" s="13"/>
      <c r="E94" s="14" t="n">
        <f aca="false">C94-D94</f>
        <v>416500</v>
      </c>
    </row>
    <row r="95" customFormat="false" ht="15" hidden="false" customHeight="false" outlineLevel="0" collapsed="false">
      <c r="A95" s="49" t="n">
        <v>15</v>
      </c>
      <c r="B95" s="32" t="s">
        <v>66</v>
      </c>
      <c r="C95" s="16" t="n">
        <v>416500</v>
      </c>
      <c r="D95" s="13" t="n">
        <f aca="false">216500+200000</f>
        <v>416500</v>
      </c>
      <c r="E95" s="14" t="n">
        <f aca="false">C95-D95</f>
        <v>0</v>
      </c>
    </row>
    <row r="96" customFormat="false" ht="15" hidden="false" customHeight="false" outlineLevel="0" collapsed="false">
      <c r="A96" s="49" t="n">
        <v>16</v>
      </c>
      <c r="B96" s="32" t="s">
        <v>67</v>
      </c>
      <c r="C96" s="16" t="n">
        <v>416500</v>
      </c>
      <c r="D96" s="13" t="n">
        <f aca="false">50000+60000+25000+70000+50000</f>
        <v>255000</v>
      </c>
      <c r="E96" s="14" t="n">
        <f aca="false">C96-D96</f>
        <v>161500</v>
      </c>
    </row>
    <row r="97" customFormat="false" ht="15" hidden="false" customHeight="false" outlineLevel="0" collapsed="false">
      <c r="A97" s="18" t="n">
        <v>17</v>
      </c>
      <c r="B97" s="12" t="s">
        <v>68</v>
      </c>
      <c r="C97" s="16" t="n">
        <v>416500</v>
      </c>
      <c r="D97" s="13" t="n">
        <f aca="false">100000+316500</f>
        <v>416500</v>
      </c>
      <c r="E97" s="14" t="n">
        <f aca="false">C97-D97</f>
        <v>0</v>
      </c>
    </row>
    <row r="98" customFormat="false" ht="15" hidden="false" customHeight="false" outlineLevel="0" collapsed="false">
      <c r="A98" s="49" t="n">
        <v>18</v>
      </c>
      <c r="B98" s="32" t="s">
        <v>69</v>
      </c>
      <c r="C98" s="16" t="n">
        <v>416500</v>
      </c>
      <c r="D98" s="13" t="n">
        <f aca="false">216500+120000+80000</f>
        <v>416500</v>
      </c>
      <c r="E98" s="14" t="n">
        <f aca="false">C98-D98</f>
        <v>0</v>
      </c>
    </row>
    <row r="99" customFormat="false" ht="15" hidden="false" customHeight="false" outlineLevel="0" collapsed="false">
      <c r="A99" s="49" t="n">
        <v>19</v>
      </c>
      <c r="B99" s="32" t="s">
        <v>70</v>
      </c>
      <c r="C99" s="16" t="n">
        <v>416500</v>
      </c>
      <c r="D99" s="13" t="n">
        <f aca="false">316500+100000</f>
        <v>416500</v>
      </c>
      <c r="E99" s="14" t="n">
        <f aca="false">C99-D99</f>
        <v>0</v>
      </c>
    </row>
    <row r="100" customFormat="false" ht="15" hidden="false" customHeight="false" outlineLevel="0" collapsed="false">
      <c r="A100" s="18" t="n">
        <v>20</v>
      </c>
      <c r="B100" s="50" t="s">
        <v>71</v>
      </c>
      <c r="C100" s="16" t="n">
        <v>416500</v>
      </c>
      <c r="D100" s="13" t="n">
        <f aca="false">200000+150000+66500</f>
        <v>416500</v>
      </c>
      <c r="E100" s="14" t="n">
        <f aca="false">C100-D100</f>
        <v>0</v>
      </c>
    </row>
    <row r="101" customFormat="false" ht="15" hidden="false" customHeight="false" outlineLevel="0" collapsed="false">
      <c r="A101" s="49" t="n">
        <v>21</v>
      </c>
      <c r="B101" s="32" t="s">
        <v>72</v>
      </c>
      <c r="C101" s="16" t="n">
        <v>416500</v>
      </c>
      <c r="D101" s="13"/>
      <c r="E101" s="14" t="n">
        <f aca="false">C101-D101</f>
        <v>416500</v>
      </c>
    </row>
    <row r="102" customFormat="false" ht="15" hidden="false" customHeight="false" outlineLevel="0" collapsed="false">
      <c r="A102" s="49" t="n">
        <v>22</v>
      </c>
      <c r="B102" s="44" t="s">
        <v>73</v>
      </c>
      <c r="C102" s="16" t="n">
        <v>416500</v>
      </c>
      <c r="D102" s="13" t="n">
        <f aca="false">216500+200000</f>
        <v>416500</v>
      </c>
      <c r="E102" s="14" t="n">
        <f aca="false">C102-D102</f>
        <v>0</v>
      </c>
    </row>
    <row r="103" customFormat="false" ht="17.35" hidden="false" customHeight="false" outlineLevel="0" collapsed="false">
      <c r="A103" s="18"/>
      <c r="B103" s="20" t="s">
        <v>22</v>
      </c>
      <c r="C103" s="21" t="n">
        <f aca="false">SUM(C81:C102)</f>
        <v>9163000</v>
      </c>
      <c r="D103" s="22" t="n">
        <f aca="false">SUM(D81:D102)</f>
        <v>6086500</v>
      </c>
      <c r="E103" s="45" t="n">
        <f aca="false">C103-D103</f>
        <v>3076500</v>
      </c>
    </row>
    <row r="104" customFormat="false" ht="15" hidden="false" customHeight="false" outlineLevel="0" collapsed="false">
      <c r="A104" s="40"/>
      <c r="D104" s="24"/>
      <c r="E104" s="24"/>
    </row>
    <row r="105" customFormat="false" ht="15" hidden="false" customHeight="false" outlineLevel="0" collapsed="false">
      <c r="A105" s="40"/>
      <c r="D105" s="24"/>
      <c r="E105" s="24"/>
    </row>
    <row r="106" customFormat="false" ht="17.35" hidden="false" customHeight="false" outlineLevel="0" collapsed="false">
      <c r="A106" s="40"/>
      <c r="B106" s="2" t="s">
        <v>0</v>
      </c>
      <c r="D106" s="24"/>
      <c r="E106" s="24"/>
    </row>
    <row r="107" customFormat="false" ht="15" hidden="false" customHeight="false" outlineLevel="0" collapsed="false">
      <c r="A107" s="40"/>
      <c r="D107" s="24"/>
      <c r="E107" s="24"/>
    </row>
    <row r="108" customFormat="false" ht="15" hidden="false" customHeight="false" outlineLevel="0" collapsed="false">
      <c r="A108" s="40"/>
      <c r="D108" s="24"/>
      <c r="E108" s="24"/>
    </row>
    <row r="109" customFormat="false" ht="17.25" hidden="false" customHeight="false" outlineLevel="0" collapsed="false">
      <c r="A109" s="40"/>
      <c r="B109" s="4" t="s">
        <v>37</v>
      </c>
      <c r="D109" s="25" t="s">
        <v>23</v>
      </c>
      <c r="E109" s="24"/>
    </row>
    <row r="110" customFormat="false" ht="15" hidden="false" customHeight="false" outlineLevel="0" collapsed="false">
      <c r="A110" s="40"/>
      <c r="D110" s="24"/>
      <c r="E110" s="24"/>
    </row>
    <row r="111" customFormat="false" ht="15" hidden="false" customHeight="false" outlineLevel="0" collapsed="false">
      <c r="A111" s="6" t="s">
        <v>5</v>
      </c>
      <c r="B111" s="7" t="s">
        <v>6</v>
      </c>
      <c r="C111" s="8" t="s">
        <v>7</v>
      </c>
      <c r="D111" s="42" t="s">
        <v>8</v>
      </c>
      <c r="E111" s="43" t="s">
        <v>9</v>
      </c>
    </row>
    <row r="112" customFormat="false" ht="15" hidden="false" customHeight="false" outlineLevel="0" collapsed="false">
      <c r="A112" s="49" t="n">
        <v>1</v>
      </c>
      <c r="B112" s="12" t="s">
        <v>74</v>
      </c>
      <c r="C112" s="16" t="n">
        <v>416500</v>
      </c>
      <c r="D112" s="51"/>
      <c r="E112" s="14" t="n">
        <f aca="false">C112-D112</f>
        <v>416500</v>
      </c>
    </row>
    <row r="113" customFormat="false" ht="15" hidden="false" customHeight="false" outlineLevel="0" collapsed="false">
      <c r="A113" s="49" t="n">
        <v>2</v>
      </c>
      <c r="B113" s="32" t="s">
        <v>75</v>
      </c>
      <c r="C113" s="16" t="n">
        <v>416500</v>
      </c>
      <c r="D113" s="52" t="n">
        <f aca="false">240000</f>
        <v>240000</v>
      </c>
      <c r="E113" s="14" t="n">
        <f aca="false">C113-D113</f>
        <v>176500</v>
      </c>
    </row>
    <row r="114" customFormat="false" ht="15" hidden="false" customHeight="false" outlineLevel="0" collapsed="false">
      <c r="A114" s="49" t="n">
        <v>3</v>
      </c>
      <c r="B114" s="32" t="s">
        <v>76</v>
      </c>
      <c r="C114" s="16" t="n">
        <v>416500</v>
      </c>
      <c r="D114" s="52" t="n">
        <f aca="false">156000+160000+100500</f>
        <v>416500</v>
      </c>
      <c r="E114" s="14" t="n">
        <f aca="false">C114-D114</f>
        <v>0</v>
      </c>
    </row>
    <row r="115" customFormat="false" ht="15" hidden="false" customHeight="false" outlineLevel="0" collapsed="false">
      <c r="A115" s="49" t="n">
        <v>4</v>
      </c>
      <c r="B115" s="32" t="s">
        <v>77</v>
      </c>
      <c r="C115" s="16" t="n">
        <v>416500</v>
      </c>
      <c r="D115" s="52"/>
      <c r="E115" s="14" t="n">
        <f aca="false">C115-D115</f>
        <v>416500</v>
      </c>
    </row>
    <row r="116" customFormat="false" ht="15" hidden="false" customHeight="false" outlineLevel="0" collapsed="false">
      <c r="A116" s="49" t="n">
        <v>5</v>
      </c>
      <c r="B116" s="32" t="s">
        <v>78</v>
      </c>
      <c r="C116" s="16" t="n">
        <v>416500</v>
      </c>
      <c r="D116" s="52" t="n">
        <v>416500</v>
      </c>
      <c r="E116" s="14" t="n">
        <f aca="false">C116-D116</f>
        <v>0</v>
      </c>
    </row>
    <row r="117" customFormat="false" ht="15" hidden="false" customHeight="false" outlineLevel="0" collapsed="false">
      <c r="A117" s="49" t="n">
        <v>6</v>
      </c>
      <c r="B117" s="32" t="s">
        <v>79</v>
      </c>
      <c r="C117" s="16" t="n">
        <v>416500</v>
      </c>
      <c r="D117" s="52"/>
      <c r="E117" s="14" t="n">
        <f aca="false">C117-D117</f>
        <v>416500</v>
      </c>
    </row>
    <row r="118" customFormat="false" ht="15" hidden="false" customHeight="false" outlineLevel="0" collapsed="false">
      <c r="A118" s="49" t="n">
        <v>7</v>
      </c>
      <c r="B118" s="32" t="s">
        <v>80</v>
      </c>
      <c r="C118" s="16" t="n">
        <v>416500</v>
      </c>
      <c r="D118" s="52"/>
      <c r="E118" s="14" t="n">
        <f aca="false">C118-D118</f>
        <v>416500</v>
      </c>
    </row>
    <row r="119" customFormat="false" ht="15" hidden="false" customHeight="false" outlineLevel="0" collapsed="false">
      <c r="A119" s="49" t="n">
        <v>8</v>
      </c>
      <c r="B119" s="32" t="s">
        <v>81</v>
      </c>
      <c r="C119" s="16" t="n">
        <v>416500</v>
      </c>
      <c r="D119" s="52" t="n">
        <v>416500</v>
      </c>
      <c r="E119" s="14" t="n">
        <f aca="false">C119-D119</f>
        <v>0</v>
      </c>
    </row>
    <row r="120" customFormat="false" ht="15" hidden="false" customHeight="false" outlineLevel="0" collapsed="false">
      <c r="A120" s="49" t="n">
        <v>9</v>
      </c>
      <c r="B120" s="32" t="s">
        <v>82</v>
      </c>
      <c r="C120" s="16" t="n">
        <v>416500</v>
      </c>
      <c r="D120" s="52"/>
      <c r="E120" s="14" t="n">
        <f aca="false">C120-D120</f>
        <v>416500</v>
      </c>
    </row>
    <row r="121" customFormat="false" ht="15" hidden="false" customHeight="false" outlineLevel="0" collapsed="false">
      <c r="A121" s="49" t="n">
        <v>10</v>
      </c>
      <c r="B121" s="32" t="s">
        <v>83</v>
      </c>
      <c r="C121" s="16" t="n">
        <v>416500</v>
      </c>
      <c r="D121" s="52"/>
      <c r="E121" s="14" t="n">
        <f aca="false">C121-D121</f>
        <v>416500</v>
      </c>
    </row>
    <row r="122" customFormat="false" ht="15" hidden="false" customHeight="false" outlineLevel="0" collapsed="false">
      <c r="A122" s="49" t="n">
        <v>11</v>
      </c>
      <c r="B122" s="32" t="s">
        <v>84</v>
      </c>
      <c r="C122" s="16" t="n">
        <v>416500</v>
      </c>
      <c r="D122" s="52"/>
      <c r="E122" s="14" t="n">
        <f aca="false">C122-D122</f>
        <v>416500</v>
      </c>
    </row>
    <row r="123" customFormat="false" ht="15" hidden="false" customHeight="false" outlineLevel="0" collapsed="false">
      <c r="A123" s="49" t="n">
        <v>12</v>
      </c>
      <c r="B123" s="32" t="s">
        <v>85</v>
      </c>
      <c r="C123" s="16" t="n">
        <v>416500</v>
      </c>
      <c r="D123" s="52" t="n">
        <f aca="false">40000+280000+132500</f>
        <v>452500</v>
      </c>
      <c r="E123" s="14" t="n">
        <f aca="false">C123-D123</f>
        <v>-36000</v>
      </c>
    </row>
    <row r="124" customFormat="false" ht="15" hidden="false" customHeight="false" outlineLevel="0" collapsed="false">
      <c r="A124" s="49" t="n">
        <v>13</v>
      </c>
      <c r="B124" s="32" t="s">
        <v>86</v>
      </c>
      <c r="C124" s="16" t="n">
        <v>416500</v>
      </c>
      <c r="D124" s="52" t="n">
        <f aca="false">200000+16500+200000</f>
        <v>416500</v>
      </c>
      <c r="E124" s="14" t="n">
        <f aca="false">C124-D124</f>
        <v>0</v>
      </c>
    </row>
    <row r="125" customFormat="false" ht="15" hidden="false" customHeight="false" outlineLevel="0" collapsed="false">
      <c r="A125" s="49" t="n">
        <v>14</v>
      </c>
      <c r="B125" s="32" t="s">
        <v>87</v>
      </c>
      <c r="C125" s="16" t="n">
        <v>416500</v>
      </c>
      <c r="D125" s="52" t="n">
        <f aca="false">266500</f>
        <v>266500</v>
      </c>
      <c r="E125" s="14" t="n">
        <f aca="false">C125-D125</f>
        <v>150000</v>
      </c>
    </row>
    <row r="126" customFormat="false" ht="15" hidden="false" customHeight="false" outlineLevel="0" collapsed="false">
      <c r="A126" s="49" t="n">
        <v>15</v>
      </c>
      <c r="B126" s="53" t="s">
        <v>88</v>
      </c>
      <c r="C126" s="16" t="n">
        <v>416500</v>
      </c>
      <c r="D126" s="52"/>
      <c r="E126" s="14" t="n">
        <f aca="false">C126-D126</f>
        <v>416500</v>
      </c>
    </row>
    <row r="127" customFormat="false" ht="15" hidden="false" customHeight="false" outlineLevel="0" collapsed="false">
      <c r="A127" s="49" t="n">
        <v>16</v>
      </c>
      <c r="B127" s="32" t="s">
        <v>89</v>
      </c>
      <c r="C127" s="16" t="n">
        <v>416500</v>
      </c>
      <c r="D127" s="52"/>
      <c r="E127" s="14" t="n">
        <f aca="false">C127-D127</f>
        <v>416500</v>
      </c>
    </row>
    <row r="128" customFormat="false" ht="15" hidden="false" customHeight="false" outlineLevel="0" collapsed="false">
      <c r="A128" s="49" t="n">
        <v>17</v>
      </c>
      <c r="B128" s="32" t="s">
        <v>90</v>
      </c>
      <c r="C128" s="16" t="n">
        <v>416500</v>
      </c>
      <c r="D128" s="52" t="n">
        <v>416500</v>
      </c>
      <c r="E128" s="14" t="n">
        <f aca="false">C128-D128</f>
        <v>0</v>
      </c>
    </row>
    <row r="129" customFormat="false" ht="15" hidden="false" customHeight="false" outlineLevel="0" collapsed="false">
      <c r="A129" s="49" t="n">
        <v>18</v>
      </c>
      <c r="B129" s="32" t="s">
        <v>91</v>
      </c>
      <c r="C129" s="16" t="n">
        <v>416500</v>
      </c>
      <c r="D129" s="52"/>
      <c r="E129" s="14" t="n">
        <f aca="false">C129-D129</f>
        <v>416500</v>
      </c>
    </row>
    <row r="130" customFormat="false" ht="15" hidden="false" customHeight="false" outlineLevel="0" collapsed="false">
      <c r="A130" s="49" t="n">
        <v>19</v>
      </c>
      <c r="B130" s="32" t="s">
        <v>92</v>
      </c>
      <c r="C130" s="16" t="n">
        <v>416500</v>
      </c>
      <c r="D130" s="52" t="n">
        <f aca="false">50000+271500+95000</f>
        <v>416500</v>
      </c>
      <c r="E130" s="14" t="n">
        <f aca="false">C130-D130</f>
        <v>0</v>
      </c>
    </row>
    <row r="131" customFormat="false" ht="15" hidden="false" customHeight="false" outlineLevel="0" collapsed="false">
      <c r="A131" s="49" t="n">
        <v>20</v>
      </c>
      <c r="B131" s="32" t="s">
        <v>93</v>
      </c>
      <c r="C131" s="16" t="n">
        <v>416500</v>
      </c>
      <c r="D131" s="52"/>
      <c r="E131" s="14" t="n">
        <f aca="false">C131-D131</f>
        <v>416500</v>
      </c>
    </row>
    <row r="132" customFormat="false" ht="15" hidden="false" customHeight="false" outlineLevel="0" collapsed="false">
      <c r="A132" s="49" t="n">
        <v>21</v>
      </c>
      <c r="B132" s="32" t="s">
        <v>94</v>
      </c>
      <c r="C132" s="16" t="n">
        <v>416500</v>
      </c>
      <c r="D132" s="51"/>
      <c r="E132" s="14" t="n">
        <f aca="false">C132-D132</f>
        <v>416500</v>
      </c>
    </row>
    <row r="133" customFormat="false" ht="15" hidden="false" customHeight="false" outlineLevel="0" collapsed="false">
      <c r="A133" s="49" t="n">
        <v>22</v>
      </c>
      <c r="B133" s="32" t="s">
        <v>95</v>
      </c>
      <c r="C133" s="16" t="n">
        <v>416500</v>
      </c>
      <c r="D133" s="51"/>
      <c r="E133" s="14" t="n">
        <f aca="false">C133-D133</f>
        <v>416500</v>
      </c>
    </row>
    <row r="134" customFormat="false" ht="15" hidden="false" customHeight="false" outlineLevel="0" collapsed="false">
      <c r="A134" s="49" t="n">
        <v>23</v>
      </c>
      <c r="B134" s="32" t="s">
        <v>96</v>
      </c>
      <c r="C134" s="16" t="n">
        <v>416500</v>
      </c>
      <c r="D134" s="13"/>
      <c r="E134" s="14" t="n">
        <f aca="false">C134-D134</f>
        <v>416500</v>
      </c>
    </row>
    <row r="135" customFormat="false" ht="15" hidden="false" customHeight="false" outlineLevel="0" collapsed="false">
      <c r="A135" s="49" t="n">
        <v>24</v>
      </c>
      <c r="B135" s="32" t="s">
        <v>97</v>
      </c>
      <c r="C135" s="16" t="n">
        <v>416500</v>
      </c>
      <c r="D135" s="13" t="n">
        <v>416500</v>
      </c>
      <c r="E135" s="14" t="n">
        <f aca="false">C135-D135</f>
        <v>0</v>
      </c>
    </row>
    <row r="136" customFormat="false" ht="15" hidden="false" customHeight="false" outlineLevel="0" collapsed="false">
      <c r="A136" s="49" t="n">
        <v>25</v>
      </c>
      <c r="B136" s="32" t="s">
        <v>98</v>
      </c>
      <c r="C136" s="16" t="n">
        <v>416500</v>
      </c>
      <c r="D136" s="13" t="n">
        <f aca="false">200000+216500</f>
        <v>416500</v>
      </c>
      <c r="E136" s="14" t="n">
        <f aca="false">C136-D136</f>
        <v>0</v>
      </c>
    </row>
    <row r="137" customFormat="false" ht="15" hidden="false" customHeight="false" outlineLevel="0" collapsed="false">
      <c r="A137" s="49" t="n">
        <v>26</v>
      </c>
      <c r="B137" s="32" t="s">
        <v>99</v>
      </c>
      <c r="C137" s="16" t="n">
        <v>416500</v>
      </c>
      <c r="D137" s="13" t="n">
        <f aca="false">200000+216500</f>
        <v>416500</v>
      </c>
      <c r="E137" s="14" t="n">
        <f aca="false">C137-D137</f>
        <v>0</v>
      </c>
    </row>
    <row r="138" customFormat="false" ht="15" hidden="false" customHeight="false" outlineLevel="0" collapsed="false">
      <c r="A138" s="49" t="n">
        <v>27</v>
      </c>
      <c r="B138" s="32" t="s">
        <v>100</v>
      </c>
      <c r="C138" s="16" t="n">
        <v>416500</v>
      </c>
      <c r="D138" s="13" t="n">
        <v>416500</v>
      </c>
      <c r="E138" s="14" t="n">
        <f aca="false">C138-D138</f>
        <v>0</v>
      </c>
    </row>
    <row r="139" customFormat="false" ht="15" hidden="false" customHeight="false" outlineLevel="0" collapsed="false">
      <c r="A139" s="49" t="n">
        <v>28</v>
      </c>
      <c r="B139" s="32" t="s">
        <v>101</v>
      </c>
      <c r="C139" s="16" t="n">
        <v>416500</v>
      </c>
      <c r="D139" s="13"/>
      <c r="E139" s="14" t="n">
        <f aca="false">C139-D139</f>
        <v>416500</v>
      </c>
    </row>
    <row r="140" customFormat="false" ht="15" hidden="false" customHeight="false" outlineLevel="0" collapsed="false">
      <c r="A140" s="49" t="n">
        <v>29</v>
      </c>
      <c r="B140" s="32" t="s">
        <v>102</v>
      </c>
      <c r="C140" s="16" t="n">
        <v>416500</v>
      </c>
      <c r="D140" s="13"/>
      <c r="E140" s="14" t="n">
        <f aca="false">C140-D140</f>
        <v>416500</v>
      </c>
    </row>
    <row r="141" customFormat="false" ht="15" hidden="false" customHeight="false" outlineLevel="0" collapsed="false">
      <c r="A141" s="49" t="n">
        <v>30</v>
      </c>
      <c r="B141" s="32" t="s">
        <v>103</v>
      </c>
      <c r="C141" s="16" t="n">
        <v>416500</v>
      </c>
      <c r="D141" s="13" t="n">
        <f aca="false">216500+200000</f>
        <v>416500</v>
      </c>
      <c r="E141" s="14" t="n">
        <f aca="false">C141-D141</f>
        <v>0</v>
      </c>
    </row>
    <row r="142" customFormat="false" ht="15" hidden="false" customHeight="false" outlineLevel="0" collapsed="false">
      <c r="A142" s="49" t="n">
        <v>31</v>
      </c>
      <c r="B142" s="32" t="s">
        <v>104</v>
      </c>
      <c r="C142" s="16" t="n">
        <v>416500</v>
      </c>
      <c r="D142" s="13" t="n">
        <f aca="false">416500</f>
        <v>416500</v>
      </c>
      <c r="E142" s="14" t="n">
        <f aca="false">C142-D142</f>
        <v>0</v>
      </c>
    </row>
    <row r="143" customFormat="false" ht="15" hidden="false" customHeight="false" outlineLevel="0" collapsed="false">
      <c r="A143" s="49" t="n">
        <v>32</v>
      </c>
      <c r="B143" s="32" t="s">
        <v>105</v>
      </c>
      <c r="C143" s="16" t="n">
        <v>416500</v>
      </c>
      <c r="D143" s="13" t="n">
        <f aca="false">200000</f>
        <v>200000</v>
      </c>
      <c r="E143" s="14" t="n">
        <f aca="false">C143-D143</f>
        <v>216500</v>
      </c>
    </row>
    <row r="144" customFormat="false" ht="15" hidden="false" customHeight="false" outlineLevel="0" collapsed="false">
      <c r="A144" s="49" t="n">
        <v>33</v>
      </c>
      <c r="B144" s="32" t="s">
        <v>106</v>
      </c>
      <c r="C144" s="16" t="n">
        <v>416500</v>
      </c>
      <c r="D144" s="13"/>
      <c r="E144" s="14" t="n">
        <f aca="false">C144-D144</f>
        <v>416500</v>
      </c>
    </row>
    <row r="145" customFormat="false" ht="15" hidden="false" customHeight="false" outlineLevel="0" collapsed="false">
      <c r="A145" s="49" t="n">
        <v>34</v>
      </c>
      <c r="B145" s="32" t="s">
        <v>107</v>
      </c>
      <c r="C145" s="16" t="n">
        <v>416500</v>
      </c>
      <c r="D145" s="13" t="n">
        <f aca="false">216500+200000</f>
        <v>416500</v>
      </c>
      <c r="E145" s="14" t="n">
        <f aca="false">C145-D145</f>
        <v>0</v>
      </c>
    </row>
    <row r="146" customFormat="false" ht="15" hidden="false" customHeight="false" outlineLevel="0" collapsed="false">
      <c r="A146" s="49" t="n">
        <v>35</v>
      </c>
      <c r="B146" s="32" t="s">
        <v>108</v>
      </c>
      <c r="C146" s="16" t="n">
        <v>416500</v>
      </c>
      <c r="D146" s="13"/>
      <c r="E146" s="14" t="n">
        <f aca="false">C146-D146</f>
        <v>416500</v>
      </c>
    </row>
    <row r="147" customFormat="false" ht="15" hidden="false" customHeight="false" outlineLevel="0" collapsed="false">
      <c r="A147" s="49" t="n">
        <v>36</v>
      </c>
      <c r="B147" s="32" t="s">
        <v>109</v>
      </c>
      <c r="C147" s="16" t="n">
        <v>416500</v>
      </c>
      <c r="D147" s="13"/>
      <c r="E147" s="14" t="n">
        <f aca="false">C147-D147</f>
        <v>416500</v>
      </c>
    </row>
    <row r="148" customFormat="false" ht="15" hidden="false" customHeight="false" outlineLevel="0" collapsed="false">
      <c r="A148" s="49" t="n">
        <v>37</v>
      </c>
      <c r="B148" s="32" t="s">
        <v>110</v>
      </c>
      <c r="C148" s="16" t="n">
        <v>416500</v>
      </c>
      <c r="D148" s="13"/>
      <c r="E148" s="14" t="n">
        <f aca="false">C148-D148</f>
        <v>416500</v>
      </c>
    </row>
    <row r="149" customFormat="false" ht="15" hidden="false" customHeight="false" outlineLevel="0" collapsed="false">
      <c r="A149" s="49" t="n">
        <v>38</v>
      </c>
      <c r="B149" s="32" t="s">
        <v>111</v>
      </c>
      <c r="C149" s="16" t="n">
        <v>416500</v>
      </c>
      <c r="D149" s="13"/>
      <c r="E149" s="14" t="n">
        <f aca="false">C149-D149</f>
        <v>416500</v>
      </c>
    </row>
    <row r="150" customFormat="false" ht="15" hidden="false" customHeight="false" outlineLevel="0" collapsed="false">
      <c r="A150" s="49" t="n">
        <v>39</v>
      </c>
      <c r="B150" s="54" t="s">
        <v>112</v>
      </c>
      <c r="C150" s="16" t="n">
        <v>416500</v>
      </c>
      <c r="D150" s="13"/>
      <c r="E150" s="14" t="n">
        <f aca="false">C150-D150</f>
        <v>416500</v>
      </c>
    </row>
    <row r="151" customFormat="false" ht="15" hidden="false" customHeight="false" outlineLevel="0" collapsed="false">
      <c r="A151" s="49" t="n">
        <v>40</v>
      </c>
      <c r="B151" s="32" t="s">
        <v>113</v>
      </c>
      <c r="C151" s="16" t="n">
        <v>416500</v>
      </c>
      <c r="D151" s="13" t="n">
        <f aca="false">200000+30000+9500+177000</f>
        <v>416500</v>
      </c>
      <c r="E151" s="14" t="n">
        <f aca="false">C151-D151</f>
        <v>0</v>
      </c>
    </row>
    <row r="152" customFormat="false" ht="15" hidden="false" customHeight="false" outlineLevel="0" collapsed="false">
      <c r="A152" s="49" t="n">
        <v>41</v>
      </c>
      <c r="B152" s="32" t="s">
        <v>114</v>
      </c>
      <c r="C152" s="16" t="n">
        <v>416500</v>
      </c>
      <c r="D152" s="13"/>
      <c r="E152" s="14" t="n">
        <f aca="false">C152-D152</f>
        <v>416500</v>
      </c>
    </row>
    <row r="153" customFormat="false" ht="15" hidden="false" customHeight="false" outlineLevel="0" collapsed="false">
      <c r="A153" s="49" t="n">
        <v>42</v>
      </c>
      <c r="B153" s="32" t="s">
        <v>115</v>
      </c>
      <c r="C153" s="16" t="n">
        <v>416500</v>
      </c>
      <c r="D153" s="13"/>
      <c r="E153" s="14" t="n">
        <f aca="false">C153-D153</f>
        <v>416500</v>
      </c>
    </row>
    <row r="154" customFormat="false" ht="15" hidden="false" customHeight="false" outlineLevel="0" collapsed="false">
      <c r="A154" s="49" t="n">
        <v>43</v>
      </c>
      <c r="B154" s="32" t="s">
        <v>116</v>
      </c>
      <c r="C154" s="16" t="n">
        <v>416500</v>
      </c>
      <c r="D154" s="13" t="n">
        <f aca="false">403500+13000</f>
        <v>416500</v>
      </c>
      <c r="E154" s="14" t="n">
        <f aca="false">C154-D154</f>
        <v>0</v>
      </c>
    </row>
    <row r="155" customFormat="false" ht="15" hidden="false" customHeight="false" outlineLevel="0" collapsed="false">
      <c r="A155" s="49" t="n">
        <v>44</v>
      </c>
      <c r="B155" s="32" t="s">
        <v>117</v>
      </c>
      <c r="C155" s="16" t="n">
        <v>416500</v>
      </c>
      <c r="D155" s="13" t="n">
        <f aca="false">200000+216500</f>
        <v>416500</v>
      </c>
      <c r="E155" s="14" t="n">
        <f aca="false">C155-D155</f>
        <v>0</v>
      </c>
    </row>
    <row r="156" customFormat="false" ht="17.35" hidden="false" customHeight="false" outlineLevel="0" collapsed="false">
      <c r="A156" s="19"/>
      <c r="B156" s="55" t="s">
        <v>22</v>
      </c>
      <c r="C156" s="21" t="n">
        <f aca="false">SUM(C112:C155)</f>
        <v>18326000</v>
      </c>
      <c r="D156" s="22" t="n">
        <f aca="false">SUM(D112:D155)</f>
        <v>7823000</v>
      </c>
      <c r="E156" s="45" t="n">
        <f aca="false">SUM(E112:E155)</f>
        <v>10503000</v>
      </c>
    </row>
    <row r="157" customFormat="false" ht="17.35" hidden="false" customHeight="false" outlineLevel="0" collapsed="false">
      <c r="A157" s="56"/>
      <c r="B157" s="36"/>
      <c r="C157" s="37"/>
      <c r="D157" s="38"/>
      <c r="E157" s="39"/>
    </row>
    <row r="158" customFormat="false" ht="17.35" hidden="false" customHeight="false" outlineLevel="0" collapsed="false">
      <c r="B158" s="36"/>
      <c r="C158" s="37"/>
      <c r="D158" s="38"/>
      <c r="E158" s="39"/>
    </row>
    <row r="159" customFormat="false" ht="17.35" hidden="false" customHeight="false" outlineLevel="0" collapsed="false">
      <c r="B159" s="36"/>
      <c r="C159" s="37"/>
      <c r="D159" s="38"/>
      <c r="E159" s="39"/>
    </row>
    <row r="160" customFormat="false" ht="17.35" hidden="false" customHeight="false" outlineLevel="0" collapsed="false">
      <c r="B160" s="2" t="s">
        <v>0</v>
      </c>
      <c r="C160" s="2"/>
      <c r="D160" s="24"/>
      <c r="E160" s="24"/>
    </row>
    <row r="161" customFormat="false" ht="15" hidden="false" customHeight="false" outlineLevel="0" collapsed="false">
      <c r="D161" s="24"/>
      <c r="E161" s="24"/>
    </row>
    <row r="162" customFormat="false" ht="15" hidden="false" customHeight="false" outlineLevel="0" collapsed="false">
      <c r="A162" s="40"/>
      <c r="D162" s="24"/>
      <c r="E162" s="24"/>
    </row>
    <row r="163" customFormat="false" ht="17.25" hidden="false" customHeight="false" outlineLevel="0" collapsed="false">
      <c r="A163" s="40"/>
      <c r="B163" s="4" t="s">
        <v>118</v>
      </c>
      <c r="D163" s="25" t="s">
        <v>4</v>
      </c>
      <c r="E163" s="24"/>
    </row>
    <row r="164" customFormat="false" ht="15" hidden="false" customHeight="false" outlineLevel="0" collapsed="false">
      <c r="A164" s="40"/>
      <c r="D164" s="24"/>
      <c r="E164" s="24"/>
    </row>
    <row r="165" customFormat="false" ht="15" hidden="false" customHeight="false" outlineLevel="0" collapsed="false">
      <c r="A165" s="6" t="s">
        <v>5</v>
      </c>
      <c r="B165" s="7" t="s">
        <v>6</v>
      </c>
      <c r="C165" s="8" t="s">
        <v>7</v>
      </c>
      <c r="D165" s="42" t="s">
        <v>8</v>
      </c>
      <c r="E165" s="43" t="s">
        <v>9</v>
      </c>
    </row>
    <row r="166" customFormat="false" ht="15" hidden="false" customHeight="false" outlineLevel="0" collapsed="false">
      <c r="A166" s="49" t="n">
        <v>1</v>
      </c>
      <c r="B166" s="50" t="s">
        <v>119</v>
      </c>
      <c r="C166" s="16" t="n">
        <v>416500</v>
      </c>
      <c r="D166" s="51" t="n">
        <f aca="false">300000+116000+500</f>
        <v>416500</v>
      </c>
      <c r="E166" s="14" t="n">
        <f aca="false">C166-D166</f>
        <v>0</v>
      </c>
    </row>
    <row r="167" customFormat="false" ht="15" hidden="false" customHeight="false" outlineLevel="0" collapsed="false">
      <c r="A167" s="18" t="n">
        <v>2</v>
      </c>
      <c r="B167" s="50" t="s">
        <v>120</v>
      </c>
      <c r="C167" s="16" t="n">
        <v>416500</v>
      </c>
      <c r="D167" s="51" t="n">
        <f aca="false">116500</f>
        <v>116500</v>
      </c>
      <c r="E167" s="14" t="n">
        <f aca="false">C167-D167</f>
        <v>300000</v>
      </c>
    </row>
    <row r="168" customFormat="false" ht="15" hidden="false" customHeight="false" outlineLevel="0" collapsed="false">
      <c r="A168" s="18" t="n">
        <v>3</v>
      </c>
      <c r="B168" s="50" t="s">
        <v>121</v>
      </c>
      <c r="C168" s="16" t="n">
        <v>416500</v>
      </c>
      <c r="D168" s="51" t="n">
        <f aca="false">250000+166500</f>
        <v>416500</v>
      </c>
      <c r="E168" s="14" t="n">
        <f aca="false">C168-D168</f>
        <v>0</v>
      </c>
    </row>
    <row r="169" customFormat="false" ht="15" hidden="false" customHeight="false" outlineLevel="0" collapsed="false">
      <c r="A169" s="49" t="n">
        <v>4</v>
      </c>
      <c r="B169" s="44" t="s">
        <v>122</v>
      </c>
      <c r="C169" s="16" t="n">
        <v>416500</v>
      </c>
      <c r="D169" s="51"/>
      <c r="E169" s="14" t="n">
        <f aca="false">C169-D169</f>
        <v>416500</v>
      </c>
    </row>
    <row r="170" customFormat="false" ht="15" hidden="false" customHeight="false" outlineLevel="0" collapsed="false">
      <c r="A170" s="18" t="n">
        <v>5</v>
      </c>
      <c r="B170" s="50" t="s">
        <v>123</v>
      </c>
      <c r="C170" s="16" t="n">
        <v>416500</v>
      </c>
      <c r="D170" s="51" t="n">
        <f aca="false">40000+236500+70000+70000</f>
        <v>416500</v>
      </c>
      <c r="E170" s="14" t="n">
        <f aca="false">C170-D170</f>
        <v>0</v>
      </c>
    </row>
    <row r="171" customFormat="false" ht="15" hidden="false" customHeight="false" outlineLevel="0" collapsed="false">
      <c r="A171" s="18" t="n">
        <v>6</v>
      </c>
      <c r="B171" s="50" t="s">
        <v>124</v>
      </c>
      <c r="C171" s="16" t="n">
        <v>416500</v>
      </c>
      <c r="D171" s="51" t="n">
        <f aca="false">200000+17000+199500</f>
        <v>416500</v>
      </c>
      <c r="E171" s="14" t="n">
        <f aca="false">C171-D171</f>
        <v>0</v>
      </c>
    </row>
    <row r="172" customFormat="false" ht="15" hidden="false" customHeight="false" outlineLevel="0" collapsed="false">
      <c r="A172" s="49" t="n">
        <v>7</v>
      </c>
      <c r="B172" s="44" t="s">
        <v>125</v>
      </c>
      <c r="C172" s="16" t="n">
        <v>416500</v>
      </c>
      <c r="D172" s="51" t="n">
        <f aca="false">316500+100000</f>
        <v>416500</v>
      </c>
      <c r="E172" s="14" t="n">
        <f aca="false">C172-D172</f>
        <v>0</v>
      </c>
    </row>
    <row r="173" customFormat="false" ht="15" hidden="false" customHeight="false" outlineLevel="0" collapsed="false">
      <c r="A173" s="18" t="n">
        <v>8</v>
      </c>
      <c r="B173" s="50" t="s">
        <v>126</v>
      </c>
      <c r="C173" s="16" t="n">
        <v>416500</v>
      </c>
      <c r="D173" s="51"/>
      <c r="E173" s="14" t="n">
        <f aca="false">C173-D173</f>
        <v>416500</v>
      </c>
    </row>
    <row r="174" customFormat="false" ht="15" hidden="false" customHeight="false" outlineLevel="0" collapsed="false">
      <c r="A174" s="18" t="n">
        <v>9</v>
      </c>
      <c r="B174" s="50" t="s">
        <v>127</v>
      </c>
      <c r="C174" s="16" t="s">
        <v>128</v>
      </c>
      <c r="D174" s="51"/>
      <c r="E174" s="14" t="s">
        <v>128</v>
      </c>
    </row>
    <row r="175" customFormat="false" ht="15" hidden="false" customHeight="false" outlineLevel="0" collapsed="false">
      <c r="A175" s="49" t="n">
        <v>10</v>
      </c>
      <c r="B175" s="50" t="s">
        <v>129</v>
      </c>
      <c r="C175" s="16" t="s">
        <v>128</v>
      </c>
      <c r="D175" s="51"/>
      <c r="E175" s="14" t="s">
        <v>128</v>
      </c>
    </row>
    <row r="176" customFormat="false" ht="15" hidden="false" customHeight="false" outlineLevel="0" collapsed="false">
      <c r="A176" s="18" t="n">
        <v>11</v>
      </c>
      <c r="B176" s="44" t="s">
        <v>130</v>
      </c>
      <c r="C176" s="16" t="n">
        <v>416500</v>
      </c>
      <c r="D176" s="51" t="n">
        <f aca="false">215000+201500</f>
        <v>416500</v>
      </c>
      <c r="E176" s="14" t="n">
        <f aca="false">C176-D176</f>
        <v>0</v>
      </c>
    </row>
    <row r="177" customFormat="false" ht="15" hidden="false" customHeight="false" outlineLevel="0" collapsed="false">
      <c r="A177" s="18" t="n">
        <v>12</v>
      </c>
      <c r="B177" s="44" t="s">
        <v>131</v>
      </c>
      <c r="C177" s="16" t="s">
        <v>128</v>
      </c>
      <c r="D177" s="51"/>
      <c r="E177" s="14" t="s">
        <v>128</v>
      </c>
    </row>
    <row r="178" customFormat="false" ht="15" hidden="false" customHeight="false" outlineLevel="0" collapsed="false">
      <c r="A178" s="49" t="n">
        <v>13</v>
      </c>
      <c r="B178" s="50" t="s">
        <v>132</v>
      </c>
      <c r="C178" s="16" t="s">
        <v>128</v>
      </c>
      <c r="D178" s="51"/>
      <c r="E178" s="14" t="s">
        <v>128</v>
      </c>
    </row>
    <row r="179" customFormat="false" ht="15" hidden="false" customHeight="false" outlineLevel="0" collapsed="false">
      <c r="A179" s="18" t="n">
        <v>14</v>
      </c>
      <c r="B179" s="50" t="s">
        <v>133</v>
      </c>
      <c r="C179" s="16" t="n">
        <v>416500</v>
      </c>
      <c r="D179" s="51" t="n">
        <f aca="false">210000+7000+199500</f>
        <v>416500</v>
      </c>
      <c r="E179" s="14" t="n">
        <f aca="false">C179-D179</f>
        <v>0</v>
      </c>
    </row>
    <row r="180" customFormat="false" ht="15" hidden="false" customHeight="false" outlineLevel="0" collapsed="false">
      <c r="A180" s="18" t="n">
        <v>15</v>
      </c>
      <c r="B180" s="50" t="s">
        <v>134</v>
      </c>
      <c r="C180" s="16" t="n">
        <v>416500</v>
      </c>
      <c r="D180" s="51" t="n">
        <f aca="false">116500+300000</f>
        <v>416500</v>
      </c>
      <c r="E180" s="14" t="n">
        <f aca="false">C180-D180</f>
        <v>0</v>
      </c>
    </row>
    <row r="181" customFormat="false" ht="15" hidden="false" customHeight="false" outlineLevel="0" collapsed="false">
      <c r="A181" s="49" t="n">
        <v>16</v>
      </c>
      <c r="B181" s="50" t="s">
        <v>135</v>
      </c>
      <c r="C181" s="16" t="n">
        <v>416500</v>
      </c>
      <c r="D181" s="51" t="n">
        <f aca="false">116000</f>
        <v>116000</v>
      </c>
      <c r="E181" s="14" t="n">
        <f aca="false">C181-D181</f>
        <v>300500</v>
      </c>
    </row>
    <row r="182" customFormat="false" ht="15" hidden="false" customHeight="false" outlineLevel="0" collapsed="false">
      <c r="A182" s="18" t="n">
        <v>17</v>
      </c>
      <c r="B182" s="50" t="s">
        <v>136</v>
      </c>
      <c r="C182" s="16" t="s">
        <v>128</v>
      </c>
      <c r="D182" s="51"/>
      <c r="E182" s="14" t="s">
        <v>128</v>
      </c>
    </row>
    <row r="183" customFormat="false" ht="15" hidden="false" customHeight="false" outlineLevel="0" collapsed="false">
      <c r="A183" s="18" t="n">
        <v>18</v>
      </c>
      <c r="B183" s="50" t="s">
        <v>137</v>
      </c>
      <c r="C183" s="16" t="n">
        <v>416500</v>
      </c>
      <c r="D183" s="51" t="n">
        <f aca="false">95000</f>
        <v>95000</v>
      </c>
      <c r="E183" s="14" t="n">
        <f aca="false">C183-D183</f>
        <v>321500</v>
      </c>
    </row>
    <row r="184" customFormat="false" ht="15" hidden="false" customHeight="false" outlineLevel="0" collapsed="false">
      <c r="A184" s="49" t="n">
        <v>19</v>
      </c>
      <c r="B184" s="50" t="s">
        <v>138</v>
      </c>
      <c r="C184" s="16" t="n">
        <v>416500</v>
      </c>
      <c r="D184" s="51" t="n">
        <f aca="false">100000+200000+116500</f>
        <v>416500</v>
      </c>
      <c r="E184" s="14" t="n">
        <f aca="false">C184-D184</f>
        <v>0</v>
      </c>
    </row>
    <row r="185" customFormat="false" ht="15" hidden="false" customHeight="false" outlineLevel="0" collapsed="false">
      <c r="A185" s="18" t="n">
        <v>20</v>
      </c>
      <c r="B185" s="50" t="s">
        <v>139</v>
      </c>
      <c r="C185" s="16" t="n">
        <v>416500</v>
      </c>
      <c r="D185" s="51" t="n">
        <f aca="false">100000</f>
        <v>100000</v>
      </c>
      <c r="E185" s="14" t="n">
        <f aca="false">C185-D185</f>
        <v>316500</v>
      </c>
    </row>
    <row r="186" customFormat="false" ht="17.35" hidden="false" customHeight="false" outlineLevel="0" collapsed="false">
      <c r="A186" s="18"/>
      <c r="B186" s="20" t="s">
        <v>22</v>
      </c>
      <c r="C186" s="21" t="n">
        <f aca="false">SUM(C166:C185)</f>
        <v>6247500</v>
      </c>
      <c r="D186" s="22" t="n">
        <f aca="false">SUM(D166:D185)</f>
        <v>4176000</v>
      </c>
      <c r="E186" s="45" t="n">
        <f aca="false">SUM(E166:E185)</f>
        <v>2071500</v>
      </c>
    </row>
    <row r="187" customFormat="false" ht="17.35" hidden="false" customHeight="false" outlineLevel="0" collapsed="false">
      <c r="B187" s="36"/>
      <c r="C187" s="37"/>
      <c r="D187" s="38"/>
      <c r="E187" s="39"/>
    </row>
    <row r="188" customFormat="false" ht="17.35" hidden="false" customHeight="false" outlineLevel="0" collapsed="false">
      <c r="B188" s="36"/>
      <c r="C188" s="37"/>
      <c r="D188" s="38"/>
      <c r="E188" s="39"/>
    </row>
    <row r="189" customFormat="false" ht="19.7" hidden="false" customHeight="false" outlineLevel="0" collapsed="false">
      <c r="A189" s="46"/>
      <c r="B189" s="57"/>
      <c r="C189" s="58"/>
      <c r="D189" s="59"/>
      <c r="E189" s="60"/>
    </row>
    <row r="190" customFormat="false" ht="17.35" hidden="false" customHeight="false" outlineLevel="0" collapsed="false">
      <c r="B190" s="2" t="s">
        <v>0</v>
      </c>
      <c r="C190" s="2"/>
      <c r="D190" s="24"/>
      <c r="E190" s="24"/>
    </row>
    <row r="191" customFormat="false" ht="15" hidden="false" customHeight="false" outlineLevel="0" collapsed="false">
      <c r="D191" s="24"/>
      <c r="E191" s="24"/>
    </row>
    <row r="192" customFormat="false" ht="15" hidden="false" customHeight="false" outlineLevel="0" collapsed="false">
      <c r="A192" s="40"/>
      <c r="D192" s="24"/>
      <c r="E192" s="24"/>
    </row>
    <row r="193" customFormat="false" ht="17.25" hidden="false" customHeight="false" outlineLevel="0" collapsed="false">
      <c r="A193" s="40"/>
      <c r="B193" s="4" t="s">
        <v>118</v>
      </c>
      <c r="D193" s="25" t="s">
        <v>51</v>
      </c>
      <c r="E193" s="24"/>
    </row>
    <row r="194" customFormat="false" ht="15" hidden="false" customHeight="false" outlineLevel="0" collapsed="false">
      <c r="A194" s="40"/>
      <c r="D194" s="24"/>
      <c r="E194" s="24"/>
    </row>
    <row r="195" customFormat="false" ht="15" hidden="false" customHeight="false" outlineLevel="0" collapsed="false">
      <c r="A195" s="6" t="s">
        <v>5</v>
      </c>
      <c r="B195" s="7" t="s">
        <v>6</v>
      </c>
      <c r="C195" s="8" t="s">
        <v>7</v>
      </c>
      <c r="D195" s="42" t="s">
        <v>8</v>
      </c>
      <c r="E195" s="43" t="s">
        <v>9</v>
      </c>
    </row>
    <row r="196" customFormat="false" ht="15" hidden="false" customHeight="false" outlineLevel="0" collapsed="false">
      <c r="A196" s="18" t="n">
        <v>1</v>
      </c>
      <c r="B196" s="50" t="s">
        <v>140</v>
      </c>
      <c r="C196" s="13" t="n">
        <v>416500</v>
      </c>
      <c r="D196" s="51" t="n">
        <f aca="false">250000</f>
        <v>250000</v>
      </c>
      <c r="E196" s="14" t="s">
        <v>141</v>
      </c>
    </row>
    <row r="197" customFormat="false" ht="15" hidden="false" customHeight="false" outlineLevel="0" collapsed="false">
      <c r="A197" s="18" t="n">
        <v>2</v>
      </c>
      <c r="B197" s="50" t="s">
        <v>142</v>
      </c>
      <c r="C197" s="16" t="n">
        <v>416500</v>
      </c>
      <c r="D197" s="51" t="n">
        <f aca="false">200000+190000+26000+500</f>
        <v>416500</v>
      </c>
      <c r="E197" s="14" t="n">
        <f aca="false">C197-D197</f>
        <v>0</v>
      </c>
    </row>
    <row r="198" customFormat="false" ht="15" hidden="false" customHeight="false" outlineLevel="0" collapsed="false">
      <c r="A198" s="18" t="n">
        <v>3</v>
      </c>
      <c r="B198" s="50" t="s">
        <v>143</v>
      </c>
      <c r="C198" s="16" t="n">
        <v>416500</v>
      </c>
      <c r="D198" s="51" t="n">
        <f aca="false">183500+53000+180000</f>
        <v>416500</v>
      </c>
      <c r="E198" s="14" t="n">
        <f aca="false">C198-D198</f>
        <v>0</v>
      </c>
    </row>
    <row r="199" customFormat="false" ht="15" hidden="false" customHeight="false" outlineLevel="0" collapsed="false">
      <c r="A199" s="18" t="n">
        <v>4</v>
      </c>
      <c r="B199" s="50" t="s">
        <v>144</v>
      </c>
      <c r="C199" s="16" t="n">
        <v>416500</v>
      </c>
      <c r="D199" s="51"/>
      <c r="E199" s="14" t="n">
        <f aca="false">C199-D199</f>
        <v>416500</v>
      </c>
    </row>
    <row r="200" customFormat="false" ht="15" hidden="false" customHeight="false" outlineLevel="0" collapsed="false">
      <c r="A200" s="18" t="n">
        <v>5</v>
      </c>
      <c r="B200" s="50" t="s">
        <v>145</v>
      </c>
      <c r="C200" s="16" t="n">
        <v>416500</v>
      </c>
      <c r="D200" s="51"/>
      <c r="E200" s="14" t="n">
        <f aca="false">C200-D200</f>
        <v>416500</v>
      </c>
    </row>
    <row r="201" customFormat="false" ht="15" hidden="false" customHeight="false" outlineLevel="0" collapsed="false">
      <c r="A201" s="18" t="n">
        <v>6</v>
      </c>
      <c r="B201" s="50" t="s">
        <v>146</v>
      </c>
      <c r="C201" s="16" t="n">
        <v>416500</v>
      </c>
      <c r="D201" s="51" t="n">
        <f aca="false">300000+116500</f>
        <v>416500</v>
      </c>
      <c r="E201" s="14" t="n">
        <f aca="false">C201-D201</f>
        <v>0</v>
      </c>
    </row>
    <row r="202" customFormat="false" ht="15" hidden="false" customHeight="false" outlineLevel="0" collapsed="false">
      <c r="A202" s="18" t="n">
        <v>7</v>
      </c>
      <c r="B202" s="50" t="s">
        <v>147</v>
      </c>
      <c r="C202" s="16" t="n">
        <v>416500</v>
      </c>
      <c r="D202" s="51" t="n">
        <f aca="false">99500+317000</f>
        <v>416500</v>
      </c>
      <c r="E202" s="14" t="n">
        <f aca="false">C202-D202</f>
        <v>0</v>
      </c>
    </row>
    <row r="203" customFormat="false" ht="15" hidden="false" customHeight="false" outlineLevel="0" collapsed="false">
      <c r="A203" s="18" t="n">
        <v>8</v>
      </c>
      <c r="B203" s="50" t="s">
        <v>148</v>
      </c>
      <c r="C203" s="16" t="n">
        <v>416500</v>
      </c>
      <c r="D203" s="51" t="n">
        <f aca="false">116500+300000</f>
        <v>416500</v>
      </c>
      <c r="E203" s="14" t="n">
        <f aca="false">C203-D203</f>
        <v>0</v>
      </c>
    </row>
    <row r="204" customFormat="false" ht="15" hidden="false" customHeight="false" outlineLevel="0" collapsed="false">
      <c r="A204" s="18" t="n">
        <v>9</v>
      </c>
      <c r="B204" s="50" t="s">
        <v>149</v>
      </c>
      <c r="C204" s="16" t="n">
        <v>416500</v>
      </c>
      <c r="D204" s="51" t="n">
        <f aca="false">116500+300000</f>
        <v>416500</v>
      </c>
      <c r="E204" s="14" t="n">
        <f aca="false">C204-D204</f>
        <v>0</v>
      </c>
    </row>
    <row r="205" customFormat="false" ht="15" hidden="false" customHeight="false" outlineLevel="0" collapsed="false">
      <c r="A205" s="18" t="n">
        <v>10</v>
      </c>
      <c r="B205" s="50" t="s">
        <v>150</v>
      </c>
      <c r="C205" s="13" t="n">
        <v>416500</v>
      </c>
      <c r="D205" s="51"/>
      <c r="E205" s="14" t="n">
        <f aca="false">C205-D205</f>
        <v>416500</v>
      </c>
    </row>
    <row r="206" customFormat="false" ht="15" hidden="false" customHeight="false" outlineLevel="0" collapsed="false">
      <c r="A206" s="18" t="n">
        <v>11</v>
      </c>
      <c r="B206" s="50" t="s">
        <v>151</v>
      </c>
      <c r="C206" s="16" t="n">
        <v>416500</v>
      </c>
      <c r="D206" s="51" t="n">
        <f aca="false">333000+83500</f>
        <v>416500</v>
      </c>
      <c r="E206" s="14" t="n">
        <f aca="false">C206-D206</f>
        <v>0</v>
      </c>
    </row>
    <row r="207" customFormat="false" ht="15" hidden="false" customHeight="false" outlineLevel="0" collapsed="false">
      <c r="A207" s="18" t="n">
        <v>12</v>
      </c>
      <c r="B207" s="50" t="s">
        <v>152</v>
      </c>
      <c r="C207" s="16" t="n">
        <v>416500</v>
      </c>
      <c r="D207" s="51" t="n">
        <f aca="false">216500+150000+50000</f>
        <v>416500</v>
      </c>
      <c r="E207" s="14" t="n">
        <f aca="false">C207-D207</f>
        <v>0</v>
      </c>
    </row>
    <row r="208" customFormat="false" ht="15" hidden="false" customHeight="false" outlineLevel="0" collapsed="false">
      <c r="A208" s="18" t="n">
        <v>13</v>
      </c>
      <c r="B208" s="50" t="s">
        <v>153</v>
      </c>
      <c r="C208" s="16" t="n">
        <v>416500</v>
      </c>
      <c r="D208" s="51"/>
      <c r="E208" s="14" t="n">
        <f aca="false">C208-D208</f>
        <v>416500</v>
      </c>
    </row>
    <row r="209" customFormat="false" ht="15" hidden="false" customHeight="false" outlineLevel="0" collapsed="false">
      <c r="A209" s="18" t="n">
        <v>14</v>
      </c>
      <c r="B209" s="50" t="s">
        <v>154</v>
      </c>
      <c r="C209" s="16" t="n">
        <v>416500</v>
      </c>
      <c r="D209" s="51" t="n">
        <f aca="false">66500+350000</f>
        <v>416500</v>
      </c>
      <c r="E209" s="14" t="n">
        <f aca="false">C209-D209</f>
        <v>0</v>
      </c>
    </row>
    <row r="210" customFormat="false" ht="15" hidden="false" customHeight="false" outlineLevel="0" collapsed="false">
      <c r="A210" s="18" t="n">
        <v>15</v>
      </c>
      <c r="B210" s="50" t="s">
        <v>155</v>
      </c>
      <c r="C210" s="16" t="n">
        <v>416500</v>
      </c>
      <c r="D210" s="51" t="n">
        <f aca="false">216500+200000</f>
        <v>416500</v>
      </c>
      <c r="E210" s="14" t="n">
        <f aca="false">C210-D210</f>
        <v>0</v>
      </c>
    </row>
    <row r="211" customFormat="false" ht="15" hidden="false" customHeight="false" outlineLevel="0" collapsed="false">
      <c r="A211" s="18" t="n">
        <v>16</v>
      </c>
      <c r="B211" s="50" t="s">
        <v>156</v>
      </c>
      <c r="C211" s="16" t="n">
        <v>225000</v>
      </c>
      <c r="D211" s="51" t="n">
        <f aca="false">100000+100000+25000</f>
        <v>225000</v>
      </c>
      <c r="E211" s="14" t="n">
        <f aca="false">C211-D211</f>
        <v>0</v>
      </c>
    </row>
    <row r="212" customFormat="false" ht="15" hidden="false" customHeight="false" outlineLevel="0" collapsed="false">
      <c r="A212" s="18" t="n">
        <v>17</v>
      </c>
      <c r="B212" s="50" t="s">
        <v>157</v>
      </c>
      <c r="C212" s="16" t="n">
        <v>416500</v>
      </c>
      <c r="D212" s="51" t="n">
        <f aca="false">232000+184500</f>
        <v>416500</v>
      </c>
      <c r="E212" s="14" t="n">
        <f aca="false">C212-D212</f>
        <v>0</v>
      </c>
    </row>
    <row r="213" customFormat="false" ht="15" hidden="false" customHeight="false" outlineLevel="0" collapsed="false">
      <c r="A213" s="18" t="n">
        <v>18</v>
      </c>
      <c r="B213" s="50" t="s">
        <v>158</v>
      </c>
      <c r="C213" s="16" t="n">
        <v>416500</v>
      </c>
      <c r="D213" s="51" t="n">
        <f aca="false">130000</f>
        <v>130000</v>
      </c>
      <c r="E213" s="14" t="n">
        <f aca="false">C213-D213</f>
        <v>286500</v>
      </c>
    </row>
    <row r="214" customFormat="false" ht="15" hidden="false" customHeight="false" outlineLevel="0" collapsed="false">
      <c r="A214" s="18" t="n">
        <v>19</v>
      </c>
      <c r="B214" s="50" t="s">
        <v>159</v>
      </c>
      <c r="C214" s="16" t="n">
        <v>416500</v>
      </c>
      <c r="D214" s="51" t="n">
        <f aca="false">200000+216500</f>
        <v>416500</v>
      </c>
      <c r="E214" s="14" t="n">
        <f aca="false">C214-D214</f>
        <v>0</v>
      </c>
    </row>
    <row r="215" customFormat="false" ht="15" hidden="false" customHeight="false" outlineLevel="0" collapsed="false">
      <c r="A215" s="18" t="n">
        <v>20</v>
      </c>
      <c r="B215" s="50" t="s">
        <v>160</v>
      </c>
      <c r="C215" s="16" t="n">
        <v>416500</v>
      </c>
      <c r="D215" s="51" t="n">
        <f aca="false">116500+216500+83500</f>
        <v>416500</v>
      </c>
      <c r="E215" s="14" t="n">
        <f aca="false">C215-D215</f>
        <v>0</v>
      </c>
    </row>
    <row r="216" customFormat="false" ht="15" hidden="false" customHeight="false" outlineLevel="0" collapsed="false">
      <c r="A216" s="18" t="n">
        <v>21</v>
      </c>
      <c r="B216" s="50" t="s">
        <v>161</v>
      </c>
      <c r="C216" s="16" t="n">
        <v>416500</v>
      </c>
      <c r="D216" s="51" t="n">
        <f aca="false">100000+316500</f>
        <v>416500</v>
      </c>
      <c r="E216" s="14" t="n">
        <f aca="false">C216-D216</f>
        <v>0</v>
      </c>
    </row>
    <row r="217" customFormat="false" ht="15" hidden="false" customHeight="false" outlineLevel="0" collapsed="false">
      <c r="A217" s="18" t="n">
        <v>22</v>
      </c>
      <c r="B217" s="50" t="s">
        <v>162</v>
      </c>
      <c r="C217" s="16" t="n">
        <v>416500</v>
      </c>
      <c r="D217" s="51" t="n">
        <v>416500</v>
      </c>
      <c r="E217" s="14" t="n">
        <f aca="false">C217-D217</f>
        <v>0</v>
      </c>
    </row>
    <row r="218" customFormat="false" ht="15" hidden="false" customHeight="false" outlineLevel="0" collapsed="false">
      <c r="A218" s="18" t="n">
        <v>23</v>
      </c>
      <c r="B218" s="50" t="s">
        <v>163</v>
      </c>
      <c r="C218" s="16" t="n">
        <v>416500</v>
      </c>
      <c r="D218" s="51" t="n">
        <v>13000</v>
      </c>
      <c r="E218" s="14" t="n">
        <f aca="false">C218-D218</f>
        <v>403500</v>
      </c>
    </row>
    <row r="219" customFormat="false" ht="15" hidden="false" customHeight="false" outlineLevel="0" collapsed="false">
      <c r="A219" s="18" t="n">
        <v>24</v>
      </c>
      <c r="B219" s="50" t="s">
        <v>164</v>
      </c>
      <c r="C219" s="16" t="n">
        <v>416500</v>
      </c>
      <c r="D219" s="51" t="n">
        <v>416500</v>
      </c>
      <c r="E219" s="14" t="n">
        <f aca="false">C219-D219</f>
        <v>0</v>
      </c>
    </row>
    <row r="220" customFormat="false" ht="15" hidden="false" customHeight="false" outlineLevel="0" collapsed="false">
      <c r="A220" s="18" t="n">
        <v>25</v>
      </c>
      <c r="B220" s="50" t="s">
        <v>165</v>
      </c>
      <c r="C220" s="16" t="n">
        <v>416500</v>
      </c>
      <c r="D220" s="51" t="n">
        <v>416500</v>
      </c>
      <c r="E220" s="14" t="n">
        <f aca="false">C220-D220</f>
        <v>0</v>
      </c>
    </row>
    <row r="221" customFormat="false" ht="15" hidden="false" customHeight="false" outlineLevel="0" collapsed="false">
      <c r="A221" s="18" t="n">
        <v>26</v>
      </c>
      <c r="B221" s="61" t="s">
        <v>166</v>
      </c>
      <c r="C221" s="16" t="n">
        <v>416500</v>
      </c>
      <c r="D221" s="51" t="n">
        <v>416500</v>
      </c>
      <c r="E221" s="14" t="n">
        <f aca="false">C221-D221</f>
        <v>0</v>
      </c>
    </row>
    <row r="222" customFormat="false" ht="15" hidden="false" customHeight="false" outlineLevel="0" collapsed="false">
      <c r="A222" s="18" t="n">
        <v>27</v>
      </c>
      <c r="B222" s="50" t="s">
        <v>167</v>
      </c>
      <c r="C222" s="16" t="n">
        <v>416500</v>
      </c>
      <c r="D222" s="51"/>
      <c r="E222" s="14" t="n">
        <f aca="false">C222-D222</f>
        <v>416500</v>
      </c>
    </row>
    <row r="223" customFormat="false" ht="15" hidden="false" customHeight="false" outlineLevel="0" collapsed="false">
      <c r="A223" s="18" t="n">
        <v>28</v>
      </c>
      <c r="B223" s="50" t="s">
        <v>168</v>
      </c>
      <c r="C223" s="16" t="n">
        <v>416500</v>
      </c>
      <c r="D223" s="51"/>
      <c r="E223" s="14" t="n">
        <f aca="false">C223-D223</f>
        <v>416500</v>
      </c>
    </row>
    <row r="224" customFormat="false" ht="15" hidden="false" customHeight="false" outlineLevel="0" collapsed="false">
      <c r="A224" s="18" t="n">
        <v>29</v>
      </c>
      <c r="B224" s="50" t="s">
        <v>169</v>
      </c>
      <c r="C224" s="16" t="n">
        <v>416500</v>
      </c>
      <c r="D224" s="51" t="n">
        <f aca="false">216500+200000</f>
        <v>416500</v>
      </c>
      <c r="E224" s="14" t="n">
        <f aca="false">C224-D224</f>
        <v>0</v>
      </c>
    </row>
    <row r="225" customFormat="false" ht="15" hidden="false" customHeight="false" outlineLevel="0" collapsed="false">
      <c r="A225" s="18" t="n">
        <v>30</v>
      </c>
      <c r="B225" s="50" t="s">
        <v>170</v>
      </c>
      <c r="C225" s="16" t="n">
        <v>616500</v>
      </c>
      <c r="D225" s="51" t="n">
        <v>616500</v>
      </c>
      <c r="E225" s="14" t="n">
        <f aca="false">C225-D225</f>
        <v>0</v>
      </c>
    </row>
    <row r="226" customFormat="false" ht="15" hidden="false" customHeight="false" outlineLevel="0" collapsed="false">
      <c r="A226" s="18" t="n">
        <v>31</v>
      </c>
      <c r="B226" s="50" t="s">
        <v>171</v>
      </c>
      <c r="C226" s="16" t="n">
        <v>416500</v>
      </c>
      <c r="D226" s="51"/>
      <c r="E226" s="14" t="n">
        <f aca="false">C226-D226</f>
        <v>416500</v>
      </c>
    </row>
    <row r="227" customFormat="false" ht="15" hidden="false" customHeight="false" outlineLevel="0" collapsed="false">
      <c r="A227" s="18" t="n">
        <v>32</v>
      </c>
      <c r="B227" s="50" t="s">
        <v>172</v>
      </c>
      <c r="C227" s="16" t="n">
        <v>416500</v>
      </c>
      <c r="D227" s="51"/>
      <c r="E227" s="14" t="n">
        <f aca="false">C227-D227</f>
        <v>416500</v>
      </c>
    </row>
    <row r="228" customFormat="false" ht="15" hidden="false" customHeight="false" outlineLevel="0" collapsed="false">
      <c r="A228" s="18" t="n">
        <v>33</v>
      </c>
      <c r="B228" s="50" t="s">
        <v>173</v>
      </c>
      <c r="C228" s="16" t="n">
        <v>416500</v>
      </c>
      <c r="D228" s="51" t="n">
        <f aca="false">220000+80000+116500</f>
        <v>416500</v>
      </c>
      <c r="E228" s="14" t="n">
        <f aca="false">C228-D228</f>
        <v>0</v>
      </c>
    </row>
    <row r="229" customFormat="false" ht="15" hidden="false" customHeight="false" outlineLevel="0" collapsed="false">
      <c r="A229" s="18" t="n">
        <v>34</v>
      </c>
      <c r="B229" s="50" t="s">
        <v>174</v>
      </c>
      <c r="C229" s="16" t="n">
        <v>416500</v>
      </c>
      <c r="D229" s="51"/>
      <c r="E229" s="14" t="n">
        <f aca="false">C229-D229</f>
        <v>416500</v>
      </c>
    </row>
    <row r="230" customFormat="false" ht="17.35" hidden="false" customHeight="false" outlineLevel="0" collapsed="false">
      <c r="A230" s="18"/>
      <c r="B230" s="20" t="s">
        <v>22</v>
      </c>
      <c r="C230" s="21" t="n">
        <f aca="false">SUM(C196:C229)</f>
        <v>14169500</v>
      </c>
      <c r="D230" s="22" t="n">
        <f aca="false">SUM(D196:D229)</f>
        <v>9564500</v>
      </c>
      <c r="E230" s="45" t="n">
        <f aca="false">SUM(E196:E229)</f>
        <v>4438500</v>
      </c>
    </row>
    <row r="231" customFormat="false" ht="19.7" hidden="false" customHeight="false" outlineLevel="0" collapsed="false">
      <c r="A231" s="46"/>
      <c r="B231" s="57"/>
      <c r="C231" s="58"/>
      <c r="D231" s="59"/>
      <c r="E231" s="60"/>
    </row>
    <row r="232" customFormat="false" ht="15" hidden="false" customHeight="false" outlineLevel="0" collapsed="false">
      <c r="D232" s="24"/>
      <c r="E232" s="24"/>
    </row>
    <row r="233" customFormat="false" ht="15" hidden="false" customHeight="false" outlineLevel="0" collapsed="false">
      <c r="D233" s="24"/>
      <c r="E233" s="24"/>
    </row>
    <row r="234" customFormat="false" ht="17.35" hidden="false" customHeight="false" outlineLevel="0" collapsed="false">
      <c r="B234" s="2" t="s">
        <v>0</v>
      </c>
      <c r="C234" s="2"/>
      <c r="D234" s="24"/>
      <c r="E234" s="24"/>
    </row>
    <row r="235" customFormat="false" ht="15" hidden="false" customHeight="false" outlineLevel="0" collapsed="false">
      <c r="D235" s="24"/>
      <c r="E235" s="24"/>
    </row>
    <row r="236" customFormat="false" ht="15" hidden="false" customHeight="false" outlineLevel="0" collapsed="false">
      <c r="A236" s="40"/>
      <c r="D236" s="24"/>
      <c r="E236" s="24"/>
    </row>
    <row r="237" customFormat="false" ht="17.25" hidden="false" customHeight="false" outlineLevel="0" collapsed="false">
      <c r="A237" s="40"/>
      <c r="B237" s="4" t="s">
        <v>118</v>
      </c>
      <c r="D237" s="25" t="s">
        <v>23</v>
      </c>
      <c r="E237" s="24"/>
    </row>
    <row r="238" customFormat="false" ht="15" hidden="false" customHeight="false" outlineLevel="0" collapsed="false">
      <c r="A238" s="40"/>
      <c r="D238" s="24"/>
      <c r="E238" s="24"/>
    </row>
    <row r="239" customFormat="false" ht="15" hidden="false" customHeight="false" outlineLevel="0" collapsed="false">
      <c r="A239" s="6" t="s">
        <v>5</v>
      </c>
      <c r="B239" s="7" t="s">
        <v>6</v>
      </c>
      <c r="C239" s="8" t="s">
        <v>7</v>
      </c>
      <c r="D239" s="42" t="s">
        <v>8</v>
      </c>
      <c r="E239" s="43" t="s">
        <v>9</v>
      </c>
    </row>
    <row r="240" customFormat="false" ht="15" hidden="false" customHeight="false" outlineLevel="0" collapsed="false">
      <c r="A240" s="49" t="n">
        <v>1</v>
      </c>
      <c r="B240" s="50" t="s">
        <v>175</v>
      </c>
      <c r="C240" s="16" t="n">
        <v>416500</v>
      </c>
      <c r="D240" s="51" t="n">
        <f aca="false">200000+150000+66500</f>
        <v>416500</v>
      </c>
      <c r="E240" s="14" t="n">
        <f aca="false">C240-D240</f>
        <v>0</v>
      </c>
    </row>
    <row r="241" customFormat="false" ht="15" hidden="false" customHeight="false" outlineLevel="0" collapsed="false">
      <c r="A241" s="49" t="n">
        <v>2</v>
      </c>
      <c r="B241" s="50" t="s">
        <v>176</v>
      </c>
      <c r="C241" s="16" t="n">
        <v>416500</v>
      </c>
      <c r="D241" s="51"/>
      <c r="E241" s="14" t="n">
        <f aca="false">C241-D241</f>
        <v>416500</v>
      </c>
    </row>
    <row r="242" customFormat="false" ht="15" hidden="false" customHeight="false" outlineLevel="0" collapsed="false">
      <c r="A242" s="18" t="n">
        <v>3</v>
      </c>
      <c r="B242" s="50" t="s">
        <v>177</v>
      </c>
      <c r="C242" s="16" t="n">
        <v>416500</v>
      </c>
      <c r="D242" s="51"/>
      <c r="E242" s="14" t="n">
        <f aca="false">C242-D242</f>
        <v>416500</v>
      </c>
    </row>
    <row r="243" customFormat="false" ht="15" hidden="false" customHeight="false" outlineLevel="0" collapsed="false">
      <c r="A243" s="49" t="n">
        <v>4</v>
      </c>
      <c r="B243" s="50" t="s">
        <v>178</v>
      </c>
      <c r="C243" s="16" t="n">
        <v>416500</v>
      </c>
      <c r="D243" s="51"/>
      <c r="E243" s="14" t="n">
        <f aca="false">C243-D243</f>
        <v>416500</v>
      </c>
    </row>
    <row r="244" customFormat="false" ht="15" hidden="false" customHeight="false" outlineLevel="0" collapsed="false">
      <c r="A244" s="49" t="n">
        <v>5</v>
      </c>
      <c r="B244" s="50" t="s">
        <v>179</v>
      </c>
      <c r="C244" s="16" t="n">
        <v>416500</v>
      </c>
      <c r="D244" s="51"/>
      <c r="E244" s="14" t="n">
        <f aca="false">C244-D244</f>
        <v>416500</v>
      </c>
    </row>
    <row r="245" customFormat="false" ht="15" hidden="false" customHeight="false" outlineLevel="0" collapsed="false">
      <c r="A245" s="18" t="n">
        <v>6</v>
      </c>
      <c r="B245" s="50" t="s">
        <v>180</v>
      </c>
      <c r="C245" s="16" t="n">
        <v>416500</v>
      </c>
      <c r="D245" s="51"/>
      <c r="E245" s="14" t="n">
        <f aca="false">C245-D245</f>
        <v>416500</v>
      </c>
    </row>
    <row r="246" customFormat="false" ht="15" hidden="false" customHeight="false" outlineLevel="0" collapsed="false">
      <c r="A246" s="49" t="n">
        <v>7</v>
      </c>
      <c r="B246" s="50" t="s">
        <v>181</v>
      </c>
      <c r="C246" s="16" t="n">
        <v>416500</v>
      </c>
      <c r="D246" s="51" t="n">
        <v>416500</v>
      </c>
      <c r="E246" s="14" t="n">
        <f aca="false">C246-D246</f>
        <v>0</v>
      </c>
    </row>
    <row r="247" customFormat="false" ht="15" hidden="false" customHeight="false" outlineLevel="0" collapsed="false">
      <c r="A247" s="49" t="n">
        <v>8</v>
      </c>
      <c r="B247" s="50" t="s">
        <v>182</v>
      </c>
      <c r="C247" s="16" t="n">
        <v>416500</v>
      </c>
      <c r="D247" s="51"/>
      <c r="E247" s="14" t="n">
        <f aca="false">C247-D247</f>
        <v>416500</v>
      </c>
    </row>
    <row r="248" customFormat="false" ht="15" hidden="false" customHeight="false" outlineLevel="0" collapsed="false">
      <c r="A248" s="18" t="n">
        <v>9</v>
      </c>
      <c r="B248" s="50" t="s">
        <v>183</v>
      </c>
      <c r="C248" s="16" t="n">
        <v>416500</v>
      </c>
      <c r="D248" s="51"/>
      <c r="E248" s="14" t="n">
        <f aca="false">C248-D248</f>
        <v>416500</v>
      </c>
    </row>
    <row r="249" customFormat="false" ht="15" hidden="false" customHeight="false" outlineLevel="0" collapsed="false">
      <c r="A249" s="49" t="n">
        <v>10</v>
      </c>
      <c r="B249" s="50" t="s">
        <v>184</v>
      </c>
      <c r="C249" s="16" t="n">
        <v>416500</v>
      </c>
      <c r="D249" s="51"/>
      <c r="E249" s="14" t="n">
        <f aca="false">C249-D249</f>
        <v>416500</v>
      </c>
    </row>
    <row r="250" customFormat="false" ht="15" hidden="false" customHeight="false" outlineLevel="0" collapsed="false">
      <c r="A250" s="49" t="n">
        <v>11</v>
      </c>
      <c r="B250" s="50" t="s">
        <v>185</v>
      </c>
      <c r="C250" s="16" t="n">
        <v>416500</v>
      </c>
      <c r="D250" s="51" t="n">
        <v>416500</v>
      </c>
      <c r="E250" s="14" t="n">
        <f aca="false">C250-D250</f>
        <v>0</v>
      </c>
    </row>
    <row r="251" customFormat="false" ht="15" hidden="false" customHeight="false" outlineLevel="0" collapsed="false">
      <c r="A251" s="18" t="n">
        <v>12</v>
      </c>
      <c r="B251" s="50" t="s">
        <v>186</v>
      </c>
      <c r="C251" s="16" t="n">
        <v>416500</v>
      </c>
      <c r="D251" s="51"/>
      <c r="E251" s="14" t="n">
        <f aca="false">C251-D251</f>
        <v>416500</v>
      </c>
    </row>
    <row r="252" customFormat="false" ht="15" hidden="false" customHeight="false" outlineLevel="0" collapsed="false">
      <c r="A252" s="49" t="n">
        <v>13</v>
      </c>
      <c r="B252" s="50" t="s">
        <v>187</v>
      </c>
      <c r="C252" s="16" t="n">
        <v>416500</v>
      </c>
      <c r="D252" s="51" t="n">
        <f aca="false">190000</f>
        <v>190000</v>
      </c>
      <c r="E252" s="14" t="n">
        <f aca="false">C252-D252</f>
        <v>226500</v>
      </c>
    </row>
    <row r="253" customFormat="false" ht="15" hidden="false" customHeight="false" outlineLevel="0" collapsed="false">
      <c r="A253" s="49" t="n">
        <v>14</v>
      </c>
      <c r="B253" s="50" t="s">
        <v>188</v>
      </c>
      <c r="C253" s="16" t="n">
        <v>416500</v>
      </c>
      <c r="D253" s="51" t="n">
        <v>416500</v>
      </c>
      <c r="E253" s="14" t="n">
        <f aca="false">C253-D253</f>
        <v>0</v>
      </c>
    </row>
    <row r="254" customFormat="false" ht="15" hidden="false" customHeight="false" outlineLevel="0" collapsed="false">
      <c r="A254" s="18" t="n">
        <v>15</v>
      </c>
      <c r="B254" s="50" t="s">
        <v>189</v>
      </c>
      <c r="C254" s="16" t="n">
        <v>416500</v>
      </c>
      <c r="D254" s="51" t="n">
        <v>483000</v>
      </c>
      <c r="E254" s="14" t="n">
        <f aca="false">C254-D254</f>
        <v>-66500</v>
      </c>
    </row>
    <row r="255" customFormat="false" ht="15" hidden="false" customHeight="false" outlineLevel="0" collapsed="false">
      <c r="A255" s="49" t="n">
        <v>16</v>
      </c>
      <c r="B255" s="50" t="s">
        <v>190</v>
      </c>
      <c r="C255" s="16" t="n">
        <v>416500</v>
      </c>
      <c r="D255" s="51" t="n">
        <v>416500</v>
      </c>
      <c r="E255" s="14" t="n">
        <f aca="false">C255-D255</f>
        <v>0</v>
      </c>
    </row>
    <row r="256" customFormat="false" ht="15" hidden="false" customHeight="false" outlineLevel="0" collapsed="false">
      <c r="A256" s="49" t="n">
        <v>17</v>
      </c>
      <c r="B256" s="50" t="s">
        <v>191</v>
      </c>
      <c r="C256" s="16" t="n">
        <v>416500</v>
      </c>
      <c r="D256" s="51" t="n">
        <f aca="false">16500+216500+183500</f>
        <v>416500</v>
      </c>
      <c r="E256" s="14" t="n">
        <f aca="false">C256-D256</f>
        <v>0</v>
      </c>
    </row>
    <row r="257" customFormat="false" ht="15" hidden="false" customHeight="false" outlineLevel="0" collapsed="false">
      <c r="A257" s="18" t="n">
        <v>18</v>
      </c>
      <c r="B257" s="50" t="s">
        <v>192</v>
      </c>
      <c r="C257" s="13" t="n">
        <v>416500</v>
      </c>
      <c r="D257" s="51"/>
      <c r="E257" s="14" t="n">
        <f aca="false">C257-D257</f>
        <v>416500</v>
      </c>
    </row>
    <row r="258" customFormat="false" ht="15" hidden="false" customHeight="false" outlineLevel="0" collapsed="false">
      <c r="A258" s="49" t="n">
        <v>19</v>
      </c>
      <c r="B258" s="50" t="s">
        <v>193</v>
      </c>
      <c r="C258" s="16" t="n">
        <v>416500</v>
      </c>
      <c r="D258" s="51" t="n">
        <f aca="false">250000</f>
        <v>250000</v>
      </c>
      <c r="E258" s="14" t="n">
        <f aca="false">C258-D258</f>
        <v>166500</v>
      </c>
    </row>
    <row r="259" customFormat="false" ht="15" hidden="false" customHeight="false" outlineLevel="0" collapsed="false">
      <c r="A259" s="49" t="n">
        <v>20</v>
      </c>
      <c r="B259" s="50" t="s">
        <v>194</v>
      </c>
      <c r="C259" s="13" t="n">
        <v>416500</v>
      </c>
      <c r="D259" s="51"/>
      <c r="E259" s="14" t="n">
        <f aca="false">C259-D259</f>
        <v>416500</v>
      </c>
    </row>
    <row r="260" customFormat="false" ht="15" hidden="false" customHeight="false" outlineLevel="0" collapsed="false">
      <c r="A260" s="18" t="n">
        <v>21</v>
      </c>
      <c r="B260" s="50" t="s">
        <v>195</v>
      </c>
      <c r="C260" s="13" t="n">
        <v>416500</v>
      </c>
      <c r="D260" s="51"/>
      <c r="E260" s="14" t="n">
        <f aca="false">C260-D260</f>
        <v>416500</v>
      </c>
    </row>
    <row r="261" customFormat="false" ht="15" hidden="false" customHeight="false" outlineLevel="0" collapsed="false">
      <c r="A261" s="49" t="n">
        <v>22</v>
      </c>
      <c r="B261" s="50" t="s">
        <v>196</v>
      </c>
      <c r="C261" s="13" t="n">
        <v>416500</v>
      </c>
      <c r="D261" s="51"/>
      <c r="E261" s="14" t="n">
        <f aca="false">C261-D261</f>
        <v>416500</v>
      </c>
    </row>
    <row r="262" customFormat="false" ht="15" hidden="false" customHeight="false" outlineLevel="0" collapsed="false">
      <c r="A262" s="49" t="n">
        <v>23</v>
      </c>
      <c r="B262" s="50" t="s">
        <v>197</v>
      </c>
      <c r="C262" s="16" t="n">
        <v>416500</v>
      </c>
      <c r="D262" s="51" t="n">
        <f aca="false">93500+80000+165000+78000</f>
        <v>416500</v>
      </c>
      <c r="E262" s="14" t="n">
        <f aca="false">C262-D262</f>
        <v>0</v>
      </c>
    </row>
    <row r="263" customFormat="false" ht="17.35" hidden="false" customHeight="false" outlineLevel="0" collapsed="false">
      <c r="A263" s="19"/>
      <c r="B263" s="20" t="s">
        <v>22</v>
      </c>
      <c r="C263" s="21" t="n">
        <f aca="false">SUM(C240:C262)</f>
        <v>9579500</v>
      </c>
      <c r="D263" s="22" t="n">
        <f aca="false">SUM(D240:D262)</f>
        <v>3838500</v>
      </c>
      <c r="E263" s="45" t="n">
        <f aca="false">SUM(E240:E262)</f>
        <v>5741000</v>
      </c>
    </row>
    <row r="264" customFormat="false" ht="17.35" hidden="false" customHeight="false" outlineLevel="0" collapsed="false">
      <c r="B264" s="36"/>
      <c r="C264" s="37"/>
      <c r="D264" s="38"/>
      <c r="E264" s="39"/>
    </row>
    <row r="265" customFormat="false" ht="17.35" hidden="false" customHeight="false" outlineLevel="0" collapsed="false">
      <c r="B265" s="36"/>
      <c r="C265" s="37"/>
      <c r="D265" s="38"/>
      <c r="E265" s="39"/>
    </row>
    <row r="266" customFormat="false" ht="17.35" hidden="false" customHeight="false" outlineLevel="0" collapsed="false">
      <c r="B266" s="36"/>
      <c r="C266" s="37"/>
      <c r="D266" s="38"/>
      <c r="E266" s="39"/>
    </row>
    <row r="267" customFormat="false" ht="17.35" hidden="false" customHeight="false" outlineLevel="0" collapsed="false">
      <c r="A267" s="40"/>
      <c r="B267" s="2" t="s">
        <v>0</v>
      </c>
      <c r="D267" s="24"/>
      <c r="E267" s="24"/>
    </row>
    <row r="268" customFormat="false" ht="17.35" hidden="false" customHeight="false" outlineLevel="0" collapsed="false">
      <c r="A268" s="62"/>
      <c r="D268" s="24"/>
      <c r="E268" s="24"/>
    </row>
    <row r="269" customFormat="false" ht="15" hidden="false" customHeight="false" outlineLevel="0" collapsed="false">
      <c r="A269" s="40"/>
      <c r="D269" s="24"/>
      <c r="E269" s="24"/>
    </row>
    <row r="270" customFormat="false" ht="17.25" hidden="false" customHeight="false" outlineLevel="0" collapsed="false">
      <c r="A270" s="40"/>
      <c r="B270" s="4" t="s">
        <v>198</v>
      </c>
      <c r="D270" s="24"/>
      <c r="E270" s="24"/>
    </row>
    <row r="271" customFormat="false" ht="15" hidden="false" customHeight="false" outlineLevel="0" collapsed="false">
      <c r="A271" s="40"/>
      <c r="D271" s="25" t="s">
        <v>4</v>
      </c>
      <c r="E271" s="24"/>
    </row>
    <row r="272" customFormat="false" ht="15" hidden="false" customHeight="false" outlineLevel="0" collapsed="false">
      <c r="A272" s="40"/>
      <c r="D272" s="24"/>
      <c r="E272" s="24"/>
    </row>
    <row r="273" customFormat="false" ht="15" hidden="false" customHeight="false" outlineLevel="0" collapsed="false">
      <c r="A273" s="6" t="s">
        <v>5</v>
      </c>
      <c r="B273" s="7" t="s">
        <v>6</v>
      </c>
      <c r="C273" s="8" t="s">
        <v>7</v>
      </c>
      <c r="D273" s="42" t="s">
        <v>8</v>
      </c>
      <c r="E273" s="43" t="s">
        <v>9</v>
      </c>
    </row>
    <row r="274" customFormat="false" ht="15" hidden="false" customHeight="false" outlineLevel="0" collapsed="false">
      <c r="A274" s="63" t="n">
        <v>1</v>
      </c>
      <c r="B274" s="64" t="s">
        <v>199</v>
      </c>
      <c r="C274" s="65" t="n">
        <v>416500</v>
      </c>
      <c r="D274" s="13" t="n">
        <f aca="false">316000</f>
        <v>316000</v>
      </c>
      <c r="E274" s="14" t="n">
        <f aca="false">C274-D274</f>
        <v>100500</v>
      </c>
    </row>
    <row r="275" customFormat="false" ht="15" hidden="false" customHeight="false" outlineLevel="0" collapsed="false">
      <c r="A275" s="66" t="n">
        <v>2</v>
      </c>
      <c r="B275" s="50" t="s">
        <v>200</v>
      </c>
      <c r="C275" s="65" t="n">
        <v>416500</v>
      </c>
      <c r="D275" s="13"/>
      <c r="E275" s="14" t="n">
        <f aca="false">C275-D275</f>
        <v>416500</v>
      </c>
    </row>
    <row r="276" customFormat="false" ht="15" hidden="false" customHeight="false" outlineLevel="0" collapsed="false">
      <c r="A276" s="63" t="n">
        <v>3</v>
      </c>
      <c r="B276" s="64" t="s">
        <v>201</v>
      </c>
      <c r="C276" s="65" t="n">
        <v>416500</v>
      </c>
      <c r="D276" s="13" t="n">
        <f aca="false">200000+16500+200000</f>
        <v>416500</v>
      </c>
      <c r="E276" s="14" t="n">
        <f aca="false">C276-D276</f>
        <v>0</v>
      </c>
    </row>
    <row r="277" customFormat="false" ht="15" hidden="false" customHeight="false" outlineLevel="0" collapsed="false">
      <c r="A277" s="63" t="n">
        <v>4</v>
      </c>
      <c r="B277" s="67" t="s">
        <v>202</v>
      </c>
      <c r="C277" s="65" t="n">
        <v>416500</v>
      </c>
      <c r="D277" s="13" t="n">
        <f aca="false">150000</f>
        <v>150000</v>
      </c>
      <c r="E277" s="14" t="n">
        <f aca="false">C277-D277</f>
        <v>266500</v>
      </c>
    </row>
    <row r="278" customFormat="false" ht="15" hidden="false" customHeight="false" outlineLevel="0" collapsed="false">
      <c r="A278" s="66" t="n">
        <v>5</v>
      </c>
      <c r="B278" s="32" t="s">
        <v>203</v>
      </c>
      <c r="C278" s="65" t="n">
        <v>416500</v>
      </c>
      <c r="D278" s="13" t="n">
        <f aca="false">216000+100000+100500</f>
        <v>416500</v>
      </c>
      <c r="E278" s="14" t="n">
        <f aca="false">C278-D278</f>
        <v>0</v>
      </c>
    </row>
    <row r="279" customFormat="false" ht="15" hidden="false" customHeight="false" outlineLevel="0" collapsed="false">
      <c r="A279" s="63" t="n">
        <v>6</v>
      </c>
      <c r="B279" s="68" t="s">
        <v>204</v>
      </c>
      <c r="C279" s="65" t="n">
        <v>416500</v>
      </c>
      <c r="D279" s="13" t="n">
        <f aca="false">100000</f>
        <v>100000</v>
      </c>
      <c r="E279" s="14" t="n">
        <f aca="false">C279-D279</f>
        <v>316500</v>
      </c>
    </row>
    <row r="280" customFormat="false" ht="15" hidden="false" customHeight="false" outlineLevel="0" collapsed="false">
      <c r="A280" s="63" t="n">
        <v>7</v>
      </c>
      <c r="B280" s="32" t="s">
        <v>205</v>
      </c>
      <c r="C280" s="65" t="n">
        <v>416500</v>
      </c>
      <c r="D280" s="51" t="n">
        <f aca="false">49500+367000</f>
        <v>416500</v>
      </c>
      <c r="E280" s="14" t="n">
        <f aca="false">C280-D280</f>
        <v>0</v>
      </c>
    </row>
    <row r="281" customFormat="false" ht="15" hidden="false" customHeight="false" outlineLevel="0" collapsed="false">
      <c r="A281" s="66" t="n">
        <v>8</v>
      </c>
      <c r="B281" s="32" t="s">
        <v>206</v>
      </c>
      <c r="C281" s="65" t="n">
        <v>416500</v>
      </c>
      <c r="D281" s="13" t="n">
        <f aca="false">100000+248000+68500</f>
        <v>416500</v>
      </c>
      <c r="E281" s="14" t="n">
        <f aca="false">C281-D281</f>
        <v>0</v>
      </c>
    </row>
    <row r="282" customFormat="false" ht="15" hidden="false" customHeight="false" outlineLevel="0" collapsed="false">
      <c r="A282" s="63" t="n">
        <v>9</v>
      </c>
      <c r="B282" s="68" t="s">
        <v>207</v>
      </c>
      <c r="C282" s="65" t="n">
        <v>416500</v>
      </c>
      <c r="D282" s="13" t="n">
        <f aca="false">216000+100000+100500</f>
        <v>416500</v>
      </c>
      <c r="E282" s="14" t="n">
        <f aca="false">C282-D282</f>
        <v>0</v>
      </c>
    </row>
    <row r="283" customFormat="false" ht="15" hidden="false" customHeight="false" outlineLevel="0" collapsed="false">
      <c r="A283" s="63" t="n">
        <v>10</v>
      </c>
      <c r="B283" s="32" t="s">
        <v>208</v>
      </c>
      <c r="C283" s="65" t="n">
        <v>416500</v>
      </c>
      <c r="D283" s="13" t="n">
        <f aca="false">149500+200000+67000</f>
        <v>416500</v>
      </c>
      <c r="E283" s="14" t="n">
        <f aca="false">C283-D283</f>
        <v>0</v>
      </c>
    </row>
    <row r="284" customFormat="false" ht="15" hidden="false" customHeight="false" outlineLevel="0" collapsed="false">
      <c r="A284" s="66" t="n">
        <v>11</v>
      </c>
      <c r="B284" s="32" t="s">
        <v>209</v>
      </c>
      <c r="C284" s="65" t="n">
        <v>416500</v>
      </c>
      <c r="D284" s="13" t="n">
        <f aca="false">198500+120000+98000</f>
        <v>416500</v>
      </c>
      <c r="E284" s="14" t="n">
        <f aca="false">C284-D284</f>
        <v>0</v>
      </c>
    </row>
    <row r="285" customFormat="false" ht="15" hidden="false" customHeight="false" outlineLevel="0" collapsed="false">
      <c r="A285" s="63" t="n">
        <v>12</v>
      </c>
      <c r="B285" s="32" t="s">
        <v>210</v>
      </c>
      <c r="C285" s="65" t="n">
        <v>416500</v>
      </c>
      <c r="D285" s="13" t="n">
        <f aca="false">150000+100000+166500</f>
        <v>416500</v>
      </c>
      <c r="E285" s="14" t="n">
        <f aca="false">C285-D285</f>
        <v>0</v>
      </c>
    </row>
    <row r="286" customFormat="false" ht="15" hidden="false" customHeight="false" outlineLevel="0" collapsed="false">
      <c r="A286" s="63" t="n">
        <v>13</v>
      </c>
      <c r="B286" s="32" t="s">
        <v>211</v>
      </c>
      <c r="C286" s="65" t="n">
        <v>416500</v>
      </c>
      <c r="D286" s="13"/>
      <c r="E286" s="14" t="n">
        <f aca="false">C286-D286</f>
        <v>416500</v>
      </c>
    </row>
    <row r="287" customFormat="false" ht="15" hidden="false" customHeight="false" outlineLevel="0" collapsed="false">
      <c r="A287" s="66"/>
      <c r="B287" s="32" t="s">
        <v>212</v>
      </c>
      <c r="C287" s="65" t="n">
        <v>416500</v>
      </c>
      <c r="D287" s="13" t="n">
        <v>416500</v>
      </c>
      <c r="E287" s="14" t="n">
        <f aca="false">C287-D287</f>
        <v>0</v>
      </c>
    </row>
    <row r="288" customFormat="false" ht="15" hidden="false" customHeight="false" outlineLevel="0" collapsed="false">
      <c r="A288" s="66" t="n">
        <v>14</v>
      </c>
      <c r="B288" s="32" t="s">
        <v>213</v>
      </c>
      <c r="C288" s="65" t="n">
        <v>416500</v>
      </c>
      <c r="D288" s="13" t="n">
        <f aca="false">104000</f>
        <v>104000</v>
      </c>
      <c r="E288" s="14" t="n">
        <f aca="false">C288-D288</f>
        <v>312500</v>
      </c>
    </row>
    <row r="289" customFormat="false" ht="15" hidden="false" customHeight="false" outlineLevel="0" collapsed="false">
      <c r="A289" s="63" t="n">
        <v>15</v>
      </c>
      <c r="B289" s="32" t="s">
        <v>214</v>
      </c>
      <c r="C289" s="65" t="n">
        <v>416500</v>
      </c>
      <c r="D289" s="13"/>
      <c r="E289" s="14" t="n">
        <f aca="false">C289-D289</f>
        <v>416500</v>
      </c>
    </row>
    <row r="290" customFormat="false" ht="15" hidden="false" customHeight="false" outlineLevel="0" collapsed="false">
      <c r="A290" s="63" t="n">
        <v>16</v>
      </c>
      <c r="B290" s="32" t="s">
        <v>215</v>
      </c>
      <c r="C290" s="65" t="n">
        <v>416500</v>
      </c>
      <c r="D290" s="13" t="n">
        <f aca="false">230000+100000+86500</f>
        <v>416500</v>
      </c>
      <c r="E290" s="14" t="n">
        <f aca="false">C290-D290</f>
        <v>0</v>
      </c>
    </row>
    <row r="291" customFormat="false" ht="15" hidden="false" customHeight="false" outlineLevel="0" collapsed="false">
      <c r="A291" s="66" t="n">
        <v>17</v>
      </c>
      <c r="B291" s="32" t="s">
        <v>216</v>
      </c>
      <c r="C291" s="65" t="n">
        <v>416500</v>
      </c>
      <c r="D291" s="13" t="n">
        <f aca="false">100000+50000+266500</f>
        <v>416500</v>
      </c>
      <c r="E291" s="14" t="n">
        <f aca="false">C291-D291</f>
        <v>0</v>
      </c>
    </row>
    <row r="292" customFormat="false" ht="15" hidden="false" customHeight="false" outlineLevel="0" collapsed="false">
      <c r="A292" s="63" t="n">
        <v>18</v>
      </c>
      <c r="B292" s="50" t="s">
        <v>217</v>
      </c>
      <c r="C292" s="65" t="n">
        <v>416500</v>
      </c>
      <c r="D292" s="13" t="n">
        <f aca="false">99500+117000+200000</f>
        <v>416500</v>
      </c>
      <c r="E292" s="14" t="n">
        <f aca="false">C292-D292</f>
        <v>0</v>
      </c>
    </row>
    <row r="293" customFormat="false" ht="17.35" hidden="false" customHeight="false" outlineLevel="0" collapsed="false">
      <c r="A293" s="19"/>
      <c r="B293" s="20" t="s">
        <v>22</v>
      </c>
      <c r="C293" s="21" t="n">
        <f aca="false">SUM(C274:C292)</f>
        <v>7913500</v>
      </c>
      <c r="D293" s="22" t="n">
        <f aca="false">SUM(D274:D292)</f>
        <v>5668000</v>
      </c>
      <c r="E293" s="45" t="n">
        <f aca="false">SUM(E274:E292)</f>
        <v>2245500</v>
      </c>
    </row>
    <row r="294" customFormat="false" ht="17.35" hidden="false" customHeight="false" outlineLevel="0" collapsed="false">
      <c r="B294" s="36"/>
      <c r="C294" s="37"/>
      <c r="D294" s="38"/>
      <c r="E294" s="39"/>
    </row>
    <row r="295" customFormat="false" ht="17.35" hidden="false" customHeight="false" outlineLevel="0" collapsed="false">
      <c r="B295" s="69"/>
      <c r="C295" s="58"/>
      <c r="D295" s="59"/>
      <c r="E295" s="60"/>
    </row>
    <row r="296" customFormat="false" ht="17.35" hidden="false" customHeight="false" outlineLevel="0" collapsed="false">
      <c r="A296" s="40"/>
      <c r="B296" s="2" t="s">
        <v>0</v>
      </c>
      <c r="D296" s="24"/>
      <c r="E296" s="24"/>
    </row>
    <row r="297" customFormat="false" ht="17.35" hidden="false" customHeight="false" outlineLevel="0" collapsed="false">
      <c r="A297" s="62"/>
      <c r="D297" s="24"/>
      <c r="E297" s="24"/>
    </row>
    <row r="298" customFormat="false" ht="15" hidden="false" customHeight="false" outlineLevel="0" collapsed="false">
      <c r="A298" s="40"/>
      <c r="D298" s="24"/>
      <c r="E298" s="24"/>
    </row>
    <row r="299" customFormat="false" ht="17.25" hidden="false" customHeight="false" outlineLevel="0" collapsed="false">
      <c r="A299" s="40"/>
      <c r="B299" s="4" t="s">
        <v>198</v>
      </c>
      <c r="D299" s="24"/>
      <c r="E299" s="24"/>
    </row>
    <row r="300" customFormat="false" ht="15" hidden="false" customHeight="false" outlineLevel="0" collapsed="false">
      <c r="A300" s="40"/>
      <c r="D300" s="25" t="s">
        <v>51</v>
      </c>
      <c r="E300" s="24"/>
    </row>
    <row r="301" customFormat="false" ht="15" hidden="false" customHeight="false" outlineLevel="0" collapsed="false">
      <c r="A301" s="40"/>
      <c r="D301" s="24"/>
      <c r="E301" s="24"/>
    </row>
    <row r="302" customFormat="false" ht="15" hidden="false" customHeight="false" outlineLevel="0" collapsed="false">
      <c r="A302" s="6" t="s">
        <v>5</v>
      </c>
      <c r="B302" s="7" t="s">
        <v>6</v>
      </c>
      <c r="C302" s="8" t="s">
        <v>7</v>
      </c>
      <c r="D302" s="42" t="s">
        <v>8</v>
      </c>
      <c r="E302" s="43" t="s">
        <v>9</v>
      </c>
    </row>
    <row r="303" customFormat="false" ht="15" hidden="false" customHeight="false" outlineLevel="0" collapsed="false">
      <c r="A303" s="70" t="n">
        <v>1</v>
      </c>
      <c r="B303" s="32" t="s">
        <v>218</v>
      </c>
      <c r="C303" s="13" t="n">
        <v>416500</v>
      </c>
      <c r="D303" s="52" t="n">
        <f aca="false">201000+215500</f>
        <v>416500</v>
      </c>
      <c r="E303" s="14" t="n">
        <f aca="false">C303-D303</f>
        <v>0</v>
      </c>
    </row>
    <row r="304" customFormat="false" ht="15" hidden="false" customHeight="false" outlineLevel="0" collapsed="false">
      <c r="A304" s="70" t="n">
        <v>2</v>
      </c>
      <c r="B304" s="32" t="s">
        <v>219</v>
      </c>
      <c r="C304" s="13" t="n">
        <v>416500</v>
      </c>
      <c r="D304" s="52" t="n">
        <f aca="false">400000+16500</f>
        <v>416500</v>
      </c>
      <c r="E304" s="14" t="n">
        <f aca="false">C304-D304</f>
        <v>0</v>
      </c>
    </row>
    <row r="305" customFormat="false" ht="15" hidden="false" customHeight="false" outlineLevel="0" collapsed="false">
      <c r="A305" s="71" t="n">
        <v>3</v>
      </c>
      <c r="B305" s="32" t="s">
        <v>220</v>
      </c>
      <c r="C305" s="13" t="n">
        <v>416500</v>
      </c>
      <c r="D305" s="13" t="n">
        <v>416500</v>
      </c>
      <c r="E305" s="14" t="n">
        <f aca="false">C305-D305</f>
        <v>0</v>
      </c>
    </row>
    <row r="306" customFormat="false" ht="15" hidden="false" customHeight="false" outlineLevel="0" collapsed="false">
      <c r="A306" s="70" t="n">
        <v>4</v>
      </c>
      <c r="B306" s="50" t="s">
        <v>221</v>
      </c>
      <c r="C306" s="16" t="n">
        <v>416500</v>
      </c>
      <c r="D306" s="13" t="n">
        <f aca="false">383500+33000</f>
        <v>416500</v>
      </c>
      <c r="E306" s="14" t="n">
        <f aca="false">C306-D306</f>
        <v>0</v>
      </c>
    </row>
    <row r="307" customFormat="false" ht="15" hidden="false" customHeight="false" outlineLevel="0" collapsed="false">
      <c r="A307" s="70" t="n">
        <v>5</v>
      </c>
      <c r="B307" s="32" t="s">
        <v>222</v>
      </c>
      <c r="C307" s="16" t="n">
        <v>416500</v>
      </c>
      <c r="D307" s="13"/>
      <c r="E307" s="14" t="n">
        <f aca="false">C307-D307</f>
        <v>416500</v>
      </c>
    </row>
    <row r="308" customFormat="false" ht="15" hidden="false" customHeight="false" outlineLevel="0" collapsed="false">
      <c r="A308" s="71" t="n">
        <v>6</v>
      </c>
      <c r="B308" s="68" t="s">
        <v>223</v>
      </c>
      <c r="C308" s="13" t="n">
        <v>416500</v>
      </c>
      <c r="D308" s="13" t="n">
        <f aca="false">200000+16500+100000+100000</f>
        <v>416500</v>
      </c>
      <c r="E308" s="14" t="n">
        <f aca="false">C308-D308</f>
        <v>0</v>
      </c>
    </row>
    <row r="309" customFormat="false" ht="15" hidden="false" customHeight="false" outlineLevel="0" collapsed="false">
      <c r="A309" s="70" t="n">
        <v>7</v>
      </c>
      <c r="B309" s="68" t="s">
        <v>224</v>
      </c>
      <c r="C309" s="16" t="n">
        <v>416500</v>
      </c>
      <c r="D309" s="13"/>
      <c r="E309" s="14" t="n">
        <f aca="false">C309-D309</f>
        <v>416500</v>
      </c>
    </row>
    <row r="310" customFormat="false" ht="15" hidden="false" customHeight="false" outlineLevel="0" collapsed="false">
      <c r="A310" s="70" t="n">
        <v>8</v>
      </c>
      <c r="B310" s="32" t="s">
        <v>225</v>
      </c>
      <c r="C310" s="16" t="n">
        <v>416500</v>
      </c>
      <c r="D310" s="13" t="n">
        <v>416500</v>
      </c>
      <c r="E310" s="14" t="n">
        <f aca="false">C310-D310</f>
        <v>0</v>
      </c>
    </row>
    <row r="311" customFormat="false" ht="15" hidden="false" customHeight="false" outlineLevel="0" collapsed="false">
      <c r="A311" s="71" t="n">
        <v>9</v>
      </c>
      <c r="B311" s="32" t="s">
        <v>226</v>
      </c>
      <c r="C311" s="16" t="n">
        <v>416500</v>
      </c>
      <c r="D311" s="13" t="n">
        <f aca="false">49500</f>
        <v>49500</v>
      </c>
      <c r="E311" s="14" t="n">
        <f aca="false">C311-D311</f>
        <v>367000</v>
      </c>
    </row>
    <row r="312" customFormat="false" ht="15" hidden="false" customHeight="false" outlineLevel="0" collapsed="false">
      <c r="A312" s="70" t="n">
        <v>10</v>
      </c>
      <c r="B312" s="32" t="s">
        <v>227</v>
      </c>
      <c r="C312" s="16" t="n">
        <v>416500</v>
      </c>
      <c r="D312" s="13" t="n">
        <v>416500</v>
      </c>
      <c r="E312" s="14" t="n">
        <f aca="false">C312-D312</f>
        <v>0</v>
      </c>
    </row>
    <row r="313" customFormat="false" ht="15" hidden="false" customHeight="false" outlineLevel="0" collapsed="false">
      <c r="A313" s="70" t="n">
        <v>11</v>
      </c>
      <c r="B313" s="32" t="s">
        <v>228</v>
      </c>
      <c r="C313" s="16" t="n">
        <v>416500</v>
      </c>
      <c r="D313" s="13"/>
      <c r="E313" s="14" t="n">
        <f aca="false">C313-D313</f>
        <v>416500</v>
      </c>
    </row>
    <row r="314" customFormat="false" ht="15" hidden="false" customHeight="false" outlineLevel="0" collapsed="false">
      <c r="A314" s="71" t="n">
        <v>12</v>
      </c>
      <c r="B314" s="32" t="s">
        <v>229</v>
      </c>
      <c r="C314" s="16" t="n">
        <v>416500</v>
      </c>
      <c r="D314" s="13" t="n">
        <f aca="false">216500+200000</f>
        <v>416500</v>
      </c>
      <c r="E314" s="14" t="n">
        <f aca="false">C314-D314</f>
        <v>0</v>
      </c>
    </row>
    <row r="315" customFormat="false" ht="15" hidden="false" customHeight="false" outlineLevel="0" collapsed="false">
      <c r="A315" s="70" t="n">
        <v>13</v>
      </c>
      <c r="B315" s="32" t="s">
        <v>230</v>
      </c>
      <c r="C315" s="16" t="n">
        <v>416500</v>
      </c>
      <c r="D315" s="13"/>
      <c r="E315" s="14" t="n">
        <f aca="false">C315-D315</f>
        <v>416500</v>
      </c>
    </row>
    <row r="316" customFormat="false" ht="15" hidden="false" customHeight="false" outlineLevel="0" collapsed="false">
      <c r="A316" s="70" t="n">
        <v>14</v>
      </c>
      <c r="B316" s="32" t="s">
        <v>231</v>
      </c>
      <c r="C316" s="16" t="n">
        <v>416500</v>
      </c>
      <c r="D316" s="13" t="n">
        <f aca="false">415500</f>
        <v>415500</v>
      </c>
      <c r="E316" s="14" t="n">
        <f aca="false">C316-D316</f>
        <v>1000</v>
      </c>
    </row>
    <row r="317" customFormat="false" ht="15" hidden="false" customHeight="false" outlineLevel="0" collapsed="false">
      <c r="A317" s="71" t="n">
        <v>15</v>
      </c>
      <c r="B317" s="32" t="s">
        <v>232</v>
      </c>
      <c r="C317" s="16" t="n">
        <v>416500</v>
      </c>
      <c r="D317" s="13" t="n">
        <v>416500</v>
      </c>
      <c r="E317" s="14" t="n">
        <f aca="false">C317-D317</f>
        <v>0</v>
      </c>
    </row>
    <row r="318" customFormat="false" ht="15" hidden="false" customHeight="false" outlineLevel="0" collapsed="false">
      <c r="A318" s="70" t="n">
        <v>16</v>
      </c>
      <c r="B318" s="32" t="s">
        <v>233</v>
      </c>
      <c r="C318" s="16" t="n">
        <v>416500</v>
      </c>
      <c r="D318" s="13" t="n">
        <v>416500</v>
      </c>
      <c r="E318" s="14" t="n">
        <f aca="false">C318-D318</f>
        <v>0</v>
      </c>
    </row>
    <row r="319" customFormat="false" ht="15" hidden="false" customHeight="false" outlineLevel="0" collapsed="false">
      <c r="A319" s="70" t="n">
        <v>17</v>
      </c>
      <c r="B319" s="32" t="s">
        <v>234</v>
      </c>
      <c r="C319" s="16" t="n">
        <v>416500</v>
      </c>
      <c r="D319" s="13"/>
      <c r="E319" s="14" t="n">
        <f aca="false">C319-D319</f>
        <v>416500</v>
      </c>
    </row>
    <row r="320" customFormat="false" ht="15" hidden="false" customHeight="false" outlineLevel="0" collapsed="false">
      <c r="A320" s="71" t="n">
        <v>18</v>
      </c>
      <c r="B320" s="32" t="s">
        <v>235</v>
      </c>
      <c r="C320" s="16" t="n">
        <v>416500</v>
      </c>
      <c r="D320" s="13" t="n">
        <f aca="false">183500+45000+188000</f>
        <v>416500</v>
      </c>
      <c r="E320" s="14" t="n">
        <f aca="false">C320-D320</f>
        <v>0</v>
      </c>
    </row>
    <row r="321" customFormat="false" ht="15" hidden="false" customHeight="false" outlineLevel="0" collapsed="false">
      <c r="A321" s="70" t="n">
        <v>19</v>
      </c>
      <c r="B321" s="32" t="s">
        <v>236</v>
      </c>
      <c r="C321" s="13" t="n">
        <v>416500</v>
      </c>
      <c r="D321" s="13" t="n">
        <v>416500</v>
      </c>
      <c r="E321" s="14" t="n">
        <f aca="false">C321-D321</f>
        <v>0</v>
      </c>
    </row>
    <row r="322" customFormat="false" ht="15" hidden="false" customHeight="false" outlineLevel="0" collapsed="false">
      <c r="A322" s="70" t="n">
        <v>20</v>
      </c>
      <c r="B322" s="32" t="s">
        <v>237</v>
      </c>
      <c r="C322" s="13" t="n">
        <v>416500</v>
      </c>
      <c r="D322" s="13" t="n">
        <f aca="false">163500+46500+206500</f>
        <v>416500</v>
      </c>
      <c r="E322" s="14" t="n">
        <f aca="false">C322-D322</f>
        <v>0</v>
      </c>
    </row>
    <row r="323" customFormat="false" ht="15" hidden="false" customHeight="false" outlineLevel="0" collapsed="false">
      <c r="A323" s="71" t="n">
        <v>21</v>
      </c>
      <c r="B323" s="50" t="s">
        <v>238</v>
      </c>
      <c r="C323" s="16" t="n">
        <v>416500</v>
      </c>
      <c r="D323" s="13" t="n">
        <f aca="false">240000+176500</f>
        <v>416500</v>
      </c>
      <c r="E323" s="14" t="n">
        <f aca="false">C323-D323</f>
        <v>0</v>
      </c>
    </row>
    <row r="324" customFormat="false" ht="15" hidden="false" customHeight="false" outlineLevel="0" collapsed="false">
      <c r="A324" s="70" t="n">
        <v>22</v>
      </c>
      <c r="B324" s="32" t="s">
        <v>239</v>
      </c>
      <c r="C324" s="16" t="n">
        <v>416500</v>
      </c>
      <c r="D324" s="13"/>
      <c r="E324" s="14" t="n">
        <f aca="false">C324-D324</f>
        <v>416500</v>
      </c>
    </row>
    <row r="325" customFormat="false" ht="17.35" hidden="false" customHeight="false" outlineLevel="0" collapsed="false">
      <c r="A325" s="19"/>
      <c r="B325" s="20" t="s">
        <v>22</v>
      </c>
      <c r="C325" s="21" t="n">
        <f aca="false">SUM(C303:C324)</f>
        <v>9163000</v>
      </c>
      <c r="D325" s="22" t="n">
        <f aca="false">SUM(D303:D324)</f>
        <v>6296000</v>
      </c>
      <c r="E325" s="45" t="n">
        <f aca="false">SUM(E303:E324)</f>
        <v>2867000</v>
      </c>
    </row>
    <row r="326" customFormat="false" ht="17.35" hidden="false" customHeight="false" outlineLevel="0" collapsed="false">
      <c r="B326" s="69"/>
      <c r="C326" s="58"/>
      <c r="D326" s="59"/>
      <c r="E326" s="60"/>
    </row>
    <row r="327" customFormat="false" ht="15" hidden="false" customHeight="false" outlineLevel="0" collapsed="false">
      <c r="D327" s="24"/>
      <c r="E327" s="24"/>
    </row>
    <row r="328" customFormat="false" ht="15" hidden="false" customHeight="false" outlineLevel="0" collapsed="false">
      <c r="D328" s="24"/>
      <c r="E328" s="24"/>
    </row>
    <row r="329" customFormat="false" ht="17.35" hidden="false" customHeight="false" outlineLevel="0" collapsed="false">
      <c r="A329" s="40"/>
      <c r="B329" s="2" t="s">
        <v>0</v>
      </c>
      <c r="D329" s="24"/>
      <c r="E329" s="24"/>
    </row>
    <row r="330" customFormat="false" ht="17.35" hidden="false" customHeight="false" outlineLevel="0" collapsed="false">
      <c r="A330" s="62"/>
      <c r="D330" s="24"/>
      <c r="E330" s="24"/>
    </row>
    <row r="331" customFormat="false" ht="15" hidden="false" customHeight="false" outlineLevel="0" collapsed="false">
      <c r="A331" s="40"/>
      <c r="D331" s="24"/>
      <c r="E331" s="24"/>
    </row>
    <row r="332" customFormat="false" ht="17.25" hidden="false" customHeight="false" outlineLevel="0" collapsed="false">
      <c r="A332" s="40"/>
      <c r="B332" s="4" t="s">
        <v>198</v>
      </c>
      <c r="D332" s="24"/>
      <c r="E332" s="24"/>
    </row>
    <row r="333" customFormat="false" ht="15" hidden="false" customHeight="false" outlineLevel="0" collapsed="false">
      <c r="A333" s="40"/>
      <c r="D333" s="25" t="s">
        <v>23</v>
      </c>
      <c r="E333" s="24"/>
    </row>
    <row r="334" customFormat="false" ht="15" hidden="false" customHeight="false" outlineLevel="0" collapsed="false">
      <c r="A334" s="40"/>
      <c r="D334" s="24"/>
      <c r="E334" s="24"/>
    </row>
    <row r="335" customFormat="false" ht="15" hidden="false" customHeight="false" outlineLevel="0" collapsed="false">
      <c r="A335" s="6" t="s">
        <v>5</v>
      </c>
      <c r="B335" s="7" t="s">
        <v>6</v>
      </c>
      <c r="C335" s="8" t="s">
        <v>7</v>
      </c>
      <c r="D335" s="42" t="s">
        <v>8</v>
      </c>
      <c r="E335" s="43" t="s">
        <v>9</v>
      </c>
    </row>
    <row r="336" customFormat="false" ht="15" hidden="false" customHeight="false" outlineLevel="0" collapsed="false">
      <c r="A336" s="18" t="n">
        <v>1</v>
      </c>
      <c r="B336" s="50" t="s">
        <v>240</v>
      </c>
      <c r="C336" s="16" t="n">
        <v>416500</v>
      </c>
      <c r="D336" s="13" t="n">
        <f aca="false">100000+316500</f>
        <v>416500</v>
      </c>
      <c r="E336" s="14" t="n">
        <f aca="false">C336-D336</f>
        <v>0</v>
      </c>
    </row>
    <row r="337" customFormat="false" ht="15" hidden="false" customHeight="false" outlineLevel="0" collapsed="false">
      <c r="A337" s="72" t="n">
        <v>2</v>
      </c>
      <c r="B337" s="32" t="s">
        <v>241</v>
      </c>
      <c r="C337" s="16" t="n">
        <v>416500</v>
      </c>
      <c r="D337" s="13" t="n">
        <f aca="false">100000+215000+50000+51000</f>
        <v>416000</v>
      </c>
      <c r="E337" s="14" t="n">
        <f aca="false">C337-D337</f>
        <v>500</v>
      </c>
    </row>
    <row r="338" customFormat="false" ht="15" hidden="false" customHeight="false" outlineLevel="0" collapsed="false">
      <c r="A338" s="49" t="n">
        <v>3</v>
      </c>
      <c r="B338" s="32" t="s">
        <v>242</v>
      </c>
      <c r="C338" s="16" t="n">
        <v>416500</v>
      </c>
      <c r="D338" s="13" t="n">
        <f aca="false">100000+100000+105000+111500</f>
        <v>416500</v>
      </c>
      <c r="E338" s="14" t="n">
        <f aca="false">C338-D338</f>
        <v>0</v>
      </c>
    </row>
    <row r="339" customFormat="false" ht="15" hidden="false" customHeight="false" outlineLevel="0" collapsed="false">
      <c r="A339" s="18" t="n">
        <v>4</v>
      </c>
      <c r="B339" s="50" t="s">
        <v>243</v>
      </c>
      <c r="C339" s="73" t="n">
        <v>416500</v>
      </c>
      <c r="D339" s="74" t="n">
        <f aca="false">200000+216500</f>
        <v>416500</v>
      </c>
      <c r="E339" s="75" t="n">
        <f aca="false">C339-D339</f>
        <v>0</v>
      </c>
    </row>
    <row r="340" customFormat="false" ht="15" hidden="false" customHeight="false" outlineLevel="0" collapsed="false">
      <c r="A340" s="72" t="n">
        <v>5</v>
      </c>
      <c r="B340" s="68" t="s">
        <v>244</v>
      </c>
      <c r="C340" s="16" t="n">
        <v>416500</v>
      </c>
      <c r="D340" s="13" t="n">
        <f aca="false">216500+200000</f>
        <v>416500</v>
      </c>
      <c r="E340" s="14" t="n">
        <f aca="false">C340-D340</f>
        <v>0</v>
      </c>
    </row>
    <row r="341" customFormat="false" ht="15" hidden="false" customHeight="false" outlineLevel="0" collapsed="false">
      <c r="A341" s="49" t="n">
        <v>6</v>
      </c>
      <c r="B341" s="68" t="s">
        <v>245</v>
      </c>
      <c r="C341" s="16" t="n">
        <v>416500</v>
      </c>
      <c r="D341" s="13" t="n">
        <f aca="false">180000+236500</f>
        <v>416500</v>
      </c>
      <c r="E341" s="14" t="n">
        <f aca="false">C341-D341</f>
        <v>0</v>
      </c>
    </row>
    <row r="342" customFormat="false" ht="15" hidden="false" customHeight="false" outlineLevel="0" collapsed="false">
      <c r="A342" s="18" t="n">
        <v>7</v>
      </c>
      <c r="B342" s="32" t="s">
        <v>246</v>
      </c>
      <c r="C342" s="16" t="n">
        <v>416500</v>
      </c>
      <c r="D342" s="13" t="n">
        <f aca="false">300000+100000+16500</f>
        <v>416500</v>
      </c>
      <c r="E342" s="14" t="n">
        <f aca="false">C342-D342</f>
        <v>0</v>
      </c>
    </row>
    <row r="343" customFormat="false" ht="15" hidden="false" customHeight="false" outlineLevel="0" collapsed="false">
      <c r="A343" s="72" t="n">
        <v>8</v>
      </c>
      <c r="B343" s="32" t="s">
        <v>247</v>
      </c>
      <c r="C343" s="16" t="n">
        <v>416500</v>
      </c>
      <c r="D343" s="13"/>
      <c r="E343" s="14" t="n">
        <f aca="false">C343-D343</f>
        <v>416500</v>
      </c>
    </row>
    <row r="344" customFormat="false" ht="15" hidden="false" customHeight="false" outlineLevel="0" collapsed="false">
      <c r="A344" s="49" t="n">
        <v>9</v>
      </c>
      <c r="B344" s="32" t="s">
        <v>248</v>
      </c>
      <c r="C344" s="16" t="n">
        <v>416500</v>
      </c>
      <c r="D344" s="13" t="n">
        <f aca="false">220000</f>
        <v>220000</v>
      </c>
      <c r="E344" s="14" t="n">
        <f aca="false">C344-D344</f>
        <v>196500</v>
      </c>
    </row>
    <row r="345" customFormat="false" ht="15" hidden="false" customHeight="false" outlineLevel="0" collapsed="false">
      <c r="A345" s="18" t="n">
        <v>10</v>
      </c>
      <c r="B345" s="32" t="s">
        <v>249</v>
      </c>
      <c r="C345" s="16" t="n">
        <v>416500</v>
      </c>
      <c r="D345" s="13"/>
      <c r="E345" s="14" t="n">
        <f aca="false">C345-D345</f>
        <v>416500</v>
      </c>
    </row>
    <row r="346" customFormat="false" ht="15" hidden="false" customHeight="false" outlineLevel="0" collapsed="false">
      <c r="A346" s="72" t="n">
        <v>11</v>
      </c>
      <c r="B346" s="32" t="s">
        <v>250</v>
      </c>
      <c r="C346" s="16" t="n">
        <v>416500</v>
      </c>
      <c r="D346" s="13" t="n">
        <v>417000</v>
      </c>
      <c r="E346" s="14" t="n">
        <f aca="false">C346-D346</f>
        <v>-500</v>
      </c>
    </row>
    <row r="347" customFormat="false" ht="15" hidden="false" customHeight="false" outlineLevel="0" collapsed="false">
      <c r="A347" s="49" t="n">
        <v>12</v>
      </c>
      <c r="B347" s="32" t="s">
        <v>251</v>
      </c>
      <c r="C347" s="16" t="n">
        <v>416500</v>
      </c>
      <c r="D347" s="13" t="n">
        <f aca="false">73000+100000</f>
        <v>173000</v>
      </c>
      <c r="E347" s="14" t="n">
        <f aca="false">C347-D347</f>
        <v>243500</v>
      </c>
    </row>
    <row r="348" customFormat="false" ht="15" hidden="false" customHeight="false" outlineLevel="0" collapsed="false">
      <c r="A348" s="18" t="n">
        <v>13</v>
      </c>
      <c r="B348" s="32" t="s">
        <v>252</v>
      </c>
      <c r="C348" s="16" t="n">
        <v>416500</v>
      </c>
      <c r="D348" s="13"/>
      <c r="E348" s="14" t="n">
        <f aca="false">C348-D348</f>
        <v>416500</v>
      </c>
    </row>
    <row r="349" customFormat="false" ht="15" hidden="false" customHeight="false" outlineLevel="0" collapsed="false">
      <c r="A349" s="72" t="n">
        <v>14</v>
      </c>
      <c r="B349" s="32" t="s">
        <v>253</v>
      </c>
      <c r="C349" s="16" t="n">
        <v>416500</v>
      </c>
      <c r="D349" s="13"/>
      <c r="E349" s="14" t="n">
        <f aca="false">C349-D349</f>
        <v>416500</v>
      </c>
    </row>
    <row r="350" customFormat="false" ht="15" hidden="false" customHeight="false" outlineLevel="0" collapsed="false">
      <c r="A350" s="49" t="n">
        <v>15</v>
      </c>
      <c r="B350" s="68" t="s">
        <v>254</v>
      </c>
      <c r="C350" s="16" t="n">
        <v>416500</v>
      </c>
      <c r="D350" s="13" t="n">
        <f aca="false">50000+30000+200000+50000+71500+15000</f>
        <v>416500</v>
      </c>
      <c r="E350" s="14" t="n">
        <f aca="false">C350-D350</f>
        <v>0</v>
      </c>
    </row>
    <row r="351" customFormat="false" ht="15" hidden="false" customHeight="false" outlineLevel="0" collapsed="false">
      <c r="A351" s="18" t="n">
        <v>16</v>
      </c>
      <c r="B351" s="32" t="s">
        <v>255</v>
      </c>
      <c r="C351" s="16" t="n">
        <v>416500</v>
      </c>
      <c r="D351" s="13"/>
      <c r="E351" s="14" t="n">
        <f aca="false">C351-D351</f>
        <v>416500</v>
      </c>
    </row>
    <row r="352" customFormat="false" ht="15" hidden="false" customHeight="false" outlineLevel="0" collapsed="false">
      <c r="A352" s="72" t="n">
        <v>17</v>
      </c>
      <c r="B352" s="50" t="s">
        <v>256</v>
      </c>
      <c r="C352" s="16" t="n">
        <v>416500</v>
      </c>
      <c r="D352" s="13" t="n">
        <f aca="false">230000+200000</f>
        <v>430000</v>
      </c>
      <c r="E352" s="14" t="n">
        <f aca="false">C352-D352</f>
        <v>-13500</v>
      </c>
    </row>
    <row r="353" customFormat="false" ht="15" hidden="false" customHeight="false" outlineLevel="0" collapsed="false">
      <c r="A353" s="49" t="n">
        <v>18</v>
      </c>
      <c r="B353" s="50" t="s">
        <v>257</v>
      </c>
      <c r="C353" s="16" t="n">
        <v>416500</v>
      </c>
      <c r="D353" s="13" t="n">
        <v>416500</v>
      </c>
      <c r="E353" s="14" t="n">
        <f aca="false">C353-D353</f>
        <v>0</v>
      </c>
    </row>
    <row r="354" customFormat="false" ht="15" hidden="false" customHeight="false" outlineLevel="0" collapsed="false">
      <c r="A354" s="18" t="n">
        <v>19</v>
      </c>
      <c r="B354" s="68" t="s">
        <v>258</v>
      </c>
      <c r="C354" s="16" t="n">
        <v>416500</v>
      </c>
      <c r="D354" s="13"/>
      <c r="E354" s="14" t="n">
        <f aca="false">C354-D354</f>
        <v>416500</v>
      </c>
    </row>
    <row r="355" customFormat="false" ht="15" hidden="false" customHeight="false" outlineLevel="0" collapsed="false">
      <c r="A355" s="72" t="n">
        <v>20</v>
      </c>
      <c r="B355" s="68" t="s">
        <v>259</v>
      </c>
      <c r="C355" s="16" t="n">
        <v>416500</v>
      </c>
      <c r="D355" s="13"/>
      <c r="E355" s="14" t="n">
        <f aca="false">C355-D355</f>
        <v>416500</v>
      </c>
    </row>
    <row r="356" customFormat="false" ht="15" hidden="false" customHeight="false" outlineLevel="0" collapsed="false">
      <c r="A356" s="49" t="n">
        <v>21</v>
      </c>
      <c r="B356" s="32" t="s">
        <v>260</v>
      </c>
      <c r="C356" s="16" t="n">
        <v>416500</v>
      </c>
      <c r="D356" s="13"/>
      <c r="E356" s="14" t="n">
        <f aca="false">C356-D356</f>
        <v>416500</v>
      </c>
    </row>
    <row r="357" customFormat="false" ht="17.35" hidden="false" customHeight="false" outlineLevel="0" collapsed="false">
      <c r="A357" s="19"/>
      <c r="B357" s="20" t="s">
        <v>22</v>
      </c>
      <c r="C357" s="21" t="n">
        <f aca="false">SUM(C336:C356)</f>
        <v>8746500</v>
      </c>
      <c r="D357" s="22" t="n">
        <f aca="false">SUM(D336:D356)</f>
        <v>4988000</v>
      </c>
      <c r="E357" s="45" t="n">
        <f aca="false">SUM(E336:E356)</f>
        <v>3758500</v>
      </c>
    </row>
    <row r="358" customFormat="false" ht="17.35" hidden="false" customHeight="false" outlineLevel="0" collapsed="false">
      <c r="B358" s="36"/>
      <c r="C358" s="37"/>
      <c r="D358" s="38"/>
      <c r="E358" s="39"/>
    </row>
    <row r="359" customFormat="false" ht="17.35" hidden="false" customHeight="false" outlineLevel="0" collapsed="false">
      <c r="B359" s="36"/>
      <c r="C359" s="37"/>
      <c r="D359" s="38"/>
      <c r="E359" s="39"/>
    </row>
    <row r="360" customFormat="false" ht="17.35" hidden="false" customHeight="false" outlineLevel="0" collapsed="false">
      <c r="B360" s="36"/>
      <c r="C360" s="37"/>
      <c r="D360" s="38"/>
      <c r="E360" s="39"/>
    </row>
    <row r="361" customFormat="false" ht="17.35" hidden="false" customHeight="false" outlineLevel="0" collapsed="false">
      <c r="B361" s="2" t="s">
        <v>0</v>
      </c>
      <c r="D361" s="24"/>
      <c r="E361" s="24"/>
    </row>
    <row r="362" customFormat="false" ht="15" hidden="false" customHeight="false" outlineLevel="0" collapsed="false">
      <c r="A362" s="40"/>
      <c r="D362" s="24"/>
      <c r="E362" s="24"/>
    </row>
    <row r="363" customFormat="false" ht="15" hidden="false" customHeight="false" outlineLevel="0" collapsed="false">
      <c r="A363" s="40"/>
      <c r="D363" s="24"/>
      <c r="E363" s="24"/>
    </row>
    <row r="364" customFormat="false" ht="17.25" hidden="false" customHeight="false" outlineLevel="0" collapsed="false">
      <c r="A364" s="40"/>
      <c r="B364" s="4" t="s">
        <v>261</v>
      </c>
      <c r="D364" s="24"/>
      <c r="E364" s="24"/>
    </row>
    <row r="365" customFormat="false" ht="15" hidden="false" customHeight="false" outlineLevel="0" collapsed="false">
      <c r="A365" s="40"/>
      <c r="D365" s="24"/>
      <c r="E365" s="25" t="s">
        <v>4</v>
      </c>
    </row>
    <row r="366" customFormat="false" ht="15" hidden="false" customHeight="false" outlineLevel="0" collapsed="false">
      <c r="A366" s="40"/>
      <c r="D366" s="24"/>
      <c r="E366" s="24"/>
    </row>
    <row r="367" customFormat="false" ht="15" hidden="false" customHeight="false" outlineLevel="0" collapsed="false">
      <c r="A367" s="6" t="s">
        <v>5</v>
      </c>
      <c r="B367" s="7" t="s">
        <v>6</v>
      </c>
      <c r="C367" s="8" t="s">
        <v>7</v>
      </c>
      <c r="D367" s="42" t="s">
        <v>8</v>
      </c>
      <c r="E367" s="43" t="s">
        <v>9</v>
      </c>
    </row>
    <row r="368" customFormat="false" ht="15" hidden="false" customHeight="false" outlineLevel="0" collapsed="false">
      <c r="A368" s="18" t="n">
        <v>1</v>
      </c>
      <c r="B368" s="32" t="s">
        <v>262</v>
      </c>
      <c r="C368" s="16" t="n">
        <v>416500</v>
      </c>
      <c r="D368" s="13" t="n">
        <f aca="false">316000+100000+500</f>
        <v>416500</v>
      </c>
      <c r="E368" s="14" t="n">
        <f aca="false">C368-D368</f>
        <v>0</v>
      </c>
    </row>
    <row r="369" customFormat="false" ht="15" hidden="false" customHeight="false" outlineLevel="0" collapsed="false">
      <c r="A369" s="18" t="n">
        <v>2</v>
      </c>
      <c r="B369" s="32" t="s">
        <v>263</v>
      </c>
      <c r="C369" s="16" t="n">
        <v>416500</v>
      </c>
      <c r="D369" s="13" t="n">
        <f aca="false">249500+167000</f>
        <v>416500</v>
      </c>
      <c r="E369" s="14" t="n">
        <f aca="false">C369-D369</f>
        <v>0</v>
      </c>
    </row>
    <row r="370" customFormat="false" ht="15" hidden="false" customHeight="false" outlineLevel="0" collapsed="false">
      <c r="A370" s="56" t="n">
        <v>3</v>
      </c>
      <c r="B370" s="32" t="s">
        <v>264</v>
      </c>
      <c r="C370" s="16" t="n">
        <v>416500</v>
      </c>
      <c r="D370" s="13" t="n">
        <f aca="false">266000+50000+100000</f>
        <v>416000</v>
      </c>
      <c r="E370" s="14" t="n">
        <f aca="false">C370-D370</f>
        <v>500</v>
      </c>
    </row>
    <row r="371" customFormat="false" ht="15" hidden="false" customHeight="false" outlineLevel="0" collapsed="false">
      <c r="A371" s="18" t="n">
        <v>4</v>
      </c>
      <c r="B371" s="32" t="s">
        <v>265</v>
      </c>
      <c r="C371" s="16" t="n">
        <v>416500</v>
      </c>
      <c r="D371" s="13" t="n">
        <f aca="false">300000+116500</f>
        <v>416500</v>
      </c>
      <c r="E371" s="14" t="n">
        <f aca="false">C371-D371</f>
        <v>0</v>
      </c>
    </row>
    <row r="372" customFormat="false" ht="15" hidden="false" customHeight="false" outlineLevel="0" collapsed="false">
      <c r="A372" s="18" t="n">
        <v>5</v>
      </c>
      <c r="B372" s="32" t="s">
        <v>266</v>
      </c>
      <c r="C372" s="16" t="n">
        <v>416500</v>
      </c>
      <c r="D372" s="13" t="n">
        <f aca="false">320000+96500</f>
        <v>416500</v>
      </c>
      <c r="E372" s="14" t="n">
        <f aca="false">C372-D372</f>
        <v>0</v>
      </c>
    </row>
    <row r="373" customFormat="false" ht="15" hidden="false" customHeight="false" outlineLevel="0" collapsed="false">
      <c r="A373" s="56" t="n">
        <v>6</v>
      </c>
      <c r="B373" s="32" t="s">
        <v>267</v>
      </c>
      <c r="C373" s="16" t="n">
        <v>416500</v>
      </c>
      <c r="D373" s="13" t="n">
        <f aca="false">200000+216000</f>
        <v>416000</v>
      </c>
      <c r="E373" s="14" t="n">
        <f aca="false">C373-D373</f>
        <v>500</v>
      </c>
    </row>
    <row r="374" customFormat="false" ht="15" hidden="false" customHeight="false" outlineLevel="0" collapsed="false">
      <c r="A374" s="18" t="n">
        <v>7</v>
      </c>
      <c r="B374" s="32" t="s">
        <v>268</v>
      </c>
      <c r="C374" s="16" t="n">
        <v>416500</v>
      </c>
      <c r="D374" s="13" t="n">
        <f aca="false">316500+100000</f>
        <v>416500</v>
      </c>
      <c r="E374" s="14" t="n">
        <f aca="false">C374-D374</f>
        <v>0</v>
      </c>
    </row>
    <row r="375" customFormat="false" ht="15" hidden="false" customHeight="false" outlineLevel="0" collapsed="false">
      <c r="A375" s="18" t="n">
        <v>8</v>
      </c>
      <c r="B375" s="32" t="s">
        <v>269</v>
      </c>
      <c r="C375" s="16" t="n">
        <v>416500</v>
      </c>
      <c r="D375" s="13" t="n">
        <f aca="false">216500+200000</f>
        <v>416500</v>
      </c>
      <c r="E375" s="14" t="n">
        <f aca="false">C375-D375</f>
        <v>0</v>
      </c>
    </row>
    <row r="376" customFormat="false" ht="15" hidden="false" customHeight="false" outlineLevel="0" collapsed="false">
      <c r="A376" s="56" t="n">
        <v>9</v>
      </c>
      <c r="B376" s="32" t="s">
        <v>270</v>
      </c>
      <c r="C376" s="16" t="n">
        <v>416500</v>
      </c>
      <c r="D376" s="76"/>
      <c r="E376" s="14" t="n">
        <f aca="false">C376-D376</f>
        <v>416500</v>
      </c>
    </row>
    <row r="377" customFormat="false" ht="15" hidden="false" customHeight="false" outlineLevel="0" collapsed="false">
      <c r="A377" s="18" t="n">
        <v>10</v>
      </c>
      <c r="B377" s="32" t="s">
        <v>271</v>
      </c>
      <c r="C377" s="16" t="n">
        <v>416500</v>
      </c>
      <c r="D377" s="76" t="n">
        <f aca="false">300000+116500</f>
        <v>416500</v>
      </c>
      <c r="E377" s="14" t="n">
        <f aca="false">C377-D377</f>
        <v>0</v>
      </c>
    </row>
    <row r="378" customFormat="false" ht="15" hidden="false" customHeight="false" outlineLevel="0" collapsed="false">
      <c r="A378" s="18" t="n">
        <v>11</v>
      </c>
      <c r="B378" s="32" t="s">
        <v>272</v>
      </c>
      <c r="C378" s="16" t="n">
        <v>416500</v>
      </c>
      <c r="D378" s="13" t="n">
        <f aca="false">316500+100000</f>
        <v>416500</v>
      </c>
      <c r="E378" s="14" t="n">
        <f aca="false">C378-D378</f>
        <v>0</v>
      </c>
    </row>
    <row r="379" customFormat="false" ht="17.35" hidden="false" customHeight="false" outlineLevel="0" collapsed="false">
      <c r="A379" s="18"/>
      <c r="B379" s="20" t="s">
        <v>22</v>
      </c>
      <c r="C379" s="21" t="n">
        <f aca="false">SUM(C368:C378)</f>
        <v>4581500</v>
      </c>
      <c r="D379" s="22" t="n">
        <f aca="false">SUM(D368:D378)</f>
        <v>4164000</v>
      </c>
      <c r="E379" s="45" t="n">
        <f aca="false">SUM(E368:E378)</f>
        <v>417500</v>
      </c>
    </row>
    <row r="380" customFormat="false" ht="17.35" hidden="false" customHeight="false" outlineLevel="0" collapsed="false">
      <c r="B380" s="36"/>
      <c r="C380" s="37"/>
      <c r="D380" s="38"/>
      <c r="E380" s="39"/>
    </row>
    <row r="381" customFormat="false" ht="17.35" hidden="false" customHeight="false" outlineLevel="0" collapsed="false">
      <c r="B381" s="36"/>
      <c r="C381" s="37"/>
      <c r="D381" s="38"/>
      <c r="E381" s="39"/>
    </row>
    <row r="382" customFormat="false" ht="17.35" hidden="false" customHeight="false" outlineLevel="0" collapsed="false">
      <c r="B382" s="36"/>
      <c r="C382" s="37"/>
      <c r="D382" s="38"/>
      <c r="E382" s="39"/>
    </row>
    <row r="383" customFormat="false" ht="17.35" hidden="false" customHeight="false" outlineLevel="0" collapsed="false">
      <c r="B383" s="2" t="s">
        <v>0</v>
      </c>
      <c r="D383" s="24"/>
      <c r="E383" s="24"/>
    </row>
    <row r="384" customFormat="false" ht="15" hidden="false" customHeight="false" outlineLevel="0" collapsed="false">
      <c r="A384" s="40"/>
      <c r="D384" s="24"/>
      <c r="E384" s="24"/>
    </row>
    <row r="385" customFormat="false" ht="15" hidden="false" customHeight="false" outlineLevel="0" collapsed="false">
      <c r="A385" s="40"/>
      <c r="D385" s="24"/>
      <c r="E385" s="24"/>
    </row>
    <row r="386" customFormat="false" ht="17.25" hidden="false" customHeight="false" outlineLevel="0" collapsed="false">
      <c r="A386" s="40"/>
      <c r="B386" s="4" t="s">
        <v>261</v>
      </c>
      <c r="D386" s="24"/>
      <c r="E386" s="24"/>
    </row>
    <row r="387" customFormat="false" ht="15" hidden="false" customHeight="false" outlineLevel="0" collapsed="false">
      <c r="A387" s="40"/>
      <c r="D387" s="24"/>
      <c r="E387" s="25" t="s">
        <v>51</v>
      </c>
    </row>
    <row r="388" customFormat="false" ht="15" hidden="false" customHeight="false" outlineLevel="0" collapsed="false">
      <c r="A388" s="40"/>
      <c r="D388" s="24"/>
      <c r="E388" s="24"/>
    </row>
    <row r="389" customFormat="false" ht="15" hidden="false" customHeight="false" outlineLevel="0" collapsed="false">
      <c r="A389" s="6" t="s">
        <v>5</v>
      </c>
      <c r="B389" s="7" t="s">
        <v>6</v>
      </c>
      <c r="C389" s="8" t="s">
        <v>7</v>
      </c>
      <c r="D389" s="42" t="s">
        <v>8</v>
      </c>
      <c r="E389" s="43" t="s">
        <v>9</v>
      </c>
    </row>
    <row r="390" customFormat="false" ht="15" hidden="false" customHeight="false" outlineLevel="0" collapsed="false">
      <c r="A390" s="18" t="n">
        <v>1</v>
      </c>
      <c r="B390" s="44" t="s">
        <v>273</v>
      </c>
      <c r="C390" s="16" t="n">
        <v>416500</v>
      </c>
      <c r="D390" s="13" t="n">
        <f aca="false">216500+200000</f>
        <v>416500</v>
      </c>
      <c r="E390" s="14" t="n">
        <f aca="false">C390-D390</f>
        <v>0</v>
      </c>
    </row>
    <row r="391" customFormat="false" ht="15" hidden="false" customHeight="false" outlineLevel="0" collapsed="false">
      <c r="A391" s="18" t="n">
        <v>2</v>
      </c>
      <c r="B391" s="32" t="s">
        <v>274</v>
      </c>
      <c r="C391" s="16" t="n">
        <v>416500</v>
      </c>
      <c r="D391" s="13"/>
      <c r="E391" s="14" t="n">
        <f aca="false">C391-D391</f>
        <v>416500</v>
      </c>
    </row>
    <row r="392" customFormat="false" ht="15" hidden="false" customHeight="false" outlineLevel="0" collapsed="false">
      <c r="A392" s="18" t="n">
        <v>3</v>
      </c>
      <c r="B392" s="32" t="s">
        <v>275</v>
      </c>
      <c r="C392" s="16" t="n">
        <v>416500</v>
      </c>
      <c r="D392" s="13" t="n">
        <f aca="false">200000+216500</f>
        <v>416500</v>
      </c>
      <c r="E392" s="14" t="n">
        <f aca="false">C392-D392</f>
        <v>0</v>
      </c>
    </row>
    <row r="393" customFormat="false" ht="15" hidden="false" customHeight="false" outlineLevel="0" collapsed="false">
      <c r="A393" s="18" t="n">
        <v>4</v>
      </c>
      <c r="B393" s="32" t="s">
        <v>276</v>
      </c>
      <c r="C393" s="13" t="n">
        <v>416500</v>
      </c>
      <c r="D393" s="13" t="n">
        <f aca="false">316500+100000</f>
        <v>416500</v>
      </c>
      <c r="E393" s="14" t="n">
        <f aca="false">C393-D393</f>
        <v>0</v>
      </c>
    </row>
    <row r="394" customFormat="false" ht="15" hidden="false" customHeight="false" outlineLevel="0" collapsed="false">
      <c r="A394" s="18" t="n">
        <v>5</v>
      </c>
      <c r="B394" s="32" t="s">
        <v>277</v>
      </c>
      <c r="C394" s="16" t="n">
        <v>416500</v>
      </c>
      <c r="D394" s="13" t="n">
        <f aca="false">316500+100000</f>
        <v>416500</v>
      </c>
      <c r="E394" s="14" t="n">
        <f aca="false">C394-D394</f>
        <v>0</v>
      </c>
    </row>
    <row r="395" customFormat="false" ht="15" hidden="false" customHeight="false" outlineLevel="0" collapsed="false">
      <c r="A395" s="18" t="n">
        <v>6</v>
      </c>
      <c r="B395" s="32" t="s">
        <v>278</v>
      </c>
      <c r="C395" s="16" t="n">
        <v>416500</v>
      </c>
      <c r="D395" s="13" t="n">
        <f aca="false">350000+66500</f>
        <v>416500</v>
      </c>
      <c r="E395" s="14" t="n">
        <f aca="false">C395-D395</f>
        <v>0</v>
      </c>
    </row>
    <row r="396" customFormat="false" ht="15" hidden="false" customHeight="false" outlineLevel="0" collapsed="false">
      <c r="A396" s="18" t="n">
        <v>7</v>
      </c>
      <c r="B396" s="32" t="s">
        <v>279</v>
      </c>
      <c r="C396" s="16" t="n">
        <v>416500</v>
      </c>
      <c r="D396" s="13" t="n">
        <f aca="false">100000+150000+166500</f>
        <v>416500</v>
      </c>
      <c r="E396" s="14" t="n">
        <f aca="false">C396-D396</f>
        <v>0</v>
      </c>
    </row>
    <row r="397" customFormat="false" ht="15" hidden="false" customHeight="false" outlineLevel="0" collapsed="false">
      <c r="A397" s="18" t="n">
        <v>8</v>
      </c>
      <c r="B397" s="32" t="s">
        <v>280</v>
      </c>
      <c r="C397" s="16" t="n">
        <v>416500</v>
      </c>
      <c r="D397" s="13" t="n">
        <f aca="false">216500+100000</f>
        <v>316500</v>
      </c>
      <c r="E397" s="14" t="n">
        <f aca="false">C397-D397</f>
        <v>100000</v>
      </c>
    </row>
    <row r="398" customFormat="false" ht="15" hidden="false" customHeight="false" outlineLevel="0" collapsed="false">
      <c r="A398" s="18" t="n">
        <v>9</v>
      </c>
      <c r="B398" s="54" t="s">
        <v>281</v>
      </c>
      <c r="C398" s="16" t="n">
        <v>416500</v>
      </c>
      <c r="D398" s="76" t="n">
        <f aca="false">416500</f>
        <v>416500</v>
      </c>
      <c r="E398" s="14" t="n">
        <f aca="false">C398-D398</f>
        <v>0</v>
      </c>
    </row>
    <row r="399" customFormat="false" ht="15" hidden="false" customHeight="false" outlineLevel="0" collapsed="false">
      <c r="A399" s="18" t="n">
        <v>10</v>
      </c>
      <c r="B399" s="32" t="s">
        <v>282</v>
      </c>
      <c r="C399" s="16" t="n">
        <v>416500</v>
      </c>
      <c r="D399" s="76" t="n">
        <f aca="false">305000+111500</f>
        <v>416500</v>
      </c>
      <c r="E399" s="14" t="n">
        <f aca="false">C399-D399</f>
        <v>0</v>
      </c>
    </row>
    <row r="400" customFormat="false" ht="15" hidden="false" customHeight="false" outlineLevel="0" collapsed="false">
      <c r="A400" s="18" t="n">
        <v>11</v>
      </c>
      <c r="B400" s="54" t="s">
        <v>283</v>
      </c>
      <c r="C400" s="16" t="n">
        <v>416500</v>
      </c>
      <c r="D400" s="76" t="n">
        <f aca="false">216500+200000</f>
        <v>416500</v>
      </c>
      <c r="E400" s="14" t="n">
        <f aca="false">C400-D400</f>
        <v>0</v>
      </c>
    </row>
    <row r="401" customFormat="false" ht="15" hidden="false" customHeight="false" outlineLevel="0" collapsed="false">
      <c r="A401" s="18" t="n">
        <v>12</v>
      </c>
      <c r="B401" s="54" t="s">
        <v>284</v>
      </c>
      <c r="C401" s="16" t="n">
        <v>416500</v>
      </c>
      <c r="D401" s="76" t="n">
        <f aca="false">10000+116500+250000</f>
        <v>376500</v>
      </c>
      <c r="E401" s="14" t="n">
        <f aca="false">C401-D401</f>
        <v>40000</v>
      </c>
    </row>
    <row r="402" customFormat="false" ht="15" hidden="false" customHeight="false" outlineLevel="0" collapsed="false">
      <c r="A402" s="18" t="n">
        <v>13</v>
      </c>
      <c r="B402" s="54" t="s">
        <v>285</v>
      </c>
      <c r="C402" s="16" t="n">
        <v>416500</v>
      </c>
      <c r="D402" s="76" t="n">
        <f aca="false">216500+200000</f>
        <v>416500</v>
      </c>
      <c r="E402" s="14" t="n">
        <f aca="false">C402-D402</f>
        <v>0</v>
      </c>
    </row>
    <row r="403" customFormat="false" ht="15" hidden="false" customHeight="false" outlineLevel="0" collapsed="false">
      <c r="A403" s="18" t="n">
        <v>14</v>
      </c>
      <c r="B403" s="54" t="s">
        <v>286</v>
      </c>
      <c r="C403" s="16" t="n">
        <v>416500</v>
      </c>
      <c r="D403" s="76" t="n">
        <f aca="false">300000+116500</f>
        <v>416500</v>
      </c>
      <c r="E403" s="14" t="n">
        <f aca="false">C403-D403</f>
        <v>0</v>
      </c>
    </row>
    <row r="404" customFormat="false" ht="15" hidden="false" customHeight="false" outlineLevel="0" collapsed="false">
      <c r="A404" s="18" t="n">
        <v>15</v>
      </c>
      <c r="B404" s="32" t="s">
        <v>287</v>
      </c>
      <c r="C404" s="16" t="n">
        <v>416500</v>
      </c>
      <c r="D404" s="76" t="n">
        <f aca="false">210000+35000+100000+71500</f>
        <v>416500</v>
      </c>
      <c r="E404" s="14" t="n">
        <f aca="false">C404-D404</f>
        <v>0</v>
      </c>
    </row>
    <row r="405" customFormat="false" ht="15" hidden="false" customHeight="false" outlineLevel="0" collapsed="false">
      <c r="A405" s="18" t="n">
        <v>16</v>
      </c>
      <c r="B405" s="32" t="s">
        <v>288</v>
      </c>
      <c r="C405" s="16" t="n">
        <v>416500</v>
      </c>
      <c r="D405" s="76" t="n">
        <v>416500</v>
      </c>
      <c r="E405" s="14" t="n">
        <f aca="false">C405-D405</f>
        <v>0</v>
      </c>
    </row>
    <row r="406" customFormat="false" ht="15" hidden="false" customHeight="false" outlineLevel="0" collapsed="false">
      <c r="A406" s="18" t="n">
        <v>17</v>
      </c>
      <c r="B406" s="54" t="s">
        <v>289</v>
      </c>
      <c r="C406" s="16" t="n">
        <v>416500</v>
      </c>
      <c r="D406" s="76" t="n">
        <f aca="false">214500+100000+100000</f>
        <v>414500</v>
      </c>
      <c r="E406" s="14" t="n">
        <f aca="false">C406-D406</f>
        <v>2000</v>
      </c>
    </row>
    <row r="407" customFormat="false" ht="17.35" hidden="false" customHeight="false" outlineLevel="0" collapsed="false">
      <c r="A407" s="18"/>
      <c r="B407" s="20" t="s">
        <v>22</v>
      </c>
      <c r="C407" s="21" t="n">
        <f aca="false">SUM(C390:C406)</f>
        <v>7080500</v>
      </c>
      <c r="D407" s="22" t="n">
        <f aca="false">SUM(D390:D406)</f>
        <v>6522000</v>
      </c>
      <c r="E407" s="45" t="n">
        <f aca="false">SUM(E390:E406)</f>
        <v>558500</v>
      </c>
    </row>
    <row r="408" customFormat="false" ht="17.35" hidden="false" customHeight="false" outlineLevel="0" collapsed="false">
      <c r="B408" s="36"/>
      <c r="C408" s="37"/>
      <c r="D408" s="38"/>
      <c r="E408" s="39"/>
    </row>
    <row r="409" customFormat="false" ht="15" hidden="false" customHeight="false" outlineLevel="0" collapsed="false">
      <c r="D409" s="24"/>
      <c r="E409" s="24"/>
    </row>
    <row r="410" customFormat="false" ht="17.35" hidden="false" customHeight="false" outlineLevel="0" collapsed="false">
      <c r="B410" s="2" t="s">
        <v>0</v>
      </c>
      <c r="D410" s="24"/>
      <c r="E410" s="24"/>
    </row>
    <row r="411" customFormat="false" ht="15" hidden="false" customHeight="false" outlineLevel="0" collapsed="false">
      <c r="A411" s="40"/>
      <c r="D411" s="24"/>
      <c r="E411" s="24"/>
    </row>
    <row r="412" customFormat="false" ht="15" hidden="false" customHeight="false" outlineLevel="0" collapsed="false">
      <c r="A412" s="40"/>
      <c r="B412" s="77" t="s">
        <v>23</v>
      </c>
      <c r="D412" s="24"/>
      <c r="E412" s="24"/>
    </row>
    <row r="413" customFormat="false" ht="17.25" hidden="false" customHeight="false" outlineLevel="0" collapsed="false">
      <c r="A413" s="40"/>
      <c r="B413" s="4" t="s">
        <v>261</v>
      </c>
      <c r="D413" s="24"/>
      <c r="E413" s="24"/>
    </row>
    <row r="414" customFormat="false" ht="15" hidden="false" customHeight="false" outlineLevel="0" collapsed="false">
      <c r="A414" s="40"/>
      <c r="D414" s="24"/>
      <c r="E414" s="24"/>
    </row>
    <row r="415" customFormat="false" ht="15" hidden="false" customHeight="false" outlineLevel="0" collapsed="false">
      <c r="A415" s="40"/>
      <c r="D415" s="24"/>
      <c r="E415" s="24"/>
    </row>
    <row r="416" customFormat="false" ht="15" hidden="false" customHeight="false" outlineLevel="0" collapsed="false">
      <c r="A416" s="6" t="s">
        <v>5</v>
      </c>
      <c r="B416" s="7" t="s">
        <v>6</v>
      </c>
      <c r="C416" s="8" t="s">
        <v>7</v>
      </c>
      <c r="D416" s="42" t="s">
        <v>8</v>
      </c>
      <c r="E416" s="43" t="s">
        <v>9</v>
      </c>
    </row>
    <row r="417" customFormat="false" ht="15" hidden="false" customHeight="false" outlineLevel="0" collapsed="false">
      <c r="A417" s="18" t="n">
        <v>1</v>
      </c>
      <c r="B417" s="32" t="s">
        <v>290</v>
      </c>
      <c r="C417" s="16" t="n">
        <v>416500</v>
      </c>
      <c r="D417" s="13" t="n">
        <f aca="false">300000+116500</f>
        <v>416500</v>
      </c>
      <c r="E417" s="14" t="n">
        <f aca="false">C417-D417</f>
        <v>0</v>
      </c>
    </row>
    <row r="418" customFormat="false" ht="15" hidden="false" customHeight="false" outlineLevel="0" collapsed="false">
      <c r="A418" s="18" t="n">
        <v>2</v>
      </c>
      <c r="B418" s="32" t="s">
        <v>291</v>
      </c>
      <c r="C418" s="16" t="n">
        <v>416500</v>
      </c>
      <c r="D418" s="13" t="n">
        <v>416500</v>
      </c>
      <c r="E418" s="14" t="n">
        <f aca="false">C418-D418</f>
        <v>0</v>
      </c>
    </row>
    <row r="419" customFormat="false" ht="15" hidden="false" customHeight="false" outlineLevel="0" collapsed="false">
      <c r="A419" s="18" t="n">
        <v>3</v>
      </c>
      <c r="B419" s="32" t="s">
        <v>292</v>
      </c>
      <c r="C419" s="16" t="n">
        <v>416500</v>
      </c>
      <c r="D419" s="13"/>
      <c r="E419" s="14" t="n">
        <f aca="false">C419-D419</f>
        <v>416500</v>
      </c>
    </row>
    <row r="420" customFormat="false" ht="15" hidden="false" customHeight="false" outlineLevel="0" collapsed="false">
      <c r="A420" s="18" t="n">
        <v>4</v>
      </c>
      <c r="B420" s="32" t="s">
        <v>293</v>
      </c>
      <c r="C420" s="16" t="n">
        <v>416500</v>
      </c>
      <c r="D420" s="13" t="n">
        <f aca="false">216500+100000+100000</f>
        <v>416500</v>
      </c>
      <c r="E420" s="14" t="n">
        <f aca="false">C420-D420</f>
        <v>0</v>
      </c>
    </row>
    <row r="421" customFormat="false" ht="15" hidden="false" customHeight="false" outlineLevel="0" collapsed="false">
      <c r="A421" s="18" t="n">
        <v>5</v>
      </c>
      <c r="B421" s="32" t="s">
        <v>294</v>
      </c>
      <c r="C421" s="16" t="n">
        <v>416500</v>
      </c>
      <c r="D421" s="13" t="n">
        <f aca="false">200000+50000+116500+50000</f>
        <v>416500</v>
      </c>
      <c r="E421" s="14" t="n">
        <f aca="false">C421-D421</f>
        <v>0</v>
      </c>
    </row>
    <row r="422" customFormat="false" ht="15" hidden="false" customHeight="false" outlineLevel="0" collapsed="false">
      <c r="A422" s="18" t="n">
        <v>6</v>
      </c>
      <c r="B422" s="32" t="s">
        <v>295</v>
      </c>
      <c r="C422" s="16" t="n">
        <v>416500</v>
      </c>
      <c r="D422" s="13"/>
      <c r="E422" s="14" t="n">
        <f aca="false">C422-D422</f>
        <v>416500</v>
      </c>
    </row>
    <row r="423" customFormat="false" ht="15" hidden="false" customHeight="false" outlineLevel="0" collapsed="false">
      <c r="A423" s="18" t="n">
        <v>7</v>
      </c>
      <c r="B423" s="32" t="s">
        <v>296</v>
      </c>
      <c r="C423" s="16" t="n">
        <v>416500</v>
      </c>
      <c r="D423" s="13" t="n">
        <f aca="false">200500+216500</f>
        <v>417000</v>
      </c>
      <c r="E423" s="14" t="n">
        <f aca="false">C423-D423</f>
        <v>-500</v>
      </c>
    </row>
    <row r="424" customFormat="false" ht="15" hidden="false" customHeight="false" outlineLevel="0" collapsed="false">
      <c r="A424" s="18" t="n">
        <v>8</v>
      </c>
      <c r="B424" s="32" t="s">
        <v>297</v>
      </c>
      <c r="C424" s="16" t="n">
        <v>416500</v>
      </c>
      <c r="D424" s="13" t="n">
        <f aca="false">153500+130000+133000</f>
        <v>416500</v>
      </c>
      <c r="E424" s="14" t="n">
        <f aca="false">C424-D424</f>
        <v>0</v>
      </c>
    </row>
    <row r="425" customFormat="false" ht="15" hidden="false" customHeight="false" outlineLevel="0" collapsed="false">
      <c r="A425" s="18" t="n">
        <v>9</v>
      </c>
      <c r="B425" s="78" t="s">
        <v>298</v>
      </c>
      <c r="C425" s="16" t="n">
        <v>416500</v>
      </c>
      <c r="D425" s="13" t="n">
        <f aca="false">216500+200000</f>
        <v>416500</v>
      </c>
      <c r="E425" s="14" t="n">
        <f aca="false">C425-D425</f>
        <v>0</v>
      </c>
    </row>
    <row r="426" customFormat="false" ht="15" hidden="false" customHeight="false" outlineLevel="0" collapsed="false">
      <c r="A426" s="18" t="n">
        <v>10</v>
      </c>
      <c r="B426" s="54" t="s">
        <v>299</v>
      </c>
      <c r="C426" s="16" t="n">
        <v>416500</v>
      </c>
      <c r="D426" s="13" t="n">
        <v>416500</v>
      </c>
      <c r="E426" s="14" t="n">
        <f aca="false">C426-D426</f>
        <v>0</v>
      </c>
    </row>
    <row r="427" customFormat="false" ht="15" hidden="false" customHeight="false" outlineLevel="0" collapsed="false">
      <c r="A427" s="18" t="n">
        <v>11</v>
      </c>
      <c r="B427" s="54" t="s">
        <v>300</v>
      </c>
      <c r="C427" s="16" t="n">
        <v>416500</v>
      </c>
      <c r="D427" s="13" t="n">
        <f aca="false">220000+196500</f>
        <v>416500</v>
      </c>
      <c r="E427" s="14" t="n">
        <f aca="false">C427-D427</f>
        <v>0</v>
      </c>
    </row>
    <row r="428" customFormat="false" ht="15" hidden="false" customHeight="false" outlineLevel="0" collapsed="false">
      <c r="A428" s="18" t="n">
        <v>12</v>
      </c>
      <c r="B428" s="79" t="s">
        <v>301</v>
      </c>
      <c r="C428" s="16" t="n">
        <v>416500</v>
      </c>
      <c r="D428" s="13"/>
      <c r="E428" s="14" t="n">
        <f aca="false">C428-D428</f>
        <v>416500</v>
      </c>
    </row>
    <row r="429" customFormat="false" ht="15" hidden="false" customHeight="false" outlineLevel="0" collapsed="false">
      <c r="A429" s="18" t="n">
        <v>13</v>
      </c>
      <c r="B429" s="54" t="s">
        <v>302</v>
      </c>
      <c r="C429" s="16" t="n">
        <v>416500</v>
      </c>
      <c r="D429" s="13" t="n">
        <f aca="false">200000+216500</f>
        <v>416500</v>
      </c>
      <c r="E429" s="14" t="n">
        <f aca="false">C429-D429</f>
        <v>0</v>
      </c>
    </row>
    <row r="430" customFormat="false" ht="15" hidden="false" customHeight="false" outlineLevel="0" collapsed="false">
      <c r="A430" s="18" t="n">
        <v>14</v>
      </c>
      <c r="B430" s="32" t="s">
        <v>303</v>
      </c>
      <c r="C430" s="16" t="n">
        <v>416500</v>
      </c>
      <c r="D430" s="13" t="n">
        <f aca="false">160000+80000+176500</f>
        <v>416500</v>
      </c>
      <c r="E430" s="14" t="n">
        <f aca="false">C430-D430</f>
        <v>0</v>
      </c>
    </row>
    <row r="431" customFormat="false" ht="15" hidden="false" customHeight="false" outlineLevel="0" collapsed="false">
      <c r="A431" s="18" t="n">
        <v>15</v>
      </c>
      <c r="B431" s="54" t="s">
        <v>304</v>
      </c>
      <c r="C431" s="16" t="n">
        <v>416500</v>
      </c>
      <c r="D431" s="13" t="n">
        <f aca="false">316500+100000</f>
        <v>416500</v>
      </c>
      <c r="E431" s="14" t="n">
        <f aca="false">C431-D431</f>
        <v>0</v>
      </c>
    </row>
    <row r="432" customFormat="false" ht="15" hidden="false" customHeight="false" outlineLevel="0" collapsed="false">
      <c r="A432" s="18" t="n">
        <v>16</v>
      </c>
      <c r="B432" s="54" t="s">
        <v>305</v>
      </c>
      <c r="C432" s="16" t="n">
        <v>416500</v>
      </c>
      <c r="D432" s="76" t="n">
        <f aca="false">220000+196500</f>
        <v>416500</v>
      </c>
      <c r="E432" s="14" t="n">
        <f aca="false">C432-D432</f>
        <v>0</v>
      </c>
    </row>
    <row r="433" customFormat="false" ht="17.35" hidden="false" customHeight="false" outlineLevel="0" collapsed="false">
      <c r="A433" s="56"/>
      <c r="B433" s="20" t="s">
        <v>22</v>
      </c>
      <c r="C433" s="21" t="n">
        <f aca="false">SUM(C417:C432)</f>
        <v>6664000</v>
      </c>
      <c r="D433" s="22" t="n">
        <f aca="false">SUM(D417:D432)</f>
        <v>5415000</v>
      </c>
      <c r="E433" s="45" t="n">
        <f aca="false">SUM(E417:E432)</f>
        <v>1249000</v>
      </c>
    </row>
    <row r="434" customFormat="false" ht="15" hidden="false" customHeight="false" outlineLevel="0" collapsed="false">
      <c r="D434" s="24"/>
      <c r="E434" s="24"/>
    </row>
    <row r="435" customFormat="false" ht="15" hidden="false" customHeight="false" outlineLevel="0" collapsed="false">
      <c r="D435" s="24"/>
      <c r="E435" s="24"/>
    </row>
    <row r="436" customFormat="false" ht="15" hidden="false" customHeight="false" outlineLevel="0" collapsed="false">
      <c r="D436" s="24"/>
      <c r="E436" s="24"/>
    </row>
    <row r="437" customFormat="false" ht="15" hidden="false" customHeight="false" outlineLevel="0" collapsed="false">
      <c r="D437" s="24"/>
      <c r="E437" s="24"/>
    </row>
    <row r="438" customFormat="false" ht="15" hidden="false" customHeight="false" outlineLevel="0" collapsed="false">
      <c r="D438" s="24"/>
      <c r="E438" s="24"/>
    </row>
    <row r="439" customFormat="false" ht="15" hidden="false" customHeight="false" outlineLevel="0" collapsed="false">
      <c r="A439" s="46"/>
      <c r="D439" s="24"/>
      <c r="E439" s="24"/>
    </row>
    <row r="440" customFormat="false" ht="15" hidden="false" customHeight="false" outlineLevel="0" collapsed="false">
      <c r="A440" s="46"/>
      <c r="D440" s="24"/>
      <c r="E440" s="24"/>
    </row>
    <row r="441" customFormat="false" ht="17.35" hidden="false" customHeight="false" outlineLevel="0" collapsed="false">
      <c r="A441" s="40"/>
      <c r="B441" s="2" t="s">
        <v>0</v>
      </c>
      <c r="D441" s="24"/>
      <c r="E441" s="24"/>
    </row>
    <row r="442" customFormat="false" ht="17.35" hidden="false" customHeight="false" outlineLevel="0" collapsed="false">
      <c r="A442" s="62"/>
      <c r="D442" s="24"/>
      <c r="E442" s="24"/>
    </row>
    <row r="443" customFormat="false" ht="15" hidden="false" customHeight="false" outlineLevel="0" collapsed="false">
      <c r="A443" s="40"/>
      <c r="D443" s="24"/>
      <c r="E443" s="24"/>
    </row>
    <row r="444" customFormat="false" ht="17.25" hidden="false" customHeight="false" outlineLevel="0" collapsed="false">
      <c r="A444" s="40"/>
      <c r="B444" s="4" t="s">
        <v>306</v>
      </c>
      <c r="D444" s="24"/>
      <c r="E444" s="24"/>
    </row>
    <row r="445" customFormat="false" ht="15" hidden="false" customHeight="false" outlineLevel="0" collapsed="false">
      <c r="A445" s="40"/>
      <c r="D445" s="25" t="s">
        <v>51</v>
      </c>
      <c r="E445" s="24"/>
    </row>
    <row r="446" customFormat="false" ht="15" hidden="false" customHeight="false" outlineLevel="0" collapsed="false">
      <c r="A446" s="40"/>
      <c r="D446" s="24"/>
      <c r="E446" s="24"/>
    </row>
    <row r="447" customFormat="false" ht="15" hidden="false" customHeight="false" outlineLevel="0" collapsed="false">
      <c r="A447" s="6" t="s">
        <v>5</v>
      </c>
      <c r="B447" s="7" t="s">
        <v>6</v>
      </c>
      <c r="C447" s="8" t="s">
        <v>7</v>
      </c>
      <c r="D447" s="42" t="s">
        <v>8</v>
      </c>
      <c r="E447" s="43" t="s">
        <v>9</v>
      </c>
    </row>
    <row r="448" customFormat="false" ht="15" hidden="false" customHeight="false" outlineLevel="0" collapsed="false">
      <c r="A448" s="49" t="n">
        <v>1</v>
      </c>
      <c r="B448" s="32" t="s">
        <v>307</v>
      </c>
      <c r="C448" s="16" t="n">
        <v>215000</v>
      </c>
      <c r="D448" s="13" t="n">
        <f aca="false">215000</f>
        <v>215000</v>
      </c>
      <c r="E448" s="14" t="n">
        <f aca="false">C448-D448</f>
        <v>0</v>
      </c>
    </row>
    <row r="449" customFormat="false" ht="15" hidden="false" customHeight="false" outlineLevel="0" collapsed="false">
      <c r="A449" s="18" t="n">
        <v>2</v>
      </c>
      <c r="B449" s="32" t="s">
        <v>308</v>
      </c>
      <c r="C449" s="16" t="n">
        <v>416500</v>
      </c>
      <c r="D449" s="13" t="n">
        <f aca="false">116500+300000</f>
        <v>416500</v>
      </c>
      <c r="E449" s="14" t="n">
        <f aca="false">C449-D449</f>
        <v>0</v>
      </c>
    </row>
    <row r="450" customFormat="false" ht="15" hidden="false" customHeight="false" outlineLevel="0" collapsed="false">
      <c r="A450" s="18" t="n">
        <v>3</v>
      </c>
      <c r="B450" s="32" t="s">
        <v>309</v>
      </c>
      <c r="C450" s="16" t="n">
        <v>416500</v>
      </c>
      <c r="D450" s="13" t="n">
        <v>416000</v>
      </c>
      <c r="E450" s="14" t="n">
        <f aca="false">C450-D450</f>
        <v>500</v>
      </c>
    </row>
    <row r="451" customFormat="false" ht="15" hidden="false" customHeight="false" outlineLevel="0" collapsed="false">
      <c r="A451" s="49" t="n">
        <v>4</v>
      </c>
      <c r="B451" s="32" t="s">
        <v>310</v>
      </c>
      <c r="C451" s="16" t="n">
        <v>416500</v>
      </c>
      <c r="D451" s="13" t="n">
        <v>416500</v>
      </c>
      <c r="E451" s="14" t="n">
        <f aca="false">C451-D451</f>
        <v>0</v>
      </c>
    </row>
    <row r="452" customFormat="false" ht="15" hidden="false" customHeight="false" outlineLevel="0" collapsed="false">
      <c r="A452" s="18" t="n">
        <v>5</v>
      </c>
      <c r="B452" s="32" t="s">
        <v>311</v>
      </c>
      <c r="C452" s="16" t="n">
        <v>416500</v>
      </c>
      <c r="D452" s="13"/>
      <c r="E452" s="14" t="n">
        <f aca="false">C452-D452</f>
        <v>416500</v>
      </c>
    </row>
    <row r="453" customFormat="false" ht="15" hidden="false" customHeight="false" outlineLevel="0" collapsed="false">
      <c r="A453" s="18" t="n">
        <v>6</v>
      </c>
      <c r="B453" s="32" t="s">
        <v>312</v>
      </c>
      <c r="C453" s="16" t="n">
        <v>416500</v>
      </c>
      <c r="D453" s="13" t="n">
        <f aca="false">216500</f>
        <v>216500</v>
      </c>
      <c r="E453" s="14" t="n">
        <f aca="false">C453-D453</f>
        <v>200000</v>
      </c>
    </row>
    <row r="454" customFormat="false" ht="15" hidden="false" customHeight="false" outlineLevel="0" collapsed="false">
      <c r="A454" s="49" t="n">
        <v>7</v>
      </c>
      <c r="B454" s="32" t="s">
        <v>313</v>
      </c>
      <c r="C454" s="16" t="n">
        <v>416500</v>
      </c>
      <c r="D454" s="13"/>
      <c r="E454" s="14" t="n">
        <f aca="false">C454-D454</f>
        <v>416500</v>
      </c>
    </row>
    <row r="455" customFormat="false" ht="15" hidden="false" customHeight="false" outlineLevel="0" collapsed="false">
      <c r="A455" s="18" t="n">
        <v>8</v>
      </c>
      <c r="B455" s="32" t="s">
        <v>314</v>
      </c>
      <c r="C455" s="16" t="n">
        <v>416500</v>
      </c>
      <c r="D455" s="13" t="n">
        <f aca="false">316500+216500</f>
        <v>533000</v>
      </c>
      <c r="E455" s="14" t="n">
        <f aca="false">C455-D455</f>
        <v>-116500</v>
      </c>
    </row>
    <row r="456" customFormat="false" ht="15" hidden="false" customHeight="false" outlineLevel="0" collapsed="false">
      <c r="A456" s="18" t="n">
        <v>9</v>
      </c>
      <c r="B456" s="32" t="s">
        <v>315</v>
      </c>
      <c r="C456" s="16" t="n">
        <v>416500</v>
      </c>
      <c r="D456" s="13"/>
      <c r="E456" s="14" t="n">
        <f aca="false">C456-D456</f>
        <v>416500</v>
      </c>
    </row>
    <row r="457" customFormat="false" ht="15" hidden="false" customHeight="false" outlineLevel="0" collapsed="false">
      <c r="A457" s="49" t="n">
        <v>10</v>
      </c>
      <c r="B457" s="32" t="s">
        <v>316</v>
      </c>
      <c r="C457" s="16" t="n">
        <v>416500</v>
      </c>
      <c r="D457" s="13" t="n">
        <f aca="false">320000+96500</f>
        <v>416500</v>
      </c>
      <c r="E457" s="14" t="n">
        <f aca="false">C457-D457</f>
        <v>0</v>
      </c>
    </row>
    <row r="458" customFormat="false" ht="15" hidden="false" customHeight="false" outlineLevel="0" collapsed="false">
      <c r="A458" s="18" t="n">
        <v>11</v>
      </c>
      <c r="B458" s="32" t="s">
        <v>317</v>
      </c>
      <c r="C458" s="16" t="n">
        <v>416500</v>
      </c>
      <c r="D458" s="13" t="n">
        <v>416500</v>
      </c>
      <c r="E458" s="14" t="n">
        <f aca="false">C458-D458</f>
        <v>0</v>
      </c>
    </row>
    <row r="459" customFormat="false" ht="15" hidden="false" customHeight="false" outlineLevel="0" collapsed="false">
      <c r="A459" s="18" t="n">
        <v>12</v>
      </c>
      <c r="B459" s="32" t="s">
        <v>318</v>
      </c>
      <c r="C459" s="16" t="n">
        <v>416500</v>
      </c>
      <c r="D459" s="13" t="n">
        <v>416500</v>
      </c>
      <c r="E459" s="14" t="n">
        <f aca="false">C459-D459</f>
        <v>0</v>
      </c>
    </row>
    <row r="460" customFormat="false" ht="15" hidden="false" customHeight="false" outlineLevel="0" collapsed="false">
      <c r="A460" s="49" t="n">
        <v>13</v>
      </c>
      <c r="B460" s="32" t="s">
        <v>319</v>
      </c>
      <c r="C460" s="16" t="n">
        <v>416500</v>
      </c>
      <c r="D460" s="13" t="n">
        <f aca="false">166500+100000+150000</f>
        <v>416500</v>
      </c>
      <c r="E460" s="14" t="n">
        <f aca="false">C460-D460</f>
        <v>0</v>
      </c>
    </row>
    <row r="461" customFormat="false" ht="15" hidden="false" customHeight="false" outlineLevel="0" collapsed="false">
      <c r="A461" s="18" t="n">
        <v>14</v>
      </c>
      <c r="B461" s="32" t="s">
        <v>320</v>
      </c>
      <c r="C461" s="16" t="n">
        <v>416500</v>
      </c>
      <c r="D461" s="13" t="n">
        <f aca="false">216500+200000</f>
        <v>416500</v>
      </c>
      <c r="E461" s="14" t="n">
        <f aca="false">C461-D461</f>
        <v>0</v>
      </c>
    </row>
    <row r="462" customFormat="false" ht="17.35" hidden="false" customHeight="false" outlineLevel="0" collapsed="false">
      <c r="A462" s="18"/>
      <c r="B462" s="20" t="s">
        <v>22</v>
      </c>
      <c r="C462" s="21" t="n">
        <f aca="false">SUM(C448:C461)</f>
        <v>5629500</v>
      </c>
      <c r="D462" s="22" t="n">
        <f aca="false">SUM(D448:D461)</f>
        <v>4296000</v>
      </c>
      <c r="E462" s="45" t="n">
        <f aca="false">SUM(E448:E461)</f>
        <v>1333500</v>
      </c>
    </row>
    <row r="463" customFormat="false" ht="15" hidden="false" customHeight="false" outlineLevel="0" collapsed="false">
      <c r="A463" s="46"/>
      <c r="D463" s="24"/>
      <c r="E463" s="24"/>
    </row>
    <row r="464" customFormat="false" ht="15" hidden="false" customHeight="false" outlineLevel="0" collapsed="false">
      <c r="A464" s="46"/>
      <c r="D464" s="24"/>
      <c r="E464" s="24"/>
    </row>
    <row r="465" customFormat="false" ht="15" hidden="false" customHeight="false" outlineLevel="0" collapsed="false">
      <c r="A465" s="46"/>
      <c r="D465" s="24"/>
      <c r="E465" s="24"/>
    </row>
    <row r="466" customFormat="false" ht="17.35" hidden="false" customHeight="false" outlineLevel="0" collapsed="false">
      <c r="A466" s="40"/>
      <c r="B466" s="2" t="s">
        <v>0</v>
      </c>
      <c r="D466" s="24"/>
      <c r="E466" s="24"/>
    </row>
    <row r="467" customFormat="false" ht="17.35" hidden="false" customHeight="false" outlineLevel="0" collapsed="false">
      <c r="A467" s="62"/>
      <c r="D467" s="24"/>
      <c r="E467" s="24"/>
    </row>
    <row r="468" customFormat="false" ht="15" hidden="false" customHeight="false" outlineLevel="0" collapsed="false">
      <c r="A468" s="40"/>
      <c r="D468" s="24"/>
      <c r="E468" s="24"/>
    </row>
    <row r="469" customFormat="false" ht="15" hidden="false" customHeight="false" outlineLevel="0" collapsed="false">
      <c r="A469" s="40"/>
      <c r="B469" s="4" t="s">
        <v>321</v>
      </c>
      <c r="D469" s="24"/>
      <c r="E469" s="24"/>
    </row>
    <row r="470" customFormat="false" ht="15" hidden="false" customHeight="false" outlineLevel="0" collapsed="false">
      <c r="A470" s="40"/>
      <c r="D470" s="25" t="s">
        <v>4</v>
      </c>
      <c r="E470" s="24"/>
    </row>
    <row r="471" customFormat="false" ht="15" hidden="false" customHeight="false" outlineLevel="0" collapsed="false">
      <c r="A471" s="40"/>
      <c r="D471" s="24"/>
      <c r="E471" s="24"/>
    </row>
    <row r="472" customFormat="false" ht="15" hidden="false" customHeight="false" outlineLevel="0" collapsed="false">
      <c r="A472" s="6" t="s">
        <v>5</v>
      </c>
      <c r="B472" s="7" t="s">
        <v>6</v>
      </c>
      <c r="C472" s="8" t="s">
        <v>7</v>
      </c>
      <c r="D472" s="42" t="s">
        <v>8</v>
      </c>
      <c r="E472" s="43" t="s">
        <v>9</v>
      </c>
    </row>
    <row r="473" customFormat="false" ht="15" hidden="false" customHeight="false" outlineLevel="0" collapsed="false">
      <c r="A473" s="49" t="n">
        <v>1</v>
      </c>
      <c r="B473" s="32" t="s">
        <v>322</v>
      </c>
      <c r="C473" s="16" t="n">
        <v>416500</v>
      </c>
      <c r="D473" s="52" t="n">
        <f aca="false">215950+200500</f>
        <v>416450</v>
      </c>
      <c r="E473" s="14" t="n">
        <f aca="false">C473-D473</f>
        <v>50</v>
      </c>
    </row>
    <row r="474" customFormat="false" ht="15" hidden="false" customHeight="false" outlineLevel="0" collapsed="false">
      <c r="A474" s="49" t="n">
        <v>2</v>
      </c>
      <c r="B474" s="32" t="s">
        <v>323</v>
      </c>
      <c r="C474" s="16" t="n">
        <v>416500</v>
      </c>
      <c r="D474" s="52" t="n">
        <v>416500</v>
      </c>
      <c r="E474" s="14" t="n">
        <f aca="false">C474-D474</f>
        <v>0</v>
      </c>
    </row>
    <row r="475" customFormat="false" ht="15" hidden="false" customHeight="false" outlineLevel="0" collapsed="false">
      <c r="A475" s="49" t="n">
        <v>3</v>
      </c>
      <c r="B475" s="80" t="s">
        <v>324</v>
      </c>
      <c r="C475" s="16" t="n">
        <v>416500</v>
      </c>
      <c r="D475" s="52" t="n">
        <v>416500</v>
      </c>
      <c r="E475" s="14" t="n">
        <f aca="false">C475-D475</f>
        <v>0</v>
      </c>
    </row>
    <row r="476" customFormat="false" ht="15" hidden="false" customHeight="false" outlineLevel="0" collapsed="false">
      <c r="A476" s="49" t="n">
        <v>4</v>
      </c>
      <c r="B476" s="32" t="s">
        <v>325</v>
      </c>
      <c r="C476" s="16" t="n">
        <v>416500</v>
      </c>
      <c r="D476" s="52" t="n">
        <f aca="false">200000+216500</f>
        <v>416500</v>
      </c>
      <c r="E476" s="14" t="n">
        <f aca="false">C476-D476</f>
        <v>0</v>
      </c>
    </row>
    <row r="477" customFormat="false" ht="15" hidden="false" customHeight="false" outlineLevel="0" collapsed="false">
      <c r="A477" s="49" t="n">
        <v>5</v>
      </c>
      <c r="B477" s="32" t="s">
        <v>326</v>
      </c>
      <c r="C477" s="16" t="n">
        <v>416500</v>
      </c>
      <c r="D477" s="52" t="n">
        <f aca="false">216000+100000+100000+500</f>
        <v>416500</v>
      </c>
      <c r="E477" s="14" t="n">
        <f aca="false">C477-D477</f>
        <v>0</v>
      </c>
    </row>
    <row r="478" customFormat="false" ht="15" hidden="false" customHeight="false" outlineLevel="0" collapsed="false">
      <c r="A478" s="49" t="n">
        <v>6</v>
      </c>
      <c r="B478" s="32" t="s">
        <v>327</v>
      </c>
      <c r="C478" s="16" t="n">
        <v>416500</v>
      </c>
      <c r="D478" s="52" t="n">
        <f aca="false">300000+200000</f>
        <v>500000</v>
      </c>
      <c r="E478" s="14" t="n">
        <f aca="false">C478-D478</f>
        <v>-83500</v>
      </c>
    </row>
    <row r="479" customFormat="false" ht="15" hidden="false" customHeight="false" outlineLevel="0" collapsed="false">
      <c r="A479" s="49" t="n">
        <v>7</v>
      </c>
      <c r="B479" s="32" t="s">
        <v>328</v>
      </c>
      <c r="C479" s="16" t="n">
        <v>416500</v>
      </c>
      <c r="D479" s="52" t="n">
        <f aca="false">250000</f>
        <v>250000</v>
      </c>
      <c r="E479" s="14" t="n">
        <f aca="false">C479-D479</f>
        <v>166500</v>
      </c>
    </row>
    <row r="480" customFormat="false" ht="15" hidden="false" customHeight="false" outlineLevel="0" collapsed="false">
      <c r="A480" s="49" t="n">
        <v>8</v>
      </c>
      <c r="B480" s="32" t="s">
        <v>329</v>
      </c>
      <c r="C480" s="16" t="n">
        <v>416500</v>
      </c>
      <c r="D480" s="52" t="n">
        <f aca="false">100000+216500+100000</f>
        <v>416500</v>
      </c>
      <c r="E480" s="14" t="n">
        <f aca="false">C480-D480</f>
        <v>0</v>
      </c>
    </row>
    <row r="481" customFormat="false" ht="15" hidden="false" customHeight="false" outlineLevel="0" collapsed="false">
      <c r="A481" s="49" t="n">
        <v>9</v>
      </c>
      <c r="B481" s="32" t="s">
        <v>330</v>
      </c>
      <c r="C481" s="16" t="n">
        <v>416500</v>
      </c>
      <c r="D481" s="52" t="n">
        <f aca="false">17500+100000</f>
        <v>117500</v>
      </c>
      <c r="E481" s="14" t="n">
        <f aca="false">C481-D481</f>
        <v>299000</v>
      </c>
    </row>
    <row r="482" customFormat="false" ht="15" hidden="false" customHeight="false" outlineLevel="0" collapsed="false">
      <c r="A482" s="49" t="n">
        <v>10</v>
      </c>
      <c r="B482" s="32" t="s">
        <v>331</v>
      </c>
      <c r="C482" s="16" t="n">
        <v>416500</v>
      </c>
      <c r="D482" s="52" t="n">
        <f aca="false">100000+100000+50000+90000+76500</f>
        <v>416500</v>
      </c>
      <c r="E482" s="14" t="n">
        <f aca="false">C482-D482</f>
        <v>0</v>
      </c>
    </row>
    <row r="483" customFormat="false" ht="15" hidden="false" customHeight="false" outlineLevel="0" collapsed="false">
      <c r="A483" s="49" t="n">
        <v>11</v>
      </c>
      <c r="B483" s="32" t="s">
        <v>332</v>
      </c>
      <c r="C483" s="16" t="n">
        <v>416500</v>
      </c>
      <c r="D483" s="52" t="n">
        <f aca="false">216500+200000</f>
        <v>416500</v>
      </c>
      <c r="E483" s="14" t="n">
        <f aca="false">C483-D483</f>
        <v>0</v>
      </c>
    </row>
    <row r="484" customFormat="false" ht="15" hidden="false" customHeight="false" outlineLevel="0" collapsed="false">
      <c r="A484" s="49" t="n">
        <v>12</v>
      </c>
      <c r="B484" s="32" t="s">
        <v>333</v>
      </c>
      <c r="C484" s="16" t="n">
        <v>416500</v>
      </c>
      <c r="D484" s="52" t="n">
        <f aca="false">216500+200000</f>
        <v>416500</v>
      </c>
      <c r="E484" s="14" t="n">
        <f aca="false">C484-D484</f>
        <v>0</v>
      </c>
    </row>
    <row r="485" customFormat="false" ht="15" hidden="false" customHeight="false" outlineLevel="0" collapsed="false">
      <c r="A485" s="49" t="n">
        <v>13</v>
      </c>
      <c r="B485" s="32" t="s">
        <v>334</v>
      </c>
      <c r="C485" s="16" t="n">
        <v>416500</v>
      </c>
      <c r="D485" s="52" t="n">
        <f aca="false">250000</f>
        <v>250000</v>
      </c>
      <c r="E485" s="14" t="n">
        <f aca="false">C485-D485</f>
        <v>166500</v>
      </c>
    </row>
    <row r="486" customFormat="false" ht="15" hidden="false" customHeight="false" outlineLevel="0" collapsed="false">
      <c r="A486" s="49" t="n">
        <v>14</v>
      </c>
      <c r="B486" s="32" t="s">
        <v>335</v>
      </c>
      <c r="C486" s="16" t="n">
        <v>416500</v>
      </c>
      <c r="D486" s="52" t="n">
        <f aca="false">100000+200000+116500</f>
        <v>416500</v>
      </c>
      <c r="E486" s="14" t="n">
        <f aca="false">C486-D486</f>
        <v>0</v>
      </c>
    </row>
    <row r="487" customFormat="false" ht="15" hidden="false" customHeight="false" outlineLevel="0" collapsed="false">
      <c r="A487" s="49" t="n">
        <v>15</v>
      </c>
      <c r="B487" s="32" t="s">
        <v>336</v>
      </c>
      <c r="C487" s="16" t="n">
        <v>416500</v>
      </c>
      <c r="D487" s="52" t="n">
        <f aca="false">200000+217000</f>
        <v>417000</v>
      </c>
      <c r="E487" s="14" t="n">
        <f aca="false">C487-D487</f>
        <v>-500</v>
      </c>
    </row>
    <row r="488" customFormat="false" ht="15" hidden="false" customHeight="false" outlineLevel="0" collapsed="false">
      <c r="A488" s="49" t="n">
        <v>16</v>
      </c>
      <c r="B488" s="32" t="s">
        <v>337</v>
      </c>
      <c r="C488" s="16" t="n">
        <v>416500</v>
      </c>
      <c r="D488" s="52" t="n">
        <f aca="false">216000+200500</f>
        <v>416500</v>
      </c>
      <c r="E488" s="14" t="n">
        <f aca="false">C488-D488</f>
        <v>0</v>
      </c>
    </row>
    <row r="489" customFormat="false" ht="15" hidden="false" customHeight="false" outlineLevel="0" collapsed="false">
      <c r="A489" s="49" t="n">
        <v>17</v>
      </c>
      <c r="B489" s="32" t="s">
        <v>338</v>
      </c>
      <c r="C489" s="16" t="n">
        <v>416500</v>
      </c>
      <c r="D489" s="52" t="n">
        <f aca="false">200000+216500</f>
        <v>416500</v>
      </c>
      <c r="E489" s="14" t="n">
        <f aca="false">C489-D489</f>
        <v>0</v>
      </c>
    </row>
    <row r="490" customFormat="false" ht="15" hidden="false" customHeight="false" outlineLevel="0" collapsed="false">
      <c r="A490" s="49" t="n">
        <v>18</v>
      </c>
      <c r="B490" s="32" t="s">
        <v>339</v>
      </c>
      <c r="C490" s="16" t="n">
        <v>416500</v>
      </c>
      <c r="D490" s="52" t="n">
        <f aca="false">315000+100500+1000</f>
        <v>416500</v>
      </c>
      <c r="E490" s="14" t="n">
        <f aca="false">C490-D490</f>
        <v>0</v>
      </c>
    </row>
    <row r="491" customFormat="false" ht="15" hidden="false" customHeight="false" outlineLevel="0" collapsed="false">
      <c r="A491" s="49" t="n">
        <v>19</v>
      </c>
      <c r="B491" s="32" t="s">
        <v>340</v>
      </c>
      <c r="C491" s="16" t="n">
        <v>416500</v>
      </c>
      <c r="D491" s="52" t="n">
        <f aca="false">216000+200000+500</f>
        <v>416500</v>
      </c>
      <c r="E491" s="14" t="n">
        <f aca="false">C491-D491</f>
        <v>0</v>
      </c>
    </row>
    <row r="492" customFormat="false" ht="15" hidden="false" customHeight="false" outlineLevel="0" collapsed="false">
      <c r="A492" s="49" t="n">
        <v>20</v>
      </c>
      <c r="B492" s="32" t="s">
        <v>341</v>
      </c>
      <c r="C492" s="16" t="n">
        <v>416500</v>
      </c>
      <c r="D492" s="52" t="n">
        <f aca="false">250000+166500</f>
        <v>416500</v>
      </c>
      <c r="E492" s="14" t="n">
        <f aca="false">C492-D492</f>
        <v>0</v>
      </c>
    </row>
    <row r="493" customFormat="false" ht="15" hidden="false" customHeight="false" outlineLevel="0" collapsed="false">
      <c r="A493" s="49" t="n">
        <v>21</v>
      </c>
      <c r="B493" s="32" t="s">
        <v>342</v>
      </c>
      <c r="C493" s="16" t="n">
        <v>416500</v>
      </c>
      <c r="D493" s="52" t="n">
        <f aca="false">216000+200000+500</f>
        <v>416500</v>
      </c>
      <c r="E493" s="14" t="n">
        <f aca="false">C493-D493</f>
        <v>0</v>
      </c>
    </row>
    <row r="494" customFormat="false" ht="15" hidden="false" customHeight="false" outlineLevel="0" collapsed="false">
      <c r="A494" s="49" t="n">
        <v>22</v>
      </c>
      <c r="B494" s="32" t="s">
        <v>343</v>
      </c>
      <c r="C494" s="16" t="n">
        <v>416500</v>
      </c>
      <c r="D494" s="52" t="n">
        <f aca="false">100000+100000+16500+200000</f>
        <v>416500</v>
      </c>
      <c r="E494" s="14" t="n">
        <f aca="false">C494-D494</f>
        <v>0</v>
      </c>
    </row>
    <row r="495" customFormat="false" ht="15" hidden="false" customHeight="false" outlineLevel="0" collapsed="false">
      <c r="A495" s="49" t="n">
        <v>23</v>
      </c>
      <c r="B495" s="32" t="s">
        <v>344</v>
      </c>
      <c r="C495" s="16" t="n">
        <v>416500</v>
      </c>
      <c r="D495" s="52" t="n">
        <f aca="false">300000+116500</f>
        <v>416500</v>
      </c>
      <c r="E495" s="14" t="n">
        <f aca="false">C495-D495</f>
        <v>0</v>
      </c>
    </row>
    <row r="496" customFormat="false" ht="15" hidden="false" customHeight="false" outlineLevel="0" collapsed="false">
      <c r="A496" s="49" t="n">
        <v>24</v>
      </c>
      <c r="B496" s="32" t="s">
        <v>345</v>
      </c>
      <c r="C496" s="16" t="n">
        <v>416500</v>
      </c>
      <c r="D496" s="52" t="n">
        <f aca="false">316000+100500</f>
        <v>416500</v>
      </c>
      <c r="E496" s="14" t="n">
        <f aca="false">C496-D496</f>
        <v>0</v>
      </c>
    </row>
    <row r="497" customFormat="false" ht="15" hidden="false" customHeight="false" outlineLevel="0" collapsed="false">
      <c r="A497" s="49" t="n">
        <v>25</v>
      </c>
      <c r="B497" s="32" t="s">
        <v>346</v>
      </c>
      <c r="C497" s="16" t="n">
        <v>416500</v>
      </c>
      <c r="D497" s="52" t="n">
        <f aca="false">216500+100000+100000</f>
        <v>416500</v>
      </c>
      <c r="E497" s="14" t="n">
        <f aca="false">C497-D497</f>
        <v>0</v>
      </c>
    </row>
    <row r="498" customFormat="false" ht="15" hidden="false" customHeight="false" outlineLevel="0" collapsed="false">
      <c r="A498" s="49" t="n">
        <v>26</v>
      </c>
      <c r="B498" s="32" t="s">
        <v>347</v>
      </c>
      <c r="C498" s="16" t="n">
        <v>416500</v>
      </c>
      <c r="D498" s="52" t="n">
        <v>416500</v>
      </c>
      <c r="E498" s="14" t="n">
        <f aca="false">C498-D498</f>
        <v>0</v>
      </c>
    </row>
    <row r="499" customFormat="false" ht="15" hidden="false" customHeight="false" outlineLevel="0" collapsed="false">
      <c r="A499" s="49" t="n">
        <v>27</v>
      </c>
      <c r="B499" s="32" t="s">
        <v>348</v>
      </c>
      <c r="C499" s="16" t="n">
        <v>416500</v>
      </c>
      <c r="D499" s="52" t="n">
        <f aca="false">400000+16500</f>
        <v>416500</v>
      </c>
      <c r="E499" s="14" t="n">
        <f aca="false">C499-D499</f>
        <v>0</v>
      </c>
    </row>
    <row r="500" customFormat="false" ht="15" hidden="false" customHeight="false" outlineLevel="0" collapsed="false">
      <c r="A500" s="49" t="n">
        <v>28</v>
      </c>
      <c r="B500" s="32" t="s">
        <v>349</v>
      </c>
      <c r="C500" s="16" t="n">
        <v>416500</v>
      </c>
      <c r="D500" s="52" t="n">
        <f aca="false">216500+200000</f>
        <v>416500</v>
      </c>
      <c r="E500" s="14" t="n">
        <f aca="false">C500-D500</f>
        <v>0</v>
      </c>
    </row>
    <row r="501" customFormat="false" ht="15" hidden="false" customHeight="false" outlineLevel="0" collapsed="false">
      <c r="A501" s="49" t="n">
        <v>29</v>
      </c>
      <c r="B501" s="32" t="s">
        <v>350</v>
      </c>
      <c r="C501" s="16" t="n">
        <v>416500</v>
      </c>
      <c r="D501" s="13" t="n">
        <f aca="false">116500+300000</f>
        <v>416500</v>
      </c>
      <c r="E501" s="14" t="n">
        <f aca="false">C501-D501</f>
        <v>0</v>
      </c>
    </row>
    <row r="502" customFormat="false" ht="15" hidden="false" customHeight="false" outlineLevel="0" collapsed="false">
      <c r="A502" s="49" t="n">
        <v>30</v>
      </c>
      <c r="B502" s="32" t="s">
        <v>351</v>
      </c>
      <c r="C502" s="16" t="n">
        <v>416500</v>
      </c>
      <c r="D502" s="13" t="n">
        <v>416000</v>
      </c>
      <c r="E502" s="14" t="n">
        <f aca="false">C502-D502</f>
        <v>500</v>
      </c>
    </row>
    <row r="503" customFormat="false" ht="15" hidden="false" customHeight="false" outlineLevel="0" collapsed="false">
      <c r="A503" s="49" t="n">
        <v>31</v>
      </c>
      <c r="B503" s="32" t="s">
        <v>352</v>
      </c>
      <c r="C503" s="16" t="n">
        <v>416500</v>
      </c>
      <c r="D503" s="13" t="n">
        <f aca="false">316500+100000</f>
        <v>416500</v>
      </c>
      <c r="E503" s="14" t="n">
        <f aca="false">C503-D503</f>
        <v>0</v>
      </c>
    </row>
    <row r="504" customFormat="false" ht="15" hidden="false" customHeight="false" outlineLevel="0" collapsed="false">
      <c r="A504" s="49" t="n">
        <v>32</v>
      </c>
      <c r="B504" s="32" t="s">
        <v>353</v>
      </c>
      <c r="C504" s="16" t="n">
        <v>416500</v>
      </c>
      <c r="D504" s="13" t="n">
        <f aca="false">300000+116500</f>
        <v>416500</v>
      </c>
      <c r="E504" s="14" t="n">
        <f aca="false">C504-D504</f>
        <v>0</v>
      </c>
    </row>
    <row r="505" customFormat="false" ht="15" hidden="false" customHeight="false" outlineLevel="0" collapsed="false">
      <c r="A505" s="49" t="n">
        <v>33</v>
      </c>
      <c r="B505" s="32" t="s">
        <v>354</v>
      </c>
      <c r="C505" s="16" t="n">
        <v>416500</v>
      </c>
      <c r="D505" s="13" t="n">
        <f aca="false">300000+117000</f>
        <v>417000</v>
      </c>
      <c r="E505" s="14" t="n">
        <f aca="false">C505-D505</f>
        <v>-500</v>
      </c>
    </row>
    <row r="506" customFormat="false" ht="15" hidden="false" customHeight="false" outlineLevel="0" collapsed="false">
      <c r="A506" s="49" t="n">
        <v>34</v>
      </c>
      <c r="B506" s="32" t="s">
        <v>355</v>
      </c>
      <c r="C506" s="16" t="n">
        <v>416500</v>
      </c>
      <c r="D506" s="13" t="n">
        <f aca="false">300000+116500</f>
        <v>416500</v>
      </c>
      <c r="E506" s="14" t="n">
        <f aca="false">C506-D506</f>
        <v>0</v>
      </c>
    </row>
    <row r="507" customFormat="false" ht="15" hidden="false" customHeight="false" outlineLevel="0" collapsed="false">
      <c r="A507" s="49" t="n">
        <v>35</v>
      </c>
      <c r="B507" s="53" t="s">
        <v>356</v>
      </c>
      <c r="C507" s="16" t="n">
        <v>416500</v>
      </c>
      <c r="D507" s="13" t="n">
        <f aca="false">216000+200500</f>
        <v>416500</v>
      </c>
      <c r="E507" s="14" t="n">
        <f aca="false">C507-D507</f>
        <v>0</v>
      </c>
    </row>
    <row r="508" customFormat="false" ht="17.35" hidden="false" customHeight="false" outlineLevel="0" collapsed="false">
      <c r="A508" s="18"/>
      <c r="B508" s="20" t="s">
        <v>22</v>
      </c>
      <c r="C508" s="21" t="n">
        <f aca="false">SUM(C473:C507)</f>
        <v>14577500</v>
      </c>
      <c r="D508" s="22" t="n">
        <f aca="false">SUM(D473:D507)</f>
        <v>14029450</v>
      </c>
      <c r="E508" s="45" t="n">
        <f aca="false">C508-D508</f>
        <v>548050</v>
      </c>
    </row>
    <row r="509" customFormat="false" ht="15" hidden="false" customHeight="false" outlineLevel="0" collapsed="false">
      <c r="A509" s="46"/>
      <c r="D509" s="24"/>
      <c r="E509" s="24"/>
    </row>
    <row r="510" customFormat="false" ht="15" hidden="false" customHeight="false" outlineLevel="0" collapsed="false">
      <c r="A510" s="46"/>
      <c r="D510" s="24"/>
      <c r="E510" s="24"/>
    </row>
    <row r="511" customFormat="false" ht="17.35" hidden="false" customHeight="false" outlineLevel="0" collapsed="false">
      <c r="A511" s="40"/>
      <c r="B511" s="2" t="s">
        <v>0</v>
      </c>
      <c r="D511" s="24"/>
      <c r="E511" s="24"/>
    </row>
    <row r="512" customFormat="false" ht="17.35" hidden="false" customHeight="false" outlineLevel="0" collapsed="false">
      <c r="A512" s="62"/>
      <c r="D512" s="24"/>
      <c r="E512" s="24"/>
    </row>
    <row r="513" customFormat="false" ht="15" hidden="false" customHeight="false" outlineLevel="0" collapsed="false">
      <c r="A513" s="40"/>
      <c r="D513" s="24"/>
      <c r="E513" s="24"/>
    </row>
    <row r="514" customFormat="false" ht="17.25" hidden="false" customHeight="false" outlineLevel="0" collapsed="false">
      <c r="A514" s="40"/>
      <c r="B514" s="4" t="s">
        <v>357</v>
      </c>
      <c r="D514" s="24"/>
      <c r="E514" s="24"/>
    </row>
    <row r="515" customFormat="false" ht="15" hidden="false" customHeight="false" outlineLevel="0" collapsed="false">
      <c r="A515" s="40"/>
      <c r="D515" s="25" t="s">
        <v>51</v>
      </c>
      <c r="E515" s="24"/>
    </row>
    <row r="516" customFormat="false" ht="15" hidden="false" customHeight="false" outlineLevel="0" collapsed="false">
      <c r="A516" s="40"/>
      <c r="D516" s="24"/>
      <c r="E516" s="24"/>
    </row>
    <row r="517" customFormat="false" ht="15" hidden="false" customHeight="false" outlineLevel="0" collapsed="false">
      <c r="A517" s="6" t="s">
        <v>5</v>
      </c>
      <c r="B517" s="7" t="s">
        <v>6</v>
      </c>
      <c r="C517" s="8" t="s">
        <v>7</v>
      </c>
      <c r="D517" s="42" t="s">
        <v>8</v>
      </c>
      <c r="E517" s="43" t="s">
        <v>9</v>
      </c>
    </row>
    <row r="518" customFormat="false" ht="15" hidden="false" customHeight="false" outlineLevel="0" collapsed="false">
      <c r="A518" s="18" t="n">
        <v>1</v>
      </c>
      <c r="B518" s="32" t="s">
        <v>358</v>
      </c>
      <c r="C518" s="16" t="n">
        <v>416500</v>
      </c>
      <c r="D518" s="13" t="n">
        <f aca="false">240000+180000</f>
        <v>420000</v>
      </c>
      <c r="E518" s="14" t="n">
        <f aca="false">C518-D518</f>
        <v>-3500</v>
      </c>
    </row>
    <row r="519" customFormat="false" ht="15" hidden="false" customHeight="false" outlineLevel="0" collapsed="false">
      <c r="A519" s="49" t="n">
        <v>2</v>
      </c>
      <c r="B519" s="32" t="s">
        <v>359</v>
      </c>
      <c r="C519" s="16" t="n">
        <v>416500</v>
      </c>
      <c r="D519" s="13" t="n">
        <f aca="false">216500+200000</f>
        <v>416500</v>
      </c>
      <c r="E519" s="14" t="n">
        <f aca="false">C519-D519</f>
        <v>0</v>
      </c>
    </row>
    <row r="520" customFormat="false" ht="15" hidden="false" customHeight="false" outlineLevel="0" collapsed="false">
      <c r="A520" s="49" t="n">
        <v>3</v>
      </c>
      <c r="B520" s="32" t="s">
        <v>360</v>
      </c>
      <c r="C520" s="16" t="n">
        <v>416500</v>
      </c>
      <c r="D520" s="13" t="n">
        <f aca="false">186500+30000+200000</f>
        <v>416500</v>
      </c>
      <c r="E520" s="14" t="n">
        <f aca="false">C520-D520</f>
        <v>0</v>
      </c>
    </row>
    <row r="521" customFormat="false" ht="15" hidden="false" customHeight="false" outlineLevel="0" collapsed="false">
      <c r="A521" s="18" t="n">
        <v>4</v>
      </c>
      <c r="B521" s="32" t="s">
        <v>361</v>
      </c>
      <c r="C521" s="16" t="n">
        <v>416500</v>
      </c>
      <c r="D521" s="13" t="n">
        <f aca="false">216500+200000</f>
        <v>416500</v>
      </c>
      <c r="E521" s="14" t="n">
        <f aca="false">C521-D521</f>
        <v>0</v>
      </c>
    </row>
    <row r="522" customFormat="false" ht="15" hidden="false" customHeight="false" outlineLevel="0" collapsed="false">
      <c r="A522" s="49" t="n">
        <v>5</v>
      </c>
      <c r="B522" s="32" t="s">
        <v>362</v>
      </c>
      <c r="C522" s="16" t="n">
        <v>416500</v>
      </c>
      <c r="D522" s="13"/>
      <c r="E522" s="14" t="n">
        <f aca="false">C522-D522</f>
        <v>416500</v>
      </c>
    </row>
    <row r="523" customFormat="false" ht="15" hidden="false" customHeight="false" outlineLevel="0" collapsed="false">
      <c r="A523" s="49" t="n">
        <v>6</v>
      </c>
      <c r="B523" s="32" t="s">
        <v>363</v>
      </c>
      <c r="C523" s="16" t="n">
        <v>416500</v>
      </c>
      <c r="D523" s="13" t="n">
        <f aca="false">250000+166500</f>
        <v>416500</v>
      </c>
      <c r="E523" s="14" t="n">
        <f aca="false">C523-D523</f>
        <v>0</v>
      </c>
    </row>
    <row r="524" customFormat="false" ht="15" hidden="false" customHeight="false" outlineLevel="0" collapsed="false">
      <c r="A524" s="18" t="n">
        <v>7</v>
      </c>
      <c r="B524" s="32" t="s">
        <v>364</v>
      </c>
      <c r="C524" s="16" t="n">
        <v>416500</v>
      </c>
      <c r="D524" s="13" t="n">
        <f aca="false">167000+249500</f>
        <v>416500</v>
      </c>
      <c r="E524" s="14" t="n">
        <f aca="false">C524-D524</f>
        <v>0</v>
      </c>
    </row>
    <row r="525" customFormat="false" ht="15" hidden="false" customHeight="false" outlineLevel="0" collapsed="false">
      <c r="A525" s="49" t="n">
        <v>8</v>
      </c>
      <c r="B525" s="32" t="s">
        <v>365</v>
      </c>
      <c r="C525" s="16" t="n">
        <v>416500</v>
      </c>
      <c r="D525" s="13" t="n">
        <f aca="false">300000+116500</f>
        <v>416500</v>
      </c>
      <c r="E525" s="14" t="n">
        <f aca="false">C525-D525</f>
        <v>0</v>
      </c>
    </row>
    <row r="526" customFormat="false" ht="15" hidden="false" customHeight="false" outlineLevel="0" collapsed="false">
      <c r="A526" s="49" t="n">
        <v>9</v>
      </c>
      <c r="B526" s="32" t="s">
        <v>366</v>
      </c>
      <c r="C526" s="16" t="n">
        <v>416500</v>
      </c>
      <c r="D526" s="13" t="n">
        <f aca="false">216500+200000</f>
        <v>416500</v>
      </c>
      <c r="E526" s="14" t="n">
        <f aca="false">C526-D526</f>
        <v>0</v>
      </c>
    </row>
    <row r="527" customFormat="false" ht="15" hidden="false" customHeight="false" outlineLevel="0" collapsed="false">
      <c r="A527" s="18" t="n">
        <v>10</v>
      </c>
      <c r="B527" s="32" t="s">
        <v>367</v>
      </c>
      <c r="C527" s="16" t="n">
        <v>416500</v>
      </c>
      <c r="D527" s="13" t="n">
        <f aca="false">416000+500</f>
        <v>416500</v>
      </c>
      <c r="E527" s="14" t="n">
        <f aca="false">C527-D527</f>
        <v>0</v>
      </c>
    </row>
    <row r="528" customFormat="false" ht="15" hidden="false" customHeight="false" outlineLevel="0" collapsed="false">
      <c r="A528" s="49" t="n">
        <v>11</v>
      </c>
      <c r="B528" s="32" t="s">
        <v>368</v>
      </c>
      <c r="C528" s="16" t="n">
        <v>416500</v>
      </c>
      <c r="D528" s="13" t="n">
        <f aca="false">316500+100000</f>
        <v>416500</v>
      </c>
      <c r="E528" s="14" t="n">
        <f aca="false">C528-D528</f>
        <v>0</v>
      </c>
    </row>
    <row r="529" customFormat="false" ht="15" hidden="false" customHeight="false" outlineLevel="0" collapsed="false">
      <c r="A529" s="49" t="n">
        <v>12</v>
      </c>
      <c r="B529" s="32" t="s">
        <v>369</v>
      </c>
      <c r="C529" s="16" t="n">
        <v>416500</v>
      </c>
      <c r="D529" s="13" t="n">
        <f aca="false">316500+266500</f>
        <v>583000</v>
      </c>
      <c r="E529" s="14" t="n">
        <f aca="false">C529-D529</f>
        <v>-166500</v>
      </c>
    </row>
    <row r="530" customFormat="false" ht="15" hidden="false" customHeight="false" outlineLevel="0" collapsed="false">
      <c r="A530" s="18" t="n">
        <v>13</v>
      </c>
      <c r="B530" s="32" t="s">
        <v>370</v>
      </c>
      <c r="C530" s="16" t="n">
        <v>416500</v>
      </c>
      <c r="D530" s="13" t="n">
        <f aca="false">220000</f>
        <v>220000</v>
      </c>
      <c r="E530" s="14" t="n">
        <f aca="false">C530-D530</f>
        <v>196500</v>
      </c>
    </row>
    <row r="531" customFormat="false" ht="15" hidden="false" customHeight="false" outlineLevel="0" collapsed="false">
      <c r="A531" s="49" t="n">
        <v>14</v>
      </c>
      <c r="B531" s="32" t="s">
        <v>371</v>
      </c>
      <c r="C531" s="16" t="n">
        <v>416500</v>
      </c>
      <c r="D531" s="13" t="n">
        <f aca="false">250000+166500</f>
        <v>416500</v>
      </c>
      <c r="E531" s="14" t="n">
        <f aca="false">C531-D531</f>
        <v>0</v>
      </c>
    </row>
    <row r="532" customFormat="false" ht="15" hidden="false" customHeight="false" outlineLevel="0" collapsed="false">
      <c r="A532" s="49" t="n">
        <v>15</v>
      </c>
      <c r="B532" s="32" t="s">
        <v>372</v>
      </c>
      <c r="C532" s="16" t="n">
        <v>416500</v>
      </c>
      <c r="D532" s="13"/>
      <c r="E532" s="14" t="n">
        <f aca="false">C532-D532</f>
        <v>416500</v>
      </c>
    </row>
    <row r="533" customFormat="false" ht="15" hidden="false" customHeight="false" outlineLevel="0" collapsed="false">
      <c r="A533" s="18" t="n">
        <v>16</v>
      </c>
      <c r="B533" s="32" t="s">
        <v>373</v>
      </c>
      <c r="C533" s="16" t="n">
        <v>416500</v>
      </c>
      <c r="D533" s="13" t="n">
        <v>416500</v>
      </c>
      <c r="E533" s="14" t="n">
        <f aca="false">C533-D533</f>
        <v>0</v>
      </c>
    </row>
    <row r="534" customFormat="false" ht="15" hidden="false" customHeight="false" outlineLevel="0" collapsed="false">
      <c r="A534" s="49" t="n">
        <v>17</v>
      </c>
      <c r="B534" s="32" t="s">
        <v>374</v>
      </c>
      <c r="C534" s="16" t="n">
        <v>416500</v>
      </c>
      <c r="D534" s="13" t="n">
        <f aca="false">416500</f>
        <v>416500</v>
      </c>
      <c r="E534" s="14" t="n">
        <f aca="false">C534-D534</f>
        <v>0</v>
      </c>
    </row>
    <row r="535" customFormat="false" ht="15" hidden="false" customHeight="false" outlineLevel="0" collapsed="false">
      <c r="A535" s="49" t="n">
        <v>18</v>
      </c>
      <c r="B535" s="32" t="s">
        <v>375</v>
      </c>
      <c r="C535" s="16" t="n">
        <v>416500</v>
      </c>
      <c r="D535" s="13" t="n">
        <f aca="false">216000+100000+100500</f>
        <v>416500</v>
      </c>
      <c r="E535" s="14" t="n">
        <f aca="false">C535-D535</f>
        <v>0</v>
      </c>
    </row>
    <row r="536" customFormat="false" ht="15" hidden="false" customHeight="false" outlineLevel="0" collapsed="false">
      <c r="A536" s="18" t="n">
        <v>19</v>
      </c>
      <c r="B536" s="32" t="s">
        <v>376</v>
      </c>
      <c r="C536" s="16" t="n">
        <v>416500</v>
      </c>
      <c r="D536" s="13" t="n">
        <f aca="false">300000+110000+6500</f>
        <v>416500</v>
      </c>
      <c r="E536" s="14" t="n">
        <f aca="false">C536-D536</f>
        <v>0</v>
      </c>
    </row>
    <row r="537" customFormat="false" ht="15" hidden="false" customHeight="false" outlineLevel="0" collapsed="false">
      <c r="A537" s="49" t="n">
        <v>20</v>
      </c>
      <c r="B537" s="32" t="s">
        <v>377</v>
      </c>
      <c r="C537" s="16" t="n">
        <v>416500</v>
      </c>
      <c r="D537" s="13" t="n">
        <f aca="false">250500</f>
        <v>250500</v>
      </c>
      <c r="E537" s="14" t="n">
        <f aca="false">C537-D537</f>
        <v>166000</v>
      </c>
    </row>
    <row r="538" customFormat="false" ht="15" hidden="false" customHeight="false" outlineLevel="0" collapsed="false">
      <c r="A538" s="49" t="n">
        <v>21</v>
      </c>
      <c r="B538" s="32" t="s">
        <v>378</v>
      </c>
      <c r="C538" s="16" t="n">
        <v>416500</v>
      </c>
      <c r="D538" s="13" t="n">
        <f aca="false">100000+200000+116500</f>
        <v>416500</v>
      </c>
      <c r="E538" s="14" t="n">
        <f aca="false">C538-D538</f>
        <v>0</v>
      </c>
    </row>
    <row r="539" customFormat="false" ht="15" hidden="false" customHeight="false" outlineLevel="0" collapsed="false">
      <c r="A539" s="18" t="n">
        <v>22</v>
      </c>
      <c r="B539" s="32" t="s">
        <v>379</v>
      </c>
      <c r="C539" s="16" t="n">
        <v>416500</v>
      </c>
      <c r="D539" s="13" t="n">
        <f aca="false">300000+116500</f>
        <v>416500</v>
      </c>
      <c r="E539" s="14" t="n">
        <f aca="false">C539-D539</f>
        <v>0</v>
      </c>
    </row>
    <row r="540" customFormat="false" ht="15" hidden="false" customHeight="false" outlineLevel="0" collapsed="false">
      <c r="A540" s="49" t="n">
        <v>23</v>
      </c>
      <c r="B540" s="32" t="s">
        <v>380</v>
      </c>
      <c r="C540" s="16" t="n">
        <v>416500</v>
      </c>
      <c r="D540" s="13" t="n">
        <f aca="false">100000+316500</f>
        <v>416500</v>
      </c>
      <c r="E540" s="14" t="n">
        <f aca="false">C540-D540</f>
        <v>0</v>
      </c>
    </row>
    <row r="541" customFormat="false" ht="15" hidden="false" customHeight="false" outlineLevel="0" collapsed="false">
      <c r="A541" s="49" t="n">
        <v>24</v>
      </c>
      <c r="B541" s="32" t="s">
        <v>381</v>
      </c>
      <c r="C541" s="16" t="n">
        <v>416500</v>
      </c>
      <c r="D541" s="13" t="n">
        <f aca="false">116500+300000</f>
        <v>416500</v>
      </c>
      <c r="E541" s="14" t="n">
        <f aca="false">C541-D541</f>
        <v>0</v>
      </c>
    </row>
    <row r="542" customFormat="false" ht="15" hidden="false" customHeight="false" outlineLevel="0" collapsed="false">
      <c r="A542" s="18" t="n">
        <v>25</v>
      </c>
      <c r="B542" s="32" t="s">
        <v>382</v>
      </c>
      <c r="C542" s="16" t="n">
        <v>416500</v>
      </c>
      <c r="D542" s="13" t="n">
        <f aca="false">166500+30000+20000+200000</f>
        <v>416500</v>
      </c>
      <c r="E542" s="14" t="n">
        <f aca="false">C542-D542</f>
        <v>0</v>
      </c>
    </row>
    <row r="543" customFormat="false" ht="15" hidden="false" customHeight="false" outlineLevel="0" collapsed="false">
      <c r="A543" s="49" t="n">
        <v>26</v>
      </c>
      <c r="B543" s="32" t="s">
        <v>383</v>
      </c>
      <c r="C543" s="16" t="n">
        <v>416500</v>
      </c>
      <c r="D543" s="13" t="n">
        <f aca="false">199500+217000</f>
        <v>416500</v>
      </c>
      <c r="E543" s="14" t="n">
        <f aca="false">C543-D543</f>
        <v>0</v>
      </c>
    </row>
    <row r="544" customFormat="false" ht="15" hidden="false" customHeight="false" outlineLevel="0" collapsed="false">
      <c r="A544" s="49" t="n">
        <v>27</v>
      </c>
      <c r="B544" s="32" t="s">
        <v>384</v>
      </c>
      <c r="C544" s="16" t="n">
        <v>416500</v>
      </c>
      <c r="D544" s="13" t="n">
        <f aca="false">100000+120000+196500</f>
        <v>416500</v>
      </c>
      <c r="E544" s="14" t="n">
        <f aca="false">C544-D544</f>
        <v>0</v>
      </c>
    </row>
    <row r="545" customFormat="false" ht="15" hidden="false" customHeight="false" outlineLevel="0" collapsed="false">
      <c r="A545" s="18" t="n">
        <v>28</v>
      </c>
      <c r="B545" s="32" t="s">
        <v>385</v>
      </c>
      <c r="C545" s="16" t="n">
        <v>416500</v>
      </c>
      <c r="D545" s="13" t="n">
        <f aca="false">216500+200000</f>
        <v>416500</v>
      </c>
      <c r="E545" s="14" t="n">
        <f aca="false">C545-D545</f>
        <v>0</v>
      </c>
    </row>
    <row r="546" customFormat="false" ht="15" hidden="false" customHeight="false" outlineLevel="0" collapsed="false">
      <c r="A546" s="49" t="n">
        <v>29</v>
      </c>
      <c r="B546" s="32" t="s">
        <v>386</v>
      </c>
      <c r="C546" s="16" t="n">
        <v>416500</v>
      </c>
      <c r="D546" s="13" t="n">
        <f aca="false">216500+200000</f>
        <v>416500</v>
      </c>
      <c r="E546" s="14" t="n">
        <f aca="false">C546-D546</f>
        <v>0</v>
      </c>
    </row>
    <row r="547" customFormat="false" ht="15" hidden="false" customHeight="false" outlineLevel="0" collapsed="false">
      <c r="A547" s="49" t="n">
        <v>30</v>
      </c>
      <c r="B547" s="32" t="s">
        <v>387</v>
      </c>
      <c r="C547" s="16" t="n">
        <v>416500</v>
      </c>
      <c r="D547" s="13" t="n">
        <f aca="false">20000+30000+166500+200000</f>
        <v>416500</v>
      </c>
      <c r="E547" s="14" t="n">
        <f aca="false">C547-D547</f>
        <v>0</v>
      </c>
    </row>
    <row r="548" customFormat="false" ht="15" hidden="false" customHeight="false" outlineLevel="0" collapsed="false">
      <c r="A548" s="18" t="n">
        <v>31</v>
      </c>
      <c r="B548" s="32" t="s">
        <v>388</v>
      </c>
      <c r="C548" s="16" t="n">
        <v>416500</v>
      </c>
      <c r="D548" s="13" t="n">
        <f aca="false">216500+200000</f>
        <v>416500</v>
      </c>
      <c r="E548" s="14" t="n">
        <f aca="false">C548-D548</f>
        <v>0</v>
      </c>
    </row>
    <row r="549" customFormat="false" ht="15" hidden="false" customHeight="false" outlineLevel="0" collapsed="false">
      <c r="A549" s="49" t="n">
        <v>32</v>
      </c>
      <c r="B549" s="32" t="s">
        <v>389</v>
      </c>
      <c r="C549" s="16" t="n">
        <v>416500</v>
      </c>
      <c r="D549" s="13" t="n">
        <f aca="false">316500+100000</f>
        <v>416500</v>
      </c>
      <c r="E549" s="14" t="n">
        <f aca="false">C549-D549</f>
        <v>0</v>
      </c>
    </row>
    <row r="550" customFormat="false" ht="15" hidden="false" customHeight="false" outlineLevel="0" collapsed="false">
      <c r="A550" s="49" t="n">
        <v>33</v>
      </c>
      <c r="B550" s="32" t="s">
        <v>390</v>
      </c>
      <c r="C550" s="16" t="n">
        <v>416500</v>
      </c>
      <c r="D550" s="13" t="n">
        <f aca="false">416000+500</f>
        <v>416500</v>
      </c>
      <c r="E550" s="14" t="n">
        <f aca="false">C550-D550</f>
        <v>0</v>
      </c>
    </row>
    <row r="551" customFormat="false" ht="15" hidden="false" customHeight="false" outlineLevel="0" collapsed="false">
      <c r="A551" s="18" t="n">
        <v>34</v>
      </c>
      <c r="B551" s="32" t="s">
        <v>391</v>
      </c>
      <c r="C551" s="16" t="n">
        <v>416500</v>
      </c>
      <c r="D551" s="13" t="n">
        <f aca="false">200000+216500</f>
        <v>416500</v>
      </c>
      <c r="E551" s="14" t="n">
        <f aca="false">C551-D551</f>
        <v>0</v>
      </c>
    </row>
    <row r="552" customFormat="false" ht="15" hidden="false" customHeight="false" outlineLevel="0" collapsed="false">
      <c r="A552" s="49" t="n">
        <v>35</v>
      </c>
      <c r="B552" s="32" t="s">
        <v>392</v>
      </c>
      <c r="C552" s="16" t="n">
        <v>416500</v>
      </c>
      <c r="D552" s="13" t="n">
        <f aca="false">100000+16500+100000+100000</f>
        <v>316500</v>
      </c>
      <c r="E552" s="14" t="n">
        <f aca="false">C552-D552</f>
        <v>100000</v>
      </c>
    </row>
    <row r="553" customFormat="false" ht="15" hidden="false" customHeight="false" outlineLevel="0" collapsed="false">
      <c r="A553" s="49" t="n">
        <v>36</v>
      </c>
      <c r="B553" s="32" t="s">
        <v>393</v>
      </c>
      <c r="C553" s="16" t="n">
        <v>416500</v>
      </c>
      <c r="D553" s="13" t="n">
        <f aca="false">416000+500</f>
        <v>416500</v>
      </c>
      <c r="E553" s="14" t="n">
        <f aca="false">C553-D553</f>
        <v>0</v>
      </c>
    </row>
    <row r="554" customFormat="false" ht="15" hidden="false" customHeight="false" outlineLevel="0" collapsed="false">
      <c r="A554" s="18" t="n">
        <v>37</v>
      </c>
      <c r="B554" s="32" t="s">
        <v>394</v>
      </c>
      <c r="C554" s="16" t="n">
        <v>416500</v>
      </c>
      <c r="D554" s="13" t="n">
        <f aca="false">216500+200000</f>
        <v>416500</v>
      </c>
      <c r="E554" s="14" t="n">
        <f aca="false">C554-D554</f>
        <v>0</v>
      </c>
    </row>
    <row r="555" customFormat="false" ht="15" hidden="false" customHeight="false" outlineLevel="0" collapsed="false">
      <c r="A555" s="49" t="n">
        <v>38</v>
      </c>
      <c r="B555" s="32" t="s">
        <v>395</v>
      </c>
      <c r="C555" s="16" t="n">
        <v>416500</v>
      </c>
      <c r="D555" s="13" t="n">
        <f aca="false">216500+100000+100000</f>
        <v>416500</v>
      </c>
      <c r="E555" s="14" t="n">
        <f aca="false">C555-D555</f>
        <v>0</v>
      </c>
    </row>
    <row r="556" customFormat="false" ht="15" hidden="false" customHeight="false" outlineLevel="0" collapsed="false">
      <c r="A556" s="49" t="n">
        <v>39</v>
      </c>
      <c r="B556" s="32" t="s">
        <v>396</v>
      </c>
      <c r="C556" s="16" t="n">
        <v>416500</v>
      </c>
      <c r="D556" s="13" t="n">
        <f aca="false">216000+200000</f>
        <v>416000</v>
      </c>
      <c r="E556" s="14" t="n">
        <f aca="false">C556-D556</f>
        <v>500</v>
      </c>
    </row>
    <row r="557" customFormat="false" ht="15" hidden="false" customHeight="false" outlineLevel="0" collapsed="false">
      <c r="A557" s="18" t="n">
        <v>40</v>
      </c>
      <c r="B557" s="32" t="s">
        <v>397</v>
      </c>
      <c r="C557" s="16" t="n">
        <v>416500</v>
      </c>
      <c r="D557" s="13" t="n">
        <f aca="false">198500+218000</f>
        <v>416500</v>
      </c>
      <c r="E557" s="14" t="n">
        <f aca="false">C557-D557</f>
        <v>0</v>
      </c>
    </row>
    <row r="558" customFormat="false" ht="15" hidden="false" customHeight="false" outlineLevel="0" collapsed="false">
      <c r="A558" s="49" t="n">
        <v>41</v>
      </c>
      <c r="B558" s="32" t="s">
        <v>398</v>
      </c>
      <c r="C558" s="16" t="n">
        <v>416500</v>
      </c>
      <c r="D558" s="13" t="n">
        <f aca="false">216500+200000</f>
        <v>416500</v>
      </c>
      <c r="E558" s="14" t="n">
        <f aca="false">C558-D558</f>
        <v>0</v>
      </c>
    </row>
    <row r="559" customFormat="false" ht="15" hidden="false" customHeight="false" outlineLevel="0" collapsed="false">
      <c r="A559" s="49" t="n">
        <v>42</v>
      </c>
      <c r="B559" s="32" t="s">
        <v>399</v>
      </c>
      <c r="C559" s="16" t="n">
        <v>416500</v>
      </c>
      <c r="D559" s="13" t="n">
        <f aca="false">216000+200500</f>
        <v>416500</v>
      </c>
      <c r="E559" s="14" t="n">
        <f aca="false">C559-D559</f>
        <v>0</v>
      </c>
    </row>
    <row r="560" customFormat="false" ht="15" hidden="false" customHeight="false" outlineLevel="0" collapsed="false">
      <c r="A560" s="18" t="n">
        <v>43</v>
      </c>
      <c r="B560" s="32" t="s">
        <v>400</v>
      </c>
      <c r="C560" s="16" t="n">
        <v>416500</v>
      </c>
      <c r="D560" s="13" t="n">
        <f aca="false">66525+140000+100000+109975</f>
        <v>416500</v>
      </c>
      <c r="E560" s="14" t="n">
        <f aca="false">C560-D560</f>
        <v>0</v>
      </c>
    </row>
    <row r="561" customFormat="false" ht="15" hidden="false" customHeight="false" outlineLevel="0" collapsed="false">
      <c r="A561" s="49" t="n">
        <v>44</v>
      </c>
      <c r="B561" s="32" t="s">
        <v>401</v>
      </c>
      <c r="C561" s="16" t="n">
        <v>416500</v>
      </c>
      <c r="D561" s="13" t="n">
        <f aca="false">200000+16500+70000+130000</f>
        <v>416500</v>
      </c>
      <c r="E561" s="14" t="n">
        <f aca="false">C561-D561</f>
        <v>0</v>
      </c>
    </row>
    <row r="562" customFormat="false" ht="15" hidden="false" customHeight="false" outlineLevel="0" collapsed="false">
      <c r="A562" s="49" t="n">
        <v>45</v>
      </c>
      <c r="B562" s="32" t="s">
        <v>402</v>
      </c>
      <c r="C562" s="16" t="n">
        <v>416500</v>
      </c>
      <c r="D562" s="13" t="n">
        <f aca="false">216500+200000</f>
        <v>416500</v>
      </c>
      <c r="E562" s="14" t="n">
        <f aca="false">C562-D562</f>
        <v>0</v>
      </c>
    </row>
    <row r="563" customFormat="false" ht="15" hidden="false" customHeight="false" outlineLevel="0" collapsed="false">
      <c r="A563" s="18" t="n">
        <v>46</v>
      </c>
      <c r="B563" s="32" t="s">
        <v>403</v>
      </c>
      <c r="C563" s="16" t="n">
        <v>416500</v>
      </c>
      <c r="D563" s="13" t="n">
        <f aca="false">216000+200000</f>
        <v>416000</v>
      </c>
      <c r="E563" s="14" t="n">
        <f aca="false">C563-D563</f>
        <v>500</v>
      </c>
    </row>
    <row r="564" customFormat="false" ht="15" hidden="false" customHeight="false" outlineLevel="0" collapsed="false">
      <c r="A564" s="49" t="n">
        <v>47</v>
      </c>
      <c r="B564" s="32" t="s">
        <v>404</v>
      </c>
      <c r="C564" s="16" t="n">
        <v>416500</v>
      </c>
      <c r="D564" s="13" t="n">
        <f aca="false">100000+100000+100000+100000+16500</f>
        <v>416500</v>
      </c>
      <c r="E564" s="14" t="n">
        <f aca="false">C564-D564</f>
        <v>0</v>
      </c>
    </row>
    <row r="565" customFormat="false" ht="15" hidden="false" customHeight="false" outlineLevel="0" collapsed="false">
      <c r="A565" s="49" t="n">
        <v>48</v>
      </c>
      <c r="B565" s="32" t="s">
        <v>405</v>
      </c>
      <c r="C565" s="16" t="n">
        <v>416500</v>
      </c>
      <c r="D565" s="13" t="n">
        <f aca="false">216500+100000+100000</f>
        <v>416500</v>
      </c>
      <c r="E565" s="14" t="n">
        <f aca="false">C565-D565</f>
        <v>0</v>
      </c>
    </row>
    <row r="566" customFormat="false" ht="15" hidden="false" customHeight="false" outlineLevel="0" collapsed="false">
      <c r="A566" s="18" t="n">
        <v>49</v>
      </c>
      <c r="B566" s="32" t="s">
        <v>406</v>
      </c>
      <c r="C566" s="16" t="n">
        <v>416500</v>
      </c>
      <c r="D566" s="13" t="n">
        <f aca="false">216500</f>
        <v>216500</v>
      </c>
      <c r="E566" s="14" t="n">
        <f aca="false">C566-D566</f>
        <v>200000</v>
      </c>
    </row>
    <row r="567" customFormat="false" ht="15" hidden="false" customHeight="false" outlineLevel="0" collapsed="false">
      <c r="A567" s="49" t="n">
        <v>50</v>
      </c>
      <c r="B567" s="32" t="s">
        <v>407</v>
      </c>
      <c r="C567" s="16" t="n">
        <v>416500</v>
      </c>
      <c r="D567" s="13" t="n">
        <f aca="false">316500+100000</f>
        <v>416500</v>
      </c>
      <c r="E567" s="14" t="n">
        <f aca="false">C567-D567</f>
        <v>0</v>
      </c>
    </row>
    <row r="568" customFormat="false" ht="15" hidden="false" customHeight="false" outlineLevel="0" collapsed="false">
      <c r="A568" s="49" t="n">
        <v>51</v>
      </c>
      <c r="B568" s="32" t="s">
        <v>408</v>
      </c>
      <c r="C568" s="16" t="n">
        <v>416500</v>
      </c>
      <c r="D568" s="13" t="n">
        <f aca="false">116500+100000+200000</f>
        <v>416500</v>
      </c>
      <c r="E568" s="14" t="n">
        <f aca="false">C568-D568</f>
        <v>0</v>
      </c>
    </row>
    <row r="569" customFormat="false" ht="15" hidden="false" customHeight="false" outlineLevel="0" collapsed="false">
      <c r="A569" s="18" t="n">
        <v>52</v>
      </c>
      <c r="B569" s="32" t="s">
        <v>409</v>
      </c>
      <c r="C569" s="16" t="n">
        <v>416500</v>
      </c>
      <c r="D569" s="13" t="n">
        <f aca="false">300000+116500</f>
        <v>416500</v>
      </c>
      <c r="E569" s="14" t="n">
        <f aca="false">C569-D569</f>
        <v>0</v>
      </c>
    </row>
    <row r="570" customFormat="false" ht="15" hidden="false" customHeight="false" outlineLevel="0" collapsed="false">
      <c r="A570" s="49" t="n">
        <v>53</v>
      </c>
      <c r="B570" s="32" t="s">
        <v>410</v>
      </c>
      <c r="C570" s="16" t="n">
        <v>416500</v>
      </c>
      <c r="D570" s="13" t="n">
        <f aca="false">230000+186500</f>
        <v>416500</v>
      </c>
      <c r="E570" s="14" t="n">
        <f aca="false">C570-D570</f>
        <v>0</v>
      </c>
    </row>
    <row r="571" customFormat="false" ht="15" hidden="false" customHeight="false" outlineLevel="0" collapsed="false">
      <c r="A571" s="49" t="n">
        <v>54</v>
      </c>
      <c r="B571" s="32" t="s">
        <v>411</v>
      </c>
      <c r="C571" s="16" t="n">
        <v>416500</v>
      </c>
      <c r="D571" s="13" t="n">
        <f aca="false">216500+200000</f>
        <v>416500</v>
      </c>
      <c r="E571" s="14" t="n">
        <f aca="false">C571-D571</f>
        <v>0</v>
      </c>
    </row>
    <row r="572" customFormat="false" ht="15" hidden="false" customHeight="false" outlineLevel="0" collapsed="false">
      <c r="A572" s="18" t="n">
        <v>55</v>
      </c>
      <c r="B572" s="32" t="s">
        <v>412</v>
      </c>
      <c r="C572" s="16" t="n">
        <v>416500</v>
      </c>
      <c r="D572" s="13" t="n">
        <f aca="false">416500</f>
        <v>416500</v>
      </c>
      <c r="E572" s="14" t="n">
        <f aca="false">C572-D572</f>
        <v>0</v>
      </c>
    </row>
    <row r="573" customFormat="false" ht="15" hidden="false" customHeight="false" outlineLevel="0" collapsed="false">
      <c r="A573" s="49" t="n">
        <v>56</v>
      </c>
      <c r="B573" s="54" t="s">
        <v>413</v>
      </c>
      <c r="C573" s="16" t="n">
        <v>416500</v>
      </c>
      <c r="D573" s="76" t="n">
        <f aca="false">115000+200000+100000+1500</f>
        <v>416500</v>
      </c>
      <c r="E573" s="14" t="n">
        <f aca="false">C573-D573</f>
        <v>0</v>
      </c>
    </row>
    <row r="574" customFormat="false" ht="15" hidden="false" customHeight="false" outlineLevel="0" collapsed="false">
      <c r="A574" s="49" t="n">
        <v>57</v>
      </c>
      <c r="B574" s="54" t="s">
        <v>414</v>
      </c>
      <c r="C574" s="16" t="n">
        <v>416500</v>
      </c>
      <c r="D574" s="76" t="n">
        <v>416500</v>
      </c>
      <c r="E574" s="14" t="n">
        <f aca="false">C574-D574</f>
        <v>0</v>
      </c>
    </row>
    <row r="575" customFormat="false" ht="15" hidden="false" customHeight="false" outlineLevel="0" collapsed="false">
      <c r="A575" s="18" t="n">
        <v>58</v>
      </c>
      <c r="B575" s="54" t="s">
        <v>415</v>
      </c>
      <c r="C575" s="16" t="n">
        <v>416500</v>
      </c>
      <c r="D575" s="76" t="n">
        <f aca="false">416500</f>
        <v>416500</v>
      </c>
      <c r="E575" s="14" t="n">
        <f aca="false">C575-D575</f>
        <v>0</v>
      </c>
    </row>
    <row r="576" customFormat="false" ht="15" hidden="false" customHeight="false" outlineLevel="0" collapsed="false">
      <c r="A576" s="49" t="n">
        <v>59</v>
      </c>
      <c r="B576" s="32" t="s">
        <v>416</v>
      </c>
      <c r="C576" s="16" t="n">
        <v>416500</v>
      </c>
      <c r="D576" s="76" t="n">
        <f aca="false">416500</f>
        <v>416500</v>
      </c>
      <c r="E576" s="14" t="n">
        <f aca="false">C576-D576</f>
        <v>0</v>
      </c>
    </row>
    <row r="577" customFormat="false" ht="17.35" hidden="false" customHeight="false" outlineLevel="0" collapsed="false">
      <c r="A577" s="72"/>
      <c r="B577" s="20" t="s">
        <v>22</v>
      </c>
      <c r="C577" s="21" t="n">
        <f aca="false">SUM(C518:C576)</f>
        <v>24573500</v>
      </c>
      <c r="D577" s="22" t="n">
        <f aca="false">SUM(D518:D576)</f>
        <v>23247000</v>
      </c>
      <c r="E577" s="45" t="n">
        <f aca="false">C577-D577</f>
        <v>1326500</v>
      </c>
    </row>
    <row r="578" customFormat="false" ht="15" hidden="false" customHeight="false" outlineLevel="0" collapsed="false">
      <c r="A578" s="46"/>
      <c r="D578" s="24"/>
      <c r="E578" s="24"/>
    </row>
    <row r="579" customFormat="false" ht="15" hidden="false" customHeight="false" outlineLevel="0" collapsed="false">
      <c r="A579" s="46"/>
      <c r="D579" s="24"/>
      <c r="E579" s="24"/>
    </row>
    <row r="580" customFormat="false" ht="15" hidden="false" customHeight="false" outlineLevel="0" collapsed="false">
      <c r="A580" s="46"/>
      <c r="D580" s="24"/>
      <c r="E580" s="24"/>
    </row>
    <row r="581" customFormat="false" ht="17.35" hidden="false" customHeight="false" outlineLevel="0" collapsed="false">
      <c r="A581" s="40"/>
      <c r="B581" s="2" t="s">
        <v>0</v>
      </c>
      <c r="D581" s="24"/>
      <c r="E581" s="24"/>
    </row>
    <row r="582" customFormat="false" ht="17.35" hidden="false" customHeight="false" outlineLevel="0" collapsed="false">
      <c r="A582" s="62"/>
      <c r="D582" s="24"/>
      <c r="E582" s="24"/>
    </row>
    <row r="583" customFormat="false" ht="15" hidden="false" customHeight="false" outlineLevel="0" collapsed="false">
      <c r="A583" s="40"/>
      <c r="D583" s="24"/>
      <c r="E583" s="24"/>
    </row>
    <row r="584" customFormat="false" ht="17.25" hidden="false" customHeight="false" outlineLevel="0" collapsed="false">
      <c r="A584" s="40"/>
      <c r="B584" s="4" t="s">
        <v>357</v>
      </c>
      <c r="D584" s="24"/>
      <c r="E584" s="24"/>
    </row>
    <row r="585" customFormat="false" ht="15" hidden="false" customHeight="false" outlineLevel="0" collapsed="false">
      <c r="A585" s="40"/>
      <c r="D585" s="25" t="s">
        <v>23</v>
      </c>
      <c r="E585" s="24"/>
    </row>
    <row r="586" customFormat="false" ht="15" hidden="false" customHeight="false" outlineLevel="0" collapsed="false">
      <c r="A586" s="40"/>
      <c r="D586" s="24"/>
      <c r="E586" s="24"/>
    </row>
    <row r="587" customFormat="false" ht="15" hidden="false" customHeight="false" outlineLevel="0" collapsed="false">
      <c r="A587" s="6" t="s">
        <v>5</v>
      </c>
      <c r="B587" s="7" t="s">
        <v>6</v>
      </c>
      <c r="C587" s="8" t="s">
        <v>7</v>
      </c>
      <c r="D587" s="42" t="s">
        <v>8</v>
      </c>
      <c r="E587" s="43" t="s">
        <v>9</v>
      </c>
    </row>
    <row r="588" customFormat="false" ht="15" hidden="false" customHeight="false" outlineLevel="0" collapsed="false">
      <c r="A588" s="18" t="n">
        <v>1</v>
      </c>
      <c r="B588" s="32" t="s">
        <v>417</v>
      </c>
      <c r="C588" s="16" t="n">
        <v>416500</v>
      </c>
      <c r="D588" s="13" t="n">
        <f aca="false">316500+100000</f>
        <v>416500</v>
      </c>
      <c r="E588" s="14" t="n">
        <f aca="false">C588-D588</f>
        <v>0</v>
      </c>
    </row>
    <row r="589" customFormat="false" ht="15" hidden="false" customHeight="false" outlineLevel="0" collapsed="false">
      <c r="A589" s="49" t="n">
        <v>2</v>
      </c>
      <c r="B589" s="32" t="s">
        <v>418</v>
      </c>
      <c r="C589" s="16" t="n">
        <v>416500</v>
      </c>
      <c r="D589" s="13" t="n">
        <f aca="false">116500+300000</f>
        <v>416500</v>
      </c>
      <c r="E589" s="14" t="n">
        <f aca="false">C589-D589</f>
        <v>0</v>
      </c>
    </row>
    <row r="590" customFormat="false" ht="15" hidden="false" customHeight="false" outlineLevel="0" collapsed="false">
      <c r="A590" s="18" t="n">
        <v>3</v>
      </c>
      <c r="B590" s="32" t="s">
        <v>419</v>
      </c>
      <c r="C590" s="16" t="n">
        <v>416500</v>
      </c>
      <c r="D590" s="13" t="n">
        <f aca="false">32500+200000+184000</f>
        <v>416500</v>
      </c>
      <c r="E590" s="14" t="n">
        <f aca="false">C590-D590</f>
        <v>0</v>
      </c>
    </row>
    <row r="591" customFormat="false" ht="15" hidden="false" customHeight="false" outlineLevel="0" collapsed="false">
      <c r="A591" s="18" t="n">
        <v>4</v>
      </c>
      <c r="B591" s="32" t="s">
        <v>420</v>
      </c>
      <c r="C591" s="16" t="n">
        <v>416500</v>
      </c>
      <c r="D591" s="13" t="n">
        <f aca="false">216500+316500</f>
        <v>533000</v>
      </c>
      <c r="E591" s="14" t="n">
        <f aca="false">C591-D591</f>
        <v>-116500</v>
      </c>
    </row>
    <row r="592" customFormat="false" ht="15" hidden="false" customHeight="false" outlineLevel="0" collapsed="false">
      <c r="A592" s="49" t="n">
        <v>5</v>
      </c>
      <c r="B592" s="32" t="s">
        <v>421</v>
      </c>
      <c r="C592" s="16" t="n">
        <v>416500</v>
      </c>
      <c r="D592" s="13" t="n">
        <f aca="false">216500+200000</f>
        <v>416500</v>
      </c>
      <c r="E592" s="14" t="n">
        <f aca="false">C592-D592</f>
        <v>0</v>
      </c>
    </row>
    <row r="593" customFormat="false" ht="15" hidden="false" customHeight="false" outlineLevel="0" collapsed="false">
      <c r="A593" s="18" t="n">
        <v>6</v>
      </c>
      <c r="B593" s="32" t="s">
        <v>422</v>
      </c>
      <c r="C593" s="16" t="n">
        <v>416500</v>
      </c>
      <c r="D593" s="13" t="n">
        <f aca="false">216500+200000</f>
        <v>416500</v>
      </c>
      <c r="E593" s="14" t="n">
        <f aca="false">C593-D593</f>
        <v>0</v>
      </c>
    </row>
    <row r="594" customFormat="false" ht="15" hidden="false" customHeight="false" outlineLevel="0" collapsed="false">
      <c r="A594" s="18" t="n">
        <v>7</v>
      </c>
      <c r="B594" s="32" t="s">
        <v>423</v>
      </c>
      <c r="C594" s="16" t="n">
        <v>416500</v>
      </c>
      <c r="D594" s="13" t="n">
        <f aca="false">300000+116500</f>
        <v>416500</v>
      </c>
      <c r="E594" s="14" t="n">
        <f aca="false">C594-D594</f>
        <v>0</v>
      </c>
    </row>
    <row r="595" customFormat="false" ht="15" hidden="false" customHeight="false" outlineLevel="0" collapsed="false">
      <c r="A595" s="49" t="n">
        <v>8</v>
      </c>
      <c r="B595" s="32" t="s">
        <v>424</v>
      </c>
      <c r="C595" s="16" t="n">
        <v>416500</v>
      </c>
      <c r="D595" s="13" t="n">
        <f aca="false">306500+110000</f>
        <v>416500</v>
      </c>
      <c r="E595" s="14" t="n">
        <f aca="false">C595-D595</f>
        <v>0</v>
      </c>
    </row>
    <row r="596" customFormat="false" ht="15" hidden="false" customHeight="false" outlineLevel="0" collapsed="false">
      <c r="A596" s="18" t="n">
        <v>9</v>
      </c>
      <c r="B596" s="32" t="s">
        <v>425</v>
      </c>
      <c r="C596" s="13" t="n">
        <v>416500</v>
      </c>
      <c r="D596" s="13" t="n">
        <f aca="false">50000</f>
        <v>50000</v>
      </c>
      <c r="E596" s="14" t="n">
        <f aca="false">C596-D596</f>
        <v>366500</v>
      </c>
    </row>
    <row r="597" customFormat="false" ht="15" hidden="false" customHeight="false" outlineLevel="0" collapsed="false">
      <c r="A597" s="18" t="n">
        <v>10</v>
      </c>
      <c r="B597" s="32" t="s">
        <v>426</v>
      </c>
      <c r="C597" s="16" t="n">
        <v>416500</v>
      </c>
      <c r="D597" s="13" t="n">
        <f aca="false">300000+116500</f>
        <v>416500</v>
      </c>
      <c r="E597" s="14" t="n">
        <f aca="false">C597-D597</f>
        <v>0</v>
      </c>
    </row>
    <row r="598" customFormat="false" ht="15" hidden="false" customHeight="false" outlineLevel="0" collapsed="false">
      <c r="A598" s="49" t="n">
        <v>11</v>
      </c>
      <c r="B598" s="32" t="s">
        <v>427</v>
      </c>
      <c r="C598" s="16" t="n">
        <v>416500</v>
      </c>
      <c r="D598" s="13" t="n">
        <f aca="false">416500</f>
        <v>416500</v>
      </c>
      <c r="E598" s="14" t="n">
        <f aca="false">C598-D598</f>
        <v>0</v>
      </c>
    </row>
    <row r="599" customFormat="false" ht="15" hidden="false" customHeight="false" outlineLevel="0" collapsed="false">
      <c r="A599" s="18" t="n">
        <v>12</v>
      </c>
      <c r="B599" s="32" t="s">
        <v>428</v>
      </c>
      <c r="C599" s="16" t="n">
        <v>416500</v>
      </c>
      <c r="D599" s="13" t="n">
        <f aca="false">100000+316500</f>
        <v>416500</v>
      </c>
      <c r="E599" s="14" t="n">
        <f aca="false">C599-D599</f>
        <v>0</v>
      </c>
    </row>
    <row r="600" customFormat="false" ht="15" hidden="false" customHeight="false" outlineLevel="0" collapsed="false">
      <c r="A600" s="18" t="n">
        <v>13</v>
      </c>
      <c r="B600" s="32" t="s">
        <v>429</v>
      </c>
      <c r="C600" s="16" t="n">
        <v>416500</v>
      </c>
      <c r="D600" s="13" t="n">
        <f aca="false">300000</f>
        <v>300000</v>
      </c>
      <c r="E600" s="14" t="n">
        <f aca="false">C600-D600</f>
        <v>116500</v>
      </c>
    </row>
    <row r="601" customFormat="false" ht="15" hidden="false" customHeight="false" outlineLevel="0" collapsed="false">
      <c r="A601" s="49" t="n">
        <v>14</v>
      </c>
      <c r="B601" s="32" t="s">
        <v>430</v>
      </c>
      <c r="C601" s="16" t="n">
        <v>416500</v>
      </c>
      <c r="D601" s="13" t="n">
        <f aca="false">250000+200000</f>
        <v>450000</v>
      </c>
      <c r="E601" s="14" t="n">
        <f aca="false">C601-D601</f>
        <v>-33500</v>
      </c>
    </row>
    <row r="602" customFormat="false" ht="15" hidden="false" customHeight="false" outlineLevel="0" collapsed="false">
      <c r="A602" s="18" t="n">
        <v>15</v>
      </c>
      <c r="B602" s="32" t="s">
        <v>431</v>
      </c>
      <c r="C602" s="16" t="n">
        <v>416500</v>
      </c>
      <c r="D602" s="13" t="n">
        <f aca="false">230000+186500</f>
        <v>416500</v>
      </c>
      <c r="E602" s="14" t="n">
        <f aca="false">C602-D602</f>
        <v>0</v>
      </c>
    </row>
    <row r="603" customFormat="false" ht="15" hidden="false" customHeight="false" outlineLevel="0" collapsed="false">
      <c r="A603" s="18" t="n">
        <v>16</v>
      </c>
      <c r="B603" s="32" t="s">
        <v>432</v>
      </c>
      <c r="C603" s="16" t="n">
        <v>416500</v>
      </c>
      <c r="D603" s="13" t="n">
        <f aca="false">216500+200000</f>
        <v>416500</v>
      </c>
      <c r="E603" s="14" t="n">
        <f aca="false">C603-D603</f>
        <v>0</v>
      </c>
    </row>
    <row r="604" customFormat="false" ht="15" hidden="false" customHeight="false" outlineLevel="0" collapsed="false">
      <c r="A604" s="49" t="n">
        <v>17</v>
      </c>
      <c r="B604" s="32" t="s">
        <v>433</v>
      </c>
      <c r="C604" s="16" t="n">
        <v>416500</v>
      </c>
      <c r="D604" s="13" t="n">
        <f aca="false">216500</f>
        <v>216500</v>
      </c>
      <c r="E604" s="14" t="n">
        <f aca="false">C604-D604</f>
        <v>200000</v>
      </c>
    </row>
    <row r="605" customFormat="false" ht="15" hidden="false" customHeight="false" outlineLevel="0" collapsed="false">
      <c r="A605" s="18" t="n">
        <v>18</v>
      </c>
      <c r="B605" s="32" t="s">
        <v>434</v>
      </c>
      <c r="C605" s="16" t="n">
        <v>416500</v>
      </c>
      <c r="D605" s="13" t="n">
        <f aca="false">216500+200000</f>
        <v>416500</v>
      </c>
      <c r="E605" s="14" t="n">
        <f aca="false">C605-D605</f>
        <v>0</v>
      </c>
    </row>
    <row r="606" customFormat="false" ht="15" hidden="false" customHeight="false" outlineLevel="0" collapsed="false">
      <c r="A606" s="18" t="n">
        <v>19</v>
      </c>
      <c r="B606" s="32" t="s">
        <v>435</v>
      </c>
      <c r="C606" s="16" t="n">
        <v>416500</v>
      </c>
      <c r="D606" s="13" t="n">
        <f aca="false">216500+200000</f>
        <v>416500</v>
      </c>
      <c r="E606" s="14" t="n">
        <f aca="false">C606-D606</f>
        <v>0</v>
      </c>
    </row>
    <row r="607" customFormat="false" ht="15" hidden="false" customHeight="false" outlineLevel="0" collapsed="false">
      <c r="A607" s="49" t="n">
        <v>20</v>
      </c>
      <c r="B607" s="32" t="s">
        <v>436</v>
      </c>
      <c r="C607" s="16" t="n">
        <v>416500</v>
      </c>
      <c r="D607" s="13" t="n">
        <f aca="false">416500</f>
        <v>416500</v>
      </c>
      <c r="E607" s="14" t="n">
        <f aca="false">C607-D607</f>
        <v>0</v>
      </c>
    </row>
    <row r="608" customFormat="false" ht="15" hidden="false" customHeight="false" outlineLevel="0" collapsed="false">
      <c r="A608" s="18" t="n">
        <v>21</v>
      </c>
      <c r="B608" s="32" t="s">
        <v>437</v>
      </c>
      <c r="C608" s="16" t="n">
        <v>416500</v>
      </c>
      <c r="D608" s="13" t="n">
        <f aca="false">216500</f>
        <v>216500</v>
      </c>
      <c r="E608" s="14" t="n">
        <f aca="false">C608-D608</f>
        <v>200000</v>
      </c>
    </row>
    <row r="609" customFormat="false" ht="15" hidden="false" customHeight="false" outlineLevel="0" collapsed="false">
      <c r="A609" s="18" t="n">
        <v>22</v>
      </c>
      <c r="B609" s="32" t="s">
        <v>438</v>
      </c>
      <c r="C609" s="16" t="n">
        <v>416500</v>
      </c>
      <c r="D609" s="13" t="n">
        <v>416500</v>
      </c>
      <c r="E609" s="14" t="n">
        <f aca="false">C609-D609</f>
        <v>0</v>
      </c>
    </row>
    <row r="610" customFormat="false" ht="15" hidden="false" customHeight="false" outlineLevel="0" collapsed="false">
      <c r="A610" s="49" t="n">
        <v>23</v>
      </c>
      <c r="B610" s="32" t="s">
        <v>439</v>
      </c>
      <c r="C610" s="16" t="n">
        <v>416500</v>
      </c>
      <c r="D610" s="13" t="n">
        <f aca="false">283500+133000</f>
        <v>416500</v>
      </c>
      <c r="E610" s="14" t="n">
        <f aca="false">C610-D610</f>
        <v>0</v>
      </c>
    </row>
    <row r="611" customFormat="false" ht="15" hidden="false" customHeight="false" outlineLevel="0" collapsed="false">
      <c r="A611" s="18" t="n">
        <v>24</v>
      </c>
      <c r="B611" s="32" t="s">
        <v>440</v>
      </c>
      <c r="C611" s="16" t="n">
        <v>416500</v>
      </c>
      <c r="D611" s="13" t="n">
        <f aca="false">200000+216500</f>
        <v>416500</v>
      </c>
      <c r="E611" s="14" t="n">
        <f aca="false">C611-D611</f>
        <v>0</v>
      </c>
    </row>
    <row r="612" customFormat="false" ht="15" hidden="false" customHeight="false" outlineLevel="0" collapsed="false">
      <c r="A612" s="18" t="n">
        <v>25</v>
      </c>
      <c r="B612" s="32" t="s">
        <v>441</v>
      </c>
      <c r="C612" s="16" t="n">
        <v>416500</v>
      </c>
      <c r="D612" s="13" t="n">
        <f aca="false">416500</f>
        <v>416500</v>
      </c>
      <c r="E612" s="14" t="n">
        <f aca="false">C612-D612</f>
        <v>0</v>
      </c>
    </row>
    <row r="613" customFormat="false" ht="17.35" hidden="false" customHeight="false" outlineLevel="0" collapsed="false">
      <c r="A613" s="19"/>
      <c r="B613" s="20" t="s">
        <v>22</v>
      </c>
      <c r="C613" s="21" t="n">
        <f aca="false">SUM(C588:C612)</f>
        <v>10412500</v>
      </c>
      <c r="D613" s="22" t="n">
        <f aca="false">SUM(D588:D612)</f>
        <v>9679500</v>
      </c>
      <c r="E613" s="45" t="n">
        <f aca="false">SUM(E588:E612)</f>
        <v>733000</v>
      </c>
    </row>
    <row r="614" customFormat="false" ht="15" hidden="false" customHeight="false" outlineLevel="0" collapsed="false">
      <c r="A614" s="46"/>
      <c r="D614" s="24"/>
      <c r="E614" s="24"/>
    </row>
    <row r="615" customFormat="false" ht="15" hidden="false" customHeight="false" outlineLevel="0" collapsed="false">
      <c r="D615" s="24"/>
      <c r="E615" s="24"/>
    </row>
    <row r="616" customFormat="false" ht="17.35" hidden="false" customHeight="false" outlineLevel="0" collapsed="false">
      <c r="B616" s="2" t="s">
        <v>0</v>
      </c>
      <c r="D616" s="24"/>
      <c r="E616" s="24"/>
    </row>
    <row r="617" customFormat="false" ht="15" hidden="false" customHeight="false" outlineLevel="0" collapsed="false">
      <c r="A617" s="40"/>
      <c r="D617" s="24"/>
      <c r="E617" s="24"/>
    </row>
    <row r="618" customFormat="false" ht="15" hidden="false" customHeight="false" outlineLevel="0" collapsed="false">
      <c r="A618" s="40"/>
      <c r="D618" s="24"/>
      <c r="E618" s="24"/>
    </row>
    <row r="619" customFormat="false" ht="17.25" hidden="false" customHeight="false" outlineLevel="0" collapsed="false">
      <c r="A619" s="40"/>
      <c r="B619" s="4" t="s">
        <v>442</v>
      </c>
      <c r="D619" s="24"/>
      <c r="E619" s="24"/>
    </row>
    <row r="620" customFormat="false" ht="15" hidden="false" customHeight="false" outlineLevel="0" collapsed="false">
      <c r="A620" s="40"/>
      <c r="D620" s="25" t="s">
        <v>23</v>
      </c>
      <c r="E620" s="24"/>
    </row>
    <row r="621" customFormat="false" ht="15" hidden="false" customHeight="false" outlineLevel="0" collapsed="false">
      <c r="A621" s="40"/>
      <c r="D621" s="24"/>
      <c r="E621" s="24"/>
    </row>
    <row r="622" customFormat="false" ht="15" hidden="false" customHeight="false" outlineLevel="0" collapsed="false">
      <c r="A622" s="6" t="s">
        <v>5</v>
      </c>
      <c r="B622" s="7" t="s">
        <v>6</v>
      </c>
      <c r="C622" s="8" t="s">
        <v>7</v>
      </c>
      <c r="D622" s="42" t="s">
        <v>8</v>
      </c>
      <c r="E622" s="43" t="s">
        <v>9</v>
      </c>
    </row>
    <row r="623" customFormat="false" ht="15" hidden="false" customHeight="false" outlineLevel="0" collapsed="false">
      <c r="A623" s="49" t="n">
        <v>1</v>
      </c>
      <c r="B623" s="32" t="s">
        <v>443</v>
      </c>
      <c r="C623" s="16" t="n">
        <v>416500</v>
      </c>
      <c r="D623" s="13" t="n">
        <f aca="false">216500+200000</f>
        <v>416500</v>
      </c>
      <c r="E623" s="14" t="n">
        <f aca="false">C623-D623</f>
        <v>0</v>
      </c>
    </row>
    <row r="624" customFormat="false" ht="15" hidden="false" customHeight="false" outlineLevel="0" collapsed="false">
      <c r="A624" s="18" t="n">
        <v>2</v>
      </c>
      <c r="B624" s="44" t="s">
        <v>444</v>
      </c>
      <c r="C624" s="16" t="n">
        <v>416500</v>
      </c>
      <c r="D624" s="13" t="n">
        <f aca="false">200000</f>
        <v>200000</v>
      </c>
      <c r="E624" s="14" t="n">
        <f aca="false">C624-D624</f>
        <v>216500</v>
      </c>
    </row>
    <row r="625" customFormat="false" ht="15" hidden="false" customHeight="false" outlineLevel="0" collapsed="false">
      <c r="A625" s="49" t="n">
        <v>3</v>
      </c>
      <c r="B625" s="32" t="s">
        <v>445</v>
      </c>
      <c r="C625" s="16" t="n">
        <v>416500</v>
      </c>
      <c r="D625" s="13" t="n">
        <v>416500</v>
      </c>
      <c r="E625" s="14" t="n">
        <f aca="false">C625-D625</f>
        <v>0</v>
      </c>
    </row>
    <row r="626" customFormat="false" ht="15" hidden="false" customHeight="false" outlineLevel="0" collapsed="false">
      <c r="A626" s="49" t="n">
        <v>4</v>
      </c>
      <c r="B626" s="32" t="s">
        <v>446</v>
      </c>
      <c r="C626" s="16" t="n">
        <v>416500</v>
      </c>
      <c r="D626" s="13"/>
      <c r="E626" s="14" t="n">
        <f aca="false">C626-D626</f>
        <v>416500</v>
      </c>
    </row>
    <row r="627" customFormat="false" ht="15" hidden="false" customHeight="false" outlineLevel="0" collapsed="false">
      <c r="A627" s="18" t="n">
        <v>5</v>
      </c>
      <c r="B627" s="32" t="s">
        <v>447</v>
      </c>
      <c r="C627" s="16" t="n">
        <v>416500</v>
      </c>
      <c r="D627" s="13" t="n">
        <f aca="false">216000+100000+100000</f>
        <v>416000</v>
      </c>
      <c r="E627" s="14" t="n">
        <f aca="false">C627-D627</f>
        <v>500</v>
      </c>
    </row>
    <row r="628" customFormat="false" ht="15" hidden="false" customHeight="false" outlineLevel="0" collapsed="false">
      <c r="A628" s="49" t="n">
        <v>6</v>
      </c>
      <c r="B628" s="53" t="s">
        <v>448</v>
      </c>
      <c r="C628" s="81" t="n">
        <v>416500</v>
      </c>
      <c r="D628" s="81" t="n">
        <f aca="false">216500+200000</f>
        <v>416500</v>
      </c>
      <c r="E628" s="82" t="n">
        <f aca="false">C628-D628</f>
        <v>0</v>
      </c>
    </row>
    <row r="629" customFormat="false" ht="15" hidden="false" customHeight="false" outlineLevel="0" collapsed="false">
      <c r="A629" s="49" t="n">
        <v>7</v>
      </c>
      <c r="B629" s="32" t="s">
        <v>449</v>
      </c>
      <c r="C629" s="16" t="n">
        <v>416500</v>
      </c>
      <c r="D629" s="13" t="n">
        <f aca="false">416500</f>
        <v>416500</v>
      </c>
      <c r="E629" s="14" t="n">
        <f aca="false">C629-D629</f>
        <v>0</v>
      </c>
    </row>
    <row r="630" customFormat="false" ht="15" hidden="false" customHeight="false" outlineLevel="0" collapsed="false">
      <c r="A630" s="18" t="n">
        <v>8</v>
      </c>
      <c r="B630" s="32" t="s">
        <v>450</v>
      </c>
      <c r="C630" s="16" t="n">
        <v>416500</v>
      </c>
      <c r="D630" s="13" t="n">
        <f aca="false">216500+200000</f>
        <v>416500</v>
      </c>
      <c r="E630" s="14" t="n">
        <f aca="false">C630-D630</f>
        <v>0</v>
      </c>
    </row>
    <row r="631" customFormat="false" ht="15" hidden="false" customHeight="false" outlineLevel="0" collapsed="false">
      <c r="A631" s="49" t="n">
        <v>9</v>
      </c>
      <c r="B631" s="32" t="s">
        <v>451</v>
      </c>
      <c r="C631" s="16" t="n">
        <v>416500</v>
      </c>
      <c r="D631" s="13" t="n">
        <f aca="false">220000+196500</f>
        <v>416500</v>
      </c>
      <c r="E631" s="14" t="n">
        <f aca="false">C631-D631</f>
        <v>0</v>
      </c>
    </row>
    <row r="632" customFormat="false" ht="15" hidden="false" customHeight="false" outlineLevel="0" collapsed="false">
      <c r="A632" s="49" t="n">
        <v>10</v>
      </c>
      <c r="B632" s="44" t="s">
        <v>452</v>
      </c>
      <c r="C632" s="16" t="n">
        <v>416500</v>
      </c>
      <c r="D632" s="13" t="n">
        <f aca="false">416500</f>
        <v>416500</v>
      </c>
      <c r="E632" s="14" t="n">
        <f aca="false">C632-D632</f>
        <v>0</v>
      </c>
    </row>
    <row r="633" customFormat="false" ht="15" hidden="false" customHeight="false" outlineLevel="0" collapsed="false">
      <c r="A633" s="18" t="n">
        <v>11</v>
      </c>
      <c r="B633" s="32" t="s">
        <v>453</v>
      </c>
      <c r="C633" s="16" t="n">
        <v>416500</v>
      </c>
      <c r="D633" s="13" t="n">
        <f aca="false">216500+200000</f>
        <v>416500</v>
      </c>
      <c r="E633" s="14" t="n">
        <f aca="false">C633-D633</f>
        <v>0</v>
      </c>
    </row>
    <row r="634" customFormat="false" ht="15" hidden="false" customHeight="false" outlineLevel="0" collapsed="false">
      <c r="A634" s="49" t="n">
        <v>12</v>
      </c>
      <c r="B634" s="32" t="s">
        <v>454</v>
      </c>
      <c r="C634" s="16" t="n">
        <v>225000</v>
      </c>
      <c r="D634" s="13" t="n">
        <f aca="false">100500+124500</f>
        <v>225000</v>
      </c>
      <c r="E634" s="14" t="n">
        <f aca="false">C634-D634</f>
        <v>0</v>
      </c>
    </row>
    <row r="635" customFormat="false" ht="15" hidden="false" customHeight="false" outlineLevel="0" collapsed="false">
      <c r="A635" s="49" t="n">
        <v>13</v>
      </c>
      <c r="B635" s="32" t="s">
        <v>455</v>
      </c>
      <c r="C635" s="16" t="n">
        <v>416500</v>
      </c>
      <c r="D635" s="13" t="n">
        <f aca="false">250000+166000</f>
        <v>416000</v>
      </c>
      <c r="E635" s="14" t="n">
        <f aca="false">C635-D635</f>
        <v>500</v>
      </c>
    </row>
    <row r="636" customFormat="false" ht="15" hidden="false" customHeight="false" outlineLevel="0" collapsed="false">
      <c r="A636" s="18" t="n">
        <v>14</v>
      </c>
      <c r="B636" s="32" t="s">
        <v>456</v>
      </c>
      <c r="C636" s="16" t="n">
        <v>416500</v>
      </c>
      <c r="D636" s="13" t="n">
        <f aca="false">216500+200000</f>
        <v>416500</v>
      </c>
      <c r="E636" s="14" t="n">
        <f aca="false">C636-D636</f>
        <v>0</v>
      </c>
    </row>
    <row r="637" customFormat="false" ht="15" hidden="false" customHeight="false" outlineLevel="0" collapsed="false">
      <c r="A637" s="49" t="n">
        <v>15</v>
      </c>
      <c r="B637" s="32" t="s">
        <v>457</v>
      </c>
      <c r="C637" s="16" t="n">
        <v>416500</v>
      </c>
      <c r="D637" s="13" t="n">
        <f aca="false">216500-50000+50000</f>
        <v>216500</v>
      </c>
      <c r="E637" s="14" t="n">
        <f aca="false">C637-D637</f>
        <v>200000</v>
      </c>
    </row>
    <row r="638" customFormat="false" ht="15" hidden="false" customHeight="false" outlineLevel="0" collapsed="false">
      <c r="A638" s="49" t="n">
        <v>16</v>
      </c>
      <c r="B638" s="32" t="s">
        <v>458</v>
      </c>
      <c r="C638" s="16" t="n">
        <v>416500</v>
      </c>
      <c r="D638" s="13" t="n">
        <f aca="false">116500+300000</f>
        <v>416500</v>
      </c>
      <c r="E638" s="14" t="n">
        <f aca="false">C638-D638</f>
        <v>0</v>
      </c>
    </row>
    <row r="639" customFormat="false" ht="15" hidden="false" customHeight="false" outlineLevel="0" collapsed="false">
      <c r="A639" s="18" t="n">
        <v>17</v>
      </c>
      <c r="B639" s="32" t="s">
        <v>459</v>
      </c>
      <c r="C639" s="16" t="n">
        <v>416500</v>
      </c>
      <c r="D639" s="13" t="n">
        <f aca="false">216500+200000</f>
        <v>416500</v>
      </c>
      <c r="E639" s="14" t="n">
        <f aca="false">C639-D639</f>
        <v>0</v>
      </c>
    </row>
    <row r="640" customFormat="false" ht="15" hidden="false" customHeight="false" outlineLevel="0" collapsed="false">
      <c r="A640" s="49" t="n">
        <v>18</v>
      </c>
      <c r="B640" s="44" t="s">
        <v>460</v>
      </c>
      <c r="C640" s="16" t="n">
        <v>416500</v>
      </c>
      <c r="D640" s="13" t="n">
        <f aca="false">216500+100000+100000</f>
        <v>416500</v>
      </c>
      <c r="E640" s="14" t="n">
        <f aca="false">C640-D640</f>
        <v>0</v>
      </c>
    </row>
    <row r="641" customFormat="false" ht="15" hidden="false" customHeight="false" outlineLevel="0" collapsed="false">
      <c r="A641" s="49" t="n">
        <v>19</v>
      </c>
      <c r="B641" s="32" t="s">
        <v>461</v>
      </c>
      <c r="C641" s="16" t="n">
        <v>416500</v>
      </c>
      <c r="D641" s="13" t="n">
        <f aca="false">216500+200000</f>
        <v>416500</v>
      </c>
      <c r="E641" s="14" t="n">
        <f aca="false">C641-D641</f>
        <v>0</v>
      </c>
    </row>
    <row r="642" customFormat="false" ht="15" hidden="false" customHeight="false" outlineLevel="0" collapsed="false">
      <c r="A642" s="18" t="n">
        <v>20</v>
      </c>
      <c r="B642" s="32" t="s">
        <v>462</v>
      </c>
      <c r="C642" s="16" t="n">
        <v>416500</v>
      </c>
      <c r="D642" s="13" t="n">
        <f aca="false">126500+150000+140000</f>
        <v>416500</v>
      </c>
      <c r="E642" s="14" t="n">
        <f aca="false">C642-D642</f>
        <v>0</v>
      </c>
    </row>
    <row r="643" customFormat="false" ht="15" hidden="false" customHeight="false" outlineLevel="0" collapsed="false">
      <c r="A643" s="49" t="n">
        <v>21</v>
      </c>
      <c r="B643" s="32" t="s">
        <v>463</v>
      </c>
      <c r="C643" s="16" t="n">
        <v>416500</v>
      </c>
      <c r="D643" s="13"/>
      <c r="E643" s="14" t="n">
        <f aca="false">C643-D643</f>
        <v>416500</v>
      </c>
    </row>
    <row r="644" customFormat="false" ht="15" hidden="false" customHeight="false" outlineLevel="0" collapsed="false">
      <c r="A644" s="49" t="n">
        <v>22</v>
      </c>
      <c r="B644" s="32" t="s">
        <v>464</v>
      </c>
      <c r="C644" s="16" t="n">
        <v>416500</v>
      </c>
      <c r="D644" s="13" t="n">
        <v>416500</v>
      </c>
      <c r="E644" s="14" t="n">
        <f aca="false">C644-D644</f>
        <v>0</v>
      </c>
    </row>
    <row r="645" customFormat="false" ht="15" hidden="false" customHeight="false" outlineLevel="0" collapsed="false">
      <c r="A645" s="18" t="n">
        <v>23</v>
      </c>
      <c r="B645" s="44" t="s">
        <v>465</v>
      </c>
      <c r="C645" s="16" t="n">
        <v>416500</v>
      </c>
      <c r="D645" s="13"/>
      <c r="E645" s="14" t="n">
        <f aca="false">C645-D645</f>
        <v>416500</v>
      </c>
    </row>
    <row r="646" customFormat="false" ht="15" hidden="false" customHeight="false" outlineLevel="0" collapsed="false">
      <c r="A646" s="49" t="n">
        <v>24</v>
      </c>
      <c r="B646" s="32" t="s">
        <v>466</v>
      </c>
      <c r="C646" s="16" t="n">
        <v>416500</v>
      </c>
      <c r="D646" s="13" t="n">
        <f aca="false">150000+266500</f>
        <v>416500</v>
      </c>
      <c r="E646" s="14" t="n">
        <f aca="false">C646-D646</f>
        <v>0</v>
      </c>
    </row>
    <row r="647" customFormat="false" ht="15" hidden="false" customHeight="false" outlineLevel="0" collapsed="false">
      <c r="A647" s="49" t="n">
        <v>25</v>
      </c>
      <c r="B647" s="32" t="s">
        <v>467</v>
      </c>
      <c r="C647" s="16" t="n">
        <v>416500</v>
      </c>
      <c r="D647" s="13" t="n">
        <f aca="false">216500+85000+115000</f>
        <v>416500</v>
      </c>
      <c r="E647" s="14" t="n">
        <f aca="false">C647-D647</f>
        <v>0</v>
      </c>
    </row>
    <row r="648" customFormat="false" ht="15" hidden="false" customHeight="false" outlineLevel="0" collapsed="false">
      <c r="A648" s="18" t="n">
        <v>26</v>
      </c>
      <c r="B648" s="32" t="s">
        <v>468</v>
      </c>
      <c r="C648" s="16" t="n">
        <v>416500</v>
      </c>
      <c r="D648" s="13" t="n">
        <v>416500</v>
      </c>
      <c r="E648" s="14" t="n">
        <f aca="false">C648-D648</f>
        <v>0</v>
      </c>
    </row>
    <row r="649" customFormat="false" ht="15" hidden="false" customHeight="false" outlineLevel="0" collapsed="false">
      <c r="A649" s="49" t="n">
        <v>27</v>
      </c>
      <c r="B649" s="32" t="s">
        <v>469</v>
      </c>
      <c r="C649" s="16" t="n">
        <v>416500</v>
      </c>
      <c r="D649" s="13" t="n">
        <f aca="false">300000+116500</f>
        <v>416500</v>
      </c>
      <c r="E649" s="14" t="n">
        <f aca="false">C649-D649</f>
        <v>0</v>
      </c>
    </row>
    <row r="650" customFormat="false" ht="15" hidden="false" customHeight="false" outlineLevel="0" collapsed="false">
      <c r="A650" s="49" t="n">
        <v>28</v>
      </c>
      <c r="B650" s="32" t="s">
        <v>470</v>
      </c>
      <c r="C650" s="16" t="n">
        <v>416500</v>
      </c>
      <c r="D650" s="13" t="n">
        <f aca="false">216500+200000</f>
        <v>416500</v>
      </c>
      <c r="E650" s="14" t="n">
        <f aca="false">C650-D650</f>
        <v>0</v>
      </c>
    </row>
    <row r="651" customFormat="false" ht="15" hidden="false" customHeight="false" outlineLevel="0" collapsed="false">
      <c r="A651" s="18" t="n">
        <v>29</v>
      </c>
      <c r="B651" s="32" t="s">
        <v>471</v>
      </c>
      <c r="C651" s="16" t="n">
        <v>416500</v>
      </c>
      <c r="D651" s="13"/>
      <c r="E651" s="14" t="n">
        <f aca="false">C651-D651</f>
        <v>416500</v>
      </c>
    </row>
    <row r="652" customFormat="false" ht="15" hidden="false" customHeight="false" outlineLevel="0" collapsed="false">
      <c r="A652" s="49" t="n">
        <v>30</v>
      </c>
      <c r="B652" s="32" t="s">
        <v>472</v>
      </c>
      <c r="C652" s="16" t="n">
        <v>416500</v>
      </c>
      <c r="D652" s="13" t="n">
        <f aca="false">217000+199500</f>
        <v>416500</v>
      </c>
      <c r="E652" s="14" t="n">
        <f aca="false">C652-D652</f>
        <v>0</v>
      </c>
    </row>
    <row r="653" customFormat="false" ht="15" hidden="false" customHeight="false" outlineLevel="0" collapsed="false">
      <c r="A653" s="49" t="n">
        <v>31</v>
      </c>
      <c r="B653" s="32" t="s">
        <v>473</v>
      </c>
      <c r="C653" s="16" t="n">
        <v>416500</v>
      </c>
      <c r="D653" s="13" t="n">
        <f aca="false">300000+121500</f>
        <v>421500</v>
      </c>
      <c r="E653" s="14" t="n">
        <f aca="false">C653-D653</f>
        <v>-5000</v>
      </c>
    </row>
    <row r="654" customFormat="false" ht="15" hidden="false" customHeight="false" outlineLevel="0" collapsed="false">
      <c r="A654" s="18" t="n">
        <v>32</v>
      </c>
      <c r="B654" s="32" t="s">
        <v>474</v>
      </c>
      <c r="C654" s="16" t="n">
        <v>416500</v>
      </c>
      <c r="D654" s="13" t="n">
        <v>416500</v>
      </c>
      <c r="E654" s="14" t="n">
        <f aca="false">C654-D654</f>
        <v>0</v>
      </c>
    </row>
    <row r="655" customFormat="false" ht="15" hidden="false" customHeight="false" outlineLevel="0" collapsed="false">
      <c r="A655" s="49" t="n">
        <v>33</v>
      </c>
      <c r="B655" s="68" t="s">
        <v>475</v>
      </c>
      <c r="C655" s="16" t="n">
        <v>416500</v>
      </c>
      <c r="D655" s="13" t="n">
        <f aca="false">166500+250000</f>
        <v>416500</v>
      </c>
      <c r="E655" s="14" t="n">
        <f aca="false">C655-D655</f>
        <v>0</v>
      </c>
    </row>
    <row r="656" customFormat="false" ht="18.75" hidden="false" customHeight="true" outlineLevel="0" collapsed="false">
      <c r="A656" s="83"/>
      <c r="B656" s="20" t="s">
        <v>22</v>
      </c>
      <c r="C656" s="21" t="n">
        <f aca="false">SUM(C623:C655)</f>
        <v>13553000</v>
      </c>
      <c r="D656" s="22" t="n">
        <f aca="false">SUM(D623:D655)</f>
        <v>11474500</v>
      </c>
      <c r="E656" s="45" t="n">
        <f aca="false">SUM(E623:E655)</f>
        <v>2078500</v>
      </c>
    </row>
    <row r="657" customFormat="false" ht="17.35" hidden="false" customHeight="false" outlineLevel="0" collapsed="false">
      <c r="A657" s="84"/>
      <c r="B657" s="36"/>
      <c r="C657" s="37"/>
      <c r="D657" s="38"/>
      <c r="E657" s="39"/>
    </row>
    <row r="658" customFormat="false" ht="17.35" hidden="false" customHeight="false" outlineLevel="0" collapsed="false">
      <c r="A658" s="84"/>
      <c r="B658" s="36"/>
      <c r="C658" s="37"/>
      <c r="D658" s="38"/>
      <c r="E658" s="39"/>
    </row>
    <row r="659" customFormat="false" ht="17.35" hidden="false" customHeight="false" outlineLevel="0" collapsed="false">
      <c r="A659" s="40"/>
      <c r="B659" s="2" t="s">
        <v>0</v>
      </c>
      <c r="D659" s="24"/>
      <c r="E659" s="24"/>
    </row>
    <row r="660" customFormat="false" ht="17.35" hidden="false" customHeight="false" outlineLevel="0" collapsed="false">
      <c r="A660" s="62"/>
      <c r="D660" s="24"/>
      <c r="E660" s="24"/>
    </row>
    <row r="661" customFormat="false" ht="15" hidden="false" customHeight="false" outlineLevel="0" collapsed="false">
      <c r="A661" s="40"/>
      <c r="D661" s="24"/>
      <c r="E661" s="24"/>
    </row>
    <row r="662" customFormat="false" ht="17.25" hidden="false" customHeight="false" outlineLevel="0" collapsed="false">
      <c r="A662" s="40"/>
      <c r="B662" s="4" t="s">
        <v>476</v>
      </c>
      <c r="D662" s="24"/>
      <c r="E662" s="24"/>
    </row>
    <row r="663" customFormat="false" ht="15" hidden="false" customHeight="false" outlineLevel="0" collapsed="false">
      <c r="A663" s="40"/>
      <c r="D663" s="41" t="s">
        <v>4</v>
      </c>
      <c r="E663" s="24"/>
    </row>
    <row r="664" customFormat="false" ht="15" hidden="false" customHeight="false" outlineLevel="0" collapsed="false">
      <c r="A664" s="40"/>
      <c r="D664" s="24"/>
      <c r="E664" s="24"/>
    </row>
    <row r="665" customFormat="false" ht="15" hidden="false" customHeight="false" outlineLevel="0" collapsed="false">
      <c r="A665" s="6" t="s">
        <v>5</v>
      </c>
      <c r="B665" s="7" t="s">
        <v>6</v>
      </c>
      <c r="C665" s="8" t="s">
        <v>7</v>
      </c>
      <c r="D665" s="42" t="s">
        <v>8</v>
      </c>
      <c r="E665" s="43" t="s">
        <v>9</v>
      </c>
    </row>
    <row r="666" customFormat="false" ht="15" hidden="false" customHeight="false" outlineLevel="0" collapsed="false">
      <c r="A666" s="49" t="n">
        <v>1</v>
      </c>
      <c r="B666" s="12" t="s">
        <v>477</v>
      </c>
      <c r="C666" s="16" t="n">
        <v>416500</v>
      </c>
      <c r="D666" s="13" t="n">
        <f aca="false">316500+100000</f>
        <v>416500</v>
      </c>
      <c r="E666" s="14" t="n">
        <f aca="false">C666-D666</f>
        <v>0</v>
      </c>
    </row>
    <row r="667" customFormat="false" ht="15" hidden="false" customHeight="false" outlineLevel="0" collapsed="false">
      <c r="A667" s="49" t="n">
        <v>2</v>
      </c>
      <c r="B667" s="12" t="s">
        <v>478</v>
      </c>
      <c r="C667" s="13" t="n">
        <v>416500</v>
      </c>
      <c r="D667" s="13" t="n">
        <f aca="false">216500+200000</f>
        <v>416500</v>
      </c>
      <c r="E667" s="14" t="n">
        <f aca="false">C667-D667</f>
        <v>0</v>
      </c>
    </row>
    <row r="668" customFormat="false" ht="15" hidden="false" customHeight="false" outlineLevel="0" collapsed="false">
      <c r="A668" s="49" t="n">
        <v>3</v>
      </c>
      <c r="B668" s="12" t="s">
        <v>479</v>
      </c>
      <c r="C668" s="16" t="n">
        <v>416500</v>
      </c>
      <c r="D668" s="13"/>
      <c r="E668" s="14" t="n">
        <f aca="false">C668-D668</f>
        <v>416500</v>
      </c>
    </row>
    <row r="669" customFormat="false" ht="15" hidden="false" customHeight="false" outlineLevel="0" collapsed="false">
      <c r="A669" s="49" t="n">
        <v>4</v>
      </c>
      <c r="B669" s="12" t="s">
        <v>480</v>
      </c>
      <c r="C669" s="16" t="n">
        <v>416500</v>
      </c>
      <c r="D669" s="13" t="n">
        <f aca="false">316500</f>
        <v>316500</v>
      </c>
      <c r="E669" s="14" t="n">
        <f aca="false">C669-D669</f>
        <v>100000</v>
      </c>
    </row>
    <row r="670" customFormat="false" ht="15" hidden="false" customHeight="false" outlineLevel="0" collapsed="false">
      <c r="A670" s="49" t="n">
        <v>5</v>
      </c>
      <c r="B670" s="12" t="s">
        <v>481</v>
      </c>
      <c r="C670" s="16" t="n">
        <v>416500</v>
      </c>
      <c r="D670" s="13" t="n">
        <f aca="false">216500+200000</f>
        <v>416500</v>
      </c>
      <c r="E670" s="14" t="n">
        <f aca="false">C670-D670</f>
        <v>0</v>
      </c>
    </row>
    <row r="671" customFormat="false" ht="15" hidden="false" customHeight="false" outlineLevel="0" collapsed="false">
      <c r="A671" s="49" t="n">
        <v>6</v>
      </c>
      <c r="B671" s="12" t="s">
        <v>482</v>
      </c>
      <c r="C671" s="16" t="n">
        <v>416500</v>
      </c>
      <c r="D671" s="13" t="n">
        <v>416500</v>
      </c>
      <c r="E671" s="14" t="n">
        <f aca="false">C671-D671</f>
        <v>0</v>
      </c>
    </row>
    <row r="672" customFormat="false" ht="17.35" hidden="false" customHeight="false" outlineLevel="0" collapsed="false">
      <c r="A672" s="19"/>
      <c r="B672" s="20" t="s">
        <v>22</v>
      </c>
      <c r="C672" s="21" t="n">
        <f aca="false">SUM(C666:C671)</f>
        <v>2499000</v>
      </c>
      <c r="D672" s="22" t="n">
        <f aca="false">SUM(D666:D671)</f>
        <v>1982500</v>
      </c>
      <c r="E672" s="45" t="n">
        <f aca="false">SUM(E666:E671)</f>
        <v>516500</v>
      </c>
    </row>
    <row r="673" customFormat="false" ht="17.35" hidden="false" customHeight="false" outlineLevel="0" collapsed="false">
      <c r="A673" s="84"/>
      <c r="B673" s="36"/>
      <c r="C673" s="37"/>
      <c r="D673" s="38"/>
      <c r="E673" s="39"/>
    </row>
    <row r="674" customFormat="false" ht="15" hidden="false" customHeight="false" outlineLevel="0" collapsed="false">
      <c r="D674" s="24"/>
      <c r="E674" s="24"/>
    </row>
    <row r="675" customFormat="false" ht="17.35" hidden="false" customHeight="false" outlineLevel="0" collapsed="false">
      <c r="B675" s="2" t="s">
        <v>0</v>
      </c>
      <c r="D675" s="24"/>
      <c r="E675" s="24"/>
    </row>
    <row r="676" customFormat="false" ht="17.35" hidden="false" customHeight="false" outlineLevel="0" collapsed="false">
      <c r="A676" s="62"/>
      <c r="D676" s="24"/>
      <c r="E676" s="24"/>
    </row>
    <row r="677" customFormat="false" ht="15" hidden="false" customHeight="false" outlineLevel="0" collapsed="false">
      <c r="A677" s="40"/>
      <c r="D677" s="24"/>
      <c r="E677" s="24"/>
    </row>
    <row r="678" customFormat="false" ht="17.25" hidden="false" customHeight="false" outlineLevel="0" collapsed="false">
      <c r="A678" s="40"/>
      <c r="B678" s="4" t="s">
        <v>483</v>
      </c>
      <c r="D678" s="24"/>
      <c r="E678" s="24"/>
    </row>
    <row r="679" customFormat="false" ht="15" hidden="false" customHeight="false" outlineLevel="0" collapsed="false">
      <c r="A679" s="40"/>
      <c r="D679" s="25" t="s">
        <v>23</v>
      </c>
      <c r="E679" s="24"/>
    </row>
    <row r="680" customFormat="false" ht="15" hidden="false" customHeight="false" outlineLevel="0" collapsed="false">
      <c r="A680" s="40"/>
      <c r="D680" s="24"/>
      <c r="E680" s="24"/>
    </row>
    <row r="681" customFormat="false" ht="15" hidden="false" customHeight="false" outlineLevel="0" collapsed="false">
      <c r="A681" s="6" t="s">
        <v>5</v>
      </c>
      <c r="B681" s="7" t="s">
        <v>6</v>
      </c>
      <c r="C681" s="8" t="s">
        <v>7</v>
      </c>
      <c r="D681" s="42" t="s">
        <v>8</v>
      </c>
      <c r="E681" s="43" t="s">
        <v>9</v>
      </c>
    </row>
    <row r="682" customFormat="false" ht="15" hidden="false" customHeight="false" outlineLevel="0" collapsed="false">
      <c r="A682" s="18" t="n">
        <v>1</v>
      </c>
      <c r="B682" s="15" t="s">
        <v>484</v>
      </c>
      <c r="C682" s="16" t="n">
        <v>416500</v>
      </c>
      <c r="D682" s="13" t="n">
        <f aca="false">100000</f>
        <v>100000</v>
      </c>
      <c r="E682" s="14" t="n">
        <f aca="false">C682-D682</f>
        <v>316500</v>
      </c>
    </row>
    <row r="683" customFormat="false" ht="15" hidden="false" customHeight="false" outlineLevel="0" collapsed="false">
      <c r="A683" s="18" t="n">
        <v>2</v>
      </c>
      <c r="B683" s="32" t="s">
        <v>485</v>
      </c>
      <c r="C683" s="16" t="n">
        <v>416500</v>
      </c>
      <c r="D683" s="13"/>
      <c r="E683" s="14" t="n">
        <f aca="false">C683-D683</f>
        <v>416500</v>
      </c>
    </row>
    <row r="684" customFormat="false" ht="15" hidden="false" customHeight="false" outlineLevel="0" collapsed="false">
      <c r="A684" s="18" t="n">
        <v>3</v>
      </c>
      <c r="B684" s="32" t="s">
        <v>486</v>
      </c>
      <c r="C684" s="16" t="n">
        <v>416500</v>
      </c>
      <c r="D684" s="13"/>
      <c r="E684" s="14" t="n">
        <f aca="false">C684-D684</f>
        <v>416500</v>
      </c>
    </row>
    <row r="685" customFormat="false" ht="15" hidden="false" customHeight="false" outlineLevel="0" collapsed="false">
      <c r="A685" s="18" t="n">
        <v>4</v>
      </c>
      <c r="B685" s="32" t="s">
        <v>487</v>
      </c>
      <c r="C685" s="16" t="n">
        <v>416500</v>
      </c>
      <c r="D685" s="13" t="n">
        <f aca="false">100000</f>
        <v>100000</v>
      </c>
      <c r="E685" s="14" t="n">
        <f aca="false">C685-D685</f>
        <v>316500</v>
      </c>
    </row>
    <row r="686" customFormat="false" ht="15" hidden="false" customHeight="false" outlineLevel="0" collapsed="false">
      <c r="A686" s="18" t="n">
        <v>5</v>
      </c>
      <c r="B686" s="32" t="s">
        <v>488</v>
      </c>
      <c r="C686" s="16" t="n">
        <v>416500</v>
      </c>
      <c r="D686" s="13"/>
      <c r="E686" s="14" t="n">
        <f aca="false">C686-D686</f>
        <v>416500</v>
      </c>
    </row>
    <row r="687" customFormat="false" ht="15" hidden="false" customHeight="false" outlineLevel="0" collapsed="false">
      <c r="A687" s="18" t="n">
        <v>6</v>
      </c>
      <c r="B687" s="32" t="s">
        <v>489</v>
      </c>
      <c r="C687" s="16" t="n">
        <v>416500</v>
      </c>
      <c r="D687" s="13"/>
      <c r="E687" s="14" t="n">
        <f aca="false">C687-D687</f>
        <v>416500</v>
      </c>
    </row>
    <row r="688" customFormat="false" ht="15" hidden="false" customHeight="false" outlineLevel="0" collapsed="false">
      <c r="A688" s="18" t="n">
        <v>7</v>
      </c>
      <c r="B688" s="32" t="s">
        <v>490</v>
      </c>
      <c r="C688" s="16" t="n">
        <v>416500</v>
      </c>
      <c r="D688" s="13"/>
      <c r="E688" s="14" t="n">
        <f aca="false">C688-D688</f>
        <v>416500</v>
      </c>
    </row>
    <row r="689" customFormat="false" ht="15" hidden="false" customHeight="false" outlineLevel="0" collapsed="false">
      <c r="A689" s="18" t="n">
        <v>8</v>
      </c>
      <c r="B689" s="32" t="s">
        <v>491</v>
      </c>
      <c r="C689" s="16" t="n">
        <v>416500</v>
      </c>
      <c r="D689" s="13"/>
      <c r="E689" s="14" t="n">
        <f aca="false">C689-D689</f>
        <v>416500</v>
      </c>
    </row>
    <row r="690" customFormat="false" ht="15" hidden="false" customHeight="false" outlineLevel="0" collapsed="false">
      <c r="A690" s="18" t="n">
        <v>9</v>
      </c>
      <c r="B690" s="32" t="s">
        <v>492</v>
      </c>
      <c r="C690" s="16" t="n">
        <v>416500</v>
      </c>
      <c r="D690" s="13"/>
      <c r="E690" s="14" t="n">
        <f aca="false">C690-D690</f>
        <v>416500</v>
      </c>
    </row>
    <row r="691" customFormat="false" ht="15" hidden="false" customHeight="false" outlineLevel="0" collapsed="false">
      <c r="A691" s="18" t="n">
        <v>10</v>
      </c>
      <c r="B691" s="32" t="s">
        <v>493</v>
      </c>
      <c r="C691" s="16" t="n">
        <v>416500</v>
      </c>
      <c r="D691" s="13" t="n">
        <f aca="false">100000+98500+200000+18000</f>
        <v>416500</v>
      </c>
      <c r="E691" s="14" t="n">
        <f aca="false">C691-D691</f>
        <v>0</v>
      </c>
    </row>
    <row r="692" customFormat="false" ht="17.35" hidden="false" customHeight="false" outlineLevel="0" collapsed="false">
      <c r="A692" s="18"/>
      <c r="B692" s="55" t="s">
        <v>22</v>
      </c>
      <c r="C692" s="21" t="n">
        <f aca="false">SUM(C682:C691)</f>
        <v>4165000</v>
      </c>
      <c r="D692" s="85" t="n">
        <f aca="false">SUM(D682:D691)</f>
        <v>616500</v>
      </c>
      <c r="E692" s="45" t="n">
        <f aca="false">SUM(E682:E691)</f>
        <v>3548500</v>
      </c>
    </row>
    <row r="693" customFormat="false" ht="15" hidden="false" customHeight="false" outlineLevel="0" collapsed="false">
      <c r="D693" s="24"/>
      <c r="E693" s="24"/>
    </row>
    <row r="694" customFormat="false" ht="15" hidden="false" customHeight="false" outlineLevel="0" collapsed="false">
      <c r="D694" s="24"/>
      <c r="E694" s="24"/>
    </row>
    <row r="695" customFormat="false" ht="15" hidden="false" customHeight="false" outlineLevel="0" collapsed="false">
      <c r="D695" s="24"/>
      <c r="E695" s="24"/>
    </row>
    <row r="696" customFormat="false" ht="15" hidden="false" customHeight="false" outlineLevel="0" collapsed="false">
      <c r="D696" s="24"/>
      <c r="E696" s="24"/>
    </row>
    <row r="697" customFormat="false" ht="17.35" hidden="false" customHeight="false" outlineLevel="0" collapsed="false">
      <c r="A697" s="40"/>
      <c r="B697" s="2" t="s">
        <v>0</v>
      </c>
      <c r="D697" s="24"/>
      <c r="E697" s="24"/>
    </row>
    <row r="698" customFormat="false" ht="17.35" hidden="false" customHeight="false" outlineLevel="0" collapsed="false">
      <c r="A698" s="62"/>
      <c r="D698" s="24"/>
      <c r="E698" s="24"/>
    </row>
    <row r="699" customFormat="false" ht="15" hidden="false" customHeight="false" outlineLevel="0" collapsed="false">
      <c r="A699" s="40"/>
      <c r="D699" s="24"/>
      <c r="E699" s="24"/>
    </row>
    <row r="700" customFormat="false" ht="17.25" hidden="false" customHeight="false" outlineLevel="0" collapsed="false">
      <c r="A700" s="40"/>
      <c r="B700" s="4" t="s">
        <v>494</v>
      </c>
      <c r="D700" s="24"/>
      <c r="E700" s="24"/>
    </row>
    <row r="701" customFormat="false" ht="15" hidden="false" customHeight="false" outlineLevel="0" collapsed="false">
      <c r="A701" s="40"/>
      <c r="D701" s="41" t="s">
        <v>4</v>
      </c>
      <c r="E701" s="24"/>
    </row>
    <row r="702" customFormat="false" ht="15" hidden="false" customHeight="false" outlineLevel="0" collapsed="false">
      <c r="A702" s="40"/>
      <c r="D702" s="24"/>
      <c r="E702" s="24"/>
    </row>
    <row r="703" customFormat="false" ht="15" hidden="false" customHeight="false" outlineLevel="0" collapsed="false">
      <c r="A703" s="6" t="s">
        <v>5</v>
      </c>
      <c r="B703" s="7" t="s">
        <v>6</v>
      </c>
      <c r="C703" s="8" t="s">
        <v>7</v>
      </c>
      <c r="D703" s="42" t="s">
        <v>8</v>
      </c>
      <c r="E703" s="43" t="s">
        <v>9</v>
      </c>
    </row>
    <row r="704" customFormat="false" ht="15" hidden="false" customHeight="false" outlineLevel="0" collapsed="false">
      <c r="A704" s="49" t="n">
        <v>1</v>
      </c>
      <c r="B704" s="15" t="s">
        <v>495</v>
      </c>
      <c r="C704" s="16" t="n">
        <v>416500</v>
      </c>
      <c r="D704" s="13"/>
      <c r="E704" s="14" t="n">
        <f aca="false">C704-D704</f>
        <v>416500</v>
      </c>
    </row>
    <row r="705" customFormat="false" ht="15" hidden="false" customHeight="false" outlineLevel="0" collapsed="false">
      <c r="A705" s="18" t="n">
        <v>2</v>
      </c>
      <c r="B705" s="32" t="s">
        <v>496</v>
      </c>
      <c r="C705" s="16" t="n">
        <v>416500</v>
      </c>
      <c r="D705" s="13"/>
      <c r="E705" s="14" t="n">
        <f aca="false">C705-D705</f>
        <v>416500</v>
      </c>
    </row>
    <row r="706" customFormat="false" ht="15" hidden="false" customHeight="false" outlineLevel="0" collapsed="false">
      <c r="A706" s="49" t="n">
        <v>3</v>
      </c>
      <c r="B706" s="50" t="s">
        <v>497</v>
      </c>
      <c r="C706" s="16" t="n">
        <v>416500</v>
      </c>
      <c r="D706" s="13"/>
      <c r="E706" s="14" t="n">
        <f aca="false">C706-D706</f>
        <v>416500</v>
      </c>
    </row>
    <row r="707" customFormat="false" ht="15" hidden="false" customHeight="false" outlineLevel="0" collapsed="false">
      <c r="A707" s="49" t="n">
        <v>4</v>
      </c>
      <c r="B707" s="50" t="s">
        <v>498</v>
      </c>
      <c r="C707" s="86" t="n">
        <v>416500</v>
      </c>
      <c r="D707" s="87"/>
      <c r="E707" s="14" t="n">
        <f aca="false">C707-D707</f>
        <v>416500</v>
      </c>
    </row>
    <row r="708" customFormat="false" ht="15" hidden="false" customHeight="false" outlineLevel="0" collapsed="false">
      <c r="A708" s="18" t="n">
        <v>5</v>
      </c>
      <c r="B708" s="50" t="s">
        <v>499</v>
      </c>
      <c r="C708" s="86" t="n">
        <v>416500</v>
      </c>
      <c r="D708" s="13"/>
      <c r="E708" s="14" t="n">
        <f aca="false">C708-D708</f>
        <v>416500</v>
      </c>
    </row>
    <row r="709" customFormat="false" ht="15" hidden="false" customHeight="false" outlineLevel="0" collapsed="false">
      <c r="A709" s="49" t="n">
        <v>6</v>
      </c>
      <c r="B709" s="50" t="s">
        <v>500</v>
      </c>
      <c r="C709" s="86" t="n">
        <v>416500</v>
      </c>
      <c r="D709" s="13" t="n">
        <f aca="false">83500+150000+100000+83000</f>
        <v>416500</v>
      </c>
      <c r="E709" s="14" t="n">
        <f aca="false">C709-D709</f>
        <v>0</v>
      </c>
    </row>
    <row r="710" customFormat="false" ht="15" hidden="false" customHeight="false" outlineLevel="0" collapsed="false">
      <c r="A710" s="49" t="n">
        <v>7</v>
      </c>
      <c r="B710" s="68" t="s">
        <v>501</v>
      </c>
      <c r="C710" s="86" t="n">
        <v>416500</v>
      </c>
      <c r="D710" s="13" t="n">
        <v>216500</v>
      </c>
      <c r="E710" s="14" t="n">
        <f aca="false">C710-D710</f>
        <v>200000</v>
      </c>
    </row>
    <row r="711" customFormat="false" ht="15" hidden="false" customHeight="false" outlineLevel="0" collapsed="false">
      <c r="A711" s="18" t="n">
        <v>8</v>
      </c>
      <c r="B711" s="68" t="s">
        <v>502</v>
      </c>
      <c r="C711" s="86" t="n">
        <v>416500</v>
      </c>
      <c r="D711" s="13"/>
      <c r="E711" s="14" t="n">
        <f aca="false">C711-D711</f>
        <v>416500</v>
      </c>
    </row>
    <row r="712" customFormat="false" ht="15" hidden="false" customHeight="false" outlineLevel="0" collapsed="false">
      <c r="A712" s="49" t="n">
        <v>9</v>
      </c>
      <c r="B712" s="50" t="s">
        <v>500</v>
      </c>
      <c r="C712" s="86" t="n">
        <v>416500</v>
      </c>
      <c r="D712" s="13" t="n">
        <f aca="false">100000</f>
        <v>100000</v>
      </c>
      <c r="E712" s="14" t="n">
        <f aca="false">C712-D712</f>
        <v>316500</v>
      </c>
    </row>
    <row r="713" customFormat="false" ht="15" hidden="false" customHeight="false" outlineLevel="0" collapsed="false">
      <c r="A713" s="49" t="n">
        <v>10</v>
      </c>
      <c r="B713" s="50" t="s">
        <v>503</v>
      </c>
      <c r="C713" s="86" t="n">
        <v>416500</v>
      </c>
      <c r="D713" s="13" t="n">
        <f aca="false">266500</f>
        <v>266500</v>
      </c>
      <c r="E713" s="14" t="n">
        <f aca="false">C713-D713</f>
        <v>150000</v>
      </c>
    </row>
    <row r="714" customFormat="false" ht="17.35" hidden="false" customHeight="false" outlineLevel="0" collapsed="false">
      <c r="A714" s="19"/>
      <c r="B714" s="20" t="s">
        <v>22</v>
      </c>
      <c r="C714" s="21" t="n">
        <f aca="false">SUM(C704:C713)</f>
        <v>4165000</v>
      </c>
      <c r="D714" s="22" t="n">
        <f aca="false">SUM(D704:D713)</f>
        <v>999500</v>
      </c>
      <c r="E714" s="45" t="n">
        <f aca="false">SUM(E704:E713)</f>
        <v>3165500</v>
      </c>
    </row>
    <row r="715" customFormat="false" ht="15" hidden="false" customHeight="false" outlineLevel="0" collapsed="false">
      <c r="D715" s="24"/>
      <c r="E715" s="24"/>
    </row>
    <row r="716" customFormat="false" ht="15" hidden="false" customHeight="false" outlineLevel="0" collapsed="false">
      <c r="D716" s="24"/>
      <c r="E716" s="24"/>
    </row>
    <row r="717" customFormat="false" ht="15" hidden="false" customHeight="false" outlineLevel="0" collapsed="false">
      <c r="D717" s="24"/>
      <c r="E717" s="24"/>
    </row>
    <row r="718" customFormat="false" ht="15" hidden="false" customHeight="false" outlineLevel="0" collapsed="false">
      <c r="D718" s="24"/>
      <c r="E718" s="24"/>
    </row>
    <row r="719" customFormat="false" ht="17.35" hidden="false" customHeight="false" outlineLevel="0" collapsed="false">
      <c r="A719" s="40"/>
      <c r="B719" s="2" t="s">
        <v>504</v>
      </c>
      <c r="D719" s="24"/>
      <c r="E719" s="24"/>
    </row>
    <row r="720" customFormat="false" ht="17.35" hidden="false" customHeight="false" outlineLevel="0" collapsed="false">
      <c r="A720" s="62"/>
      <c r="D720" s="24"/>
      <c r="E720" s="24"/>
    </row>
    <row r="721" customFormat="false" ht="15" hidden="false" customHeight="false" outlineLevel="0" collapsed="false">
      <c r="A721" s="40"/>
      <c r="D721" s="24"/>
      <c r="E721" s="24"/>
    </row>
    <row r="722" customFormat="false" ht="17.25" hidden="false" customHeight="false" outlineLevel="0" collapsed="false">
      <c r="A722" s="40"/>
      <c r="B722" s="4" t="s">
        <v>494</v>
      </c>
      <c r="D722" s="24"/>
      <c r="E722" s="24"/>
    </row>
    <row r="723" customFormat="false" ht="15" hidden="false" customHeight="false" outlineLevel="0" collapsed="false">
      <c r="A723" s="40"/>
      <c r="D723" s="25" t="s">
        <v>23</v>
      </c>
      <c r="E723" s="24"/>
    </row>
    <row r="724" customFormat="false" ht="15" hidden="false" customHeight="false" outlineLevel="0" collapsed="false">
      <c r="A724" s="40"/>
      <c r="D724" s="24"/>
      <c r="E724" s="24"/>
    </row>
    <row r="725" customFormat="false" ht="15" hidden="false" customHeight="false" outlineLevel="0" collapsed="false">
      <c r="A725" s="6" t="s">
        <v>5</v>
      </c>
      <c r="B725" s="7" t="s">
        <v>6</v>
      </c>
      <c r="C725" s="8" t="s">
        <v>7</v>
      </c>
      <c r="D725" s="42" t="s">
        <v>8</v>
      </c>
      <c r="E725" s="43" t="s">
        <v>9</v>
      </c>
    </row>
    <row r="726" customFormat="false" ht="15" hidden="false" customHeight="false" outlineLevel="0" collapsed="false">
      <c r="A726" s="49" t="n">
        <v>1</v>
      </c>
      <c r="B726" s="32" t="s">
        <v>505</v>
      </c>
      <c r="C726" s="16" t="n">
        <v>416500</v>
      </c>
      <c r="D726" s="13" t="n">
        <f aca="false">224000+96000</f>
        <v>320000</v>
      </c>
      <c r="E726" s="14" t="n">
        <f aca="false">C726-D726</f>
        <v>96500</v>
      </c>
    </row>
    <row r="727" customFormat="false" ht="15" hidden="false" customHeight="false" outlineLevel="0" collapsed="false">
      <c r="A727" s="18" t="n">
        <v>2</v>
      </c>
      <c r="B727" s="88" t="s">
        <v>506</v>
      </c>
      <c r="C727" s="16" t="n">
        <v>416500</v>
      </c>
      <c r="D727" s="13"/>
      <c r="E727" s="14" t="n">
        <f aca="false">C727-D727</f>
        <v>416500</v>
      </c>
    </row>
    <row r="728" customFormat="false" ht="15" hidden="false" customHeight="false" outlineLevel="0" collapsed="false">
      <c r="A728" s="49" t="n">
        <v>3</v>
      </c>
      <c r="B728" s="32" t="s">
        <v>507</v>
      </c>
      <c r="C728" s="16" t="n">
        <v>416500</v>
      </c>
      <c r="D728" s="13"/>
      <c r="E728" s="14" t="n">
        <f aca="false">C728-D728</f>
        <v>416500</v>
      </c>
    </row>
    <row r="729" customFormat="false" ht="15" hidden="false" customHeight="false" outlineLevel="0" collapsed="false">
      <c r="A729" s="49" t="n">
        <v>4</v>
      </c>
      <c r="B729" s="32" t="s">
        <v>508</v>
      </c>
      <c r="C729" s="16" t="n">
        <v>416500</v>
      </c>
      <c r="D729" s="13" t="n">
        <v>416500</v>
      </c>
      <c r="E729" s="14" t="n">
        <f aca="false">C729-D729</f>
        <v>0</v>
      </c>
    </row>
    <row r="730" customFormat="false" ht="15" hidden="false" customHeight="false" outlineLevel="0" collapsed="false">
      <c r="A730" s="18" t="n">
        <v>5</v>
      </c>
      <c r="B730" s="32" t="s">
        <v>509</v>
      </c>
      <c r="C730" s="86" t="n">
        <v>416500</v>
      </c>
      <c r="D730" s="87" t="n">
        <f aca="false">416500</f>
        <v>416500</v>
      </c>
      <c r="E730" s="14" t="n">
        <f aca="false">C730-D730</f>
        <v>0</v>
      </c>
    </row>
    <row r="731" customFormat="false" ht="15" hidden="false" customHeight="false" outlineLevel="0" collapsed="false">
      <c r="A731" s="49" t="n">
        <v>6</v>
      </c>
      <c r="B731" s="32" t="s">
        <v>510</v>
      </c>
      <c r="C731" s="86" t="n">
        <v>416500</v>
      </c>
      <c r="D731" s="13" t="n">
        <v>416500</v>
      </c>
      <c r="E731" s="14" t="n">
        <f aca="false">C731-D731</f>
        <v>0</v>
      </c>
    </row>
    <row r="732" customFormat="false" ht="15.75" hidden="false" customHeight="true" outlineLevel="0" collapsed="false">
      <c r="A732" s="49" t="n">
        <v>7</v>
      </c>
      <c r="B732" s="88" t="s">
        <v>511</v>
      </c>
      <c r="C732" s="86" t="n">
        <v>416500</v>
      </c>
      <c r="D732" s="13" t="n">
        <v>416500</v>
      </c>
      <c r="E732" s="14" t="n">
        <f aca="false">C732-D732</f>
        <v>0</v>
      </c>
    </row>
    <row r="733" customFormat="false" ht="15" hidden="false" customHeight="false" outlineLevel="0" collapsed="false">
      <c r="A733" s="18" t="n">
        <v>8</v>
      </c>
      <c r="B733" s="32" t="s">
        <v>512</v>
      </c>
      <c r="C733" s="86" t="n">
        <v>416500</v>
      </c>
      <c r="D733" s="13"/>
      <c r="E733" s="14" t="n">
        <f aca="false">C733-D733</f>
        <v>416500</v>
      </c>
    </row>
    <row r="734" customFormat="false" ht="15" hidden="false" customHeight="false" outlineLevel="0" collapsed="false">
      <c r="A734" s="49" t="n">
        <v>9</v>
      </c>
      <c r="B734" s="32" t="s">
        <v>513</v>
      </c>
      <c r="C734" s="16" t="n">
        <v>416500</v>
      </c>
      <c r="D734" s="13" t="n">
        <v>416500</v>
      </c>
      <c r="E734" s="14" t="n">
        <f aca="false">C734-D734</f>
        <v>0</v>
      </c>
    </row>
    <row r="735" customFormat="false" ht="17.35" hidden="false" customHeight="false" outlineLevel="0" collapsed="false">
      <c r="A735" s="19"/>
      <c r="B735" s="20" t="s">
        <v>22</v>
      </c>
      <c r="C735" s="21" t="n">
        <f aca="false">SUM(C726:C734)</f>
        <v>3748500</v>
      </c>
      <c r="D735" s="22" t="n">
        <f aca="false">SUM(D726:D734)</f>
        <v>2402500</v>
      </c>
      <c r="E735" s="45" t="n">
        <f aca="false">SUM(E726:E734)</f>
        <v>1346000</v>
      </c>
    </row>
    <row r="736" customFormat="false" ht="15" hidden="false" customHeight="false" outlineLevel="0" collapsed="false">
      <c r="D736" s="24"/>
      <c r="E736" s="24"/>
    </row>
    <row r="737" customFormat="false" ht="15" hidden="false" customHeight="false" outlineLevel="0" collapsed="false">
      <c r="D737" s="24"/>
      <c r="E737" s="24"/>
    </row>
    <row r="738" customFormat="false" ht="15" hidden="false" customHeight="false" outlineLevel="0" collapsed="false">
      <c r="D738" s="24"/>
      <c r="E738" s="24"/>
    </row>
    <row r="741" customFormat="false" ht="17.35" hidden="false" customHeight="false" outlineLevel="0" collapsed="false">
      <c r="A741" s="40"/>
      <c r="B741" s="2" t="s">
        <v>504</v>
      </c>
    </row>
    <row r="742" customFormat="false" ht="15" hidden="false" customHeight="false" outlineLevel="0" collapsed="false">
      <c r="A742" s="40"/>
    </row>
    <row r="743" customFormat="false" ht="15" hidden="false" customHeight="false" outlineLevel="0" collapsed="false">
      <c r="A743" s="40"/>
    </row>
    <row r="744" customFormat="false" ht="17.65" hidden="false" customHeight="false" outlineLevel="0" collapsed="false">
      <c r="A744" s="40"/>
      <c r="B744" s="4" t="s">
        <v>37</v>
      </c>
      <c r="D744" s="77" t="s">
        <v>514</v>
      </c>
    </row>
    <row r="745" customFormat="false" ht="15" hidden="false" customHeight="false" outlineLevel="0" collapsed="false">
      <c r="A745" s="40"/>
    </row>
    <row r="746" customFormat="false" ht="15" hidden="false" customHeight="false" outlineLevel="0" collapsed="false">
      <c r="A746" s="6" t="s">
        <v>5</v>
      </c>
      <c r="B746" s="7" t="s">
        <v>6</v>
      </c>
      <c r="C746" s="8" t="s">
        <v>7</v>
      </c>
      <c r="D746" s="9" t="s">
        <v>8</v>
      </c>
      <c r="E746" s="89" t="s">
        <v>9</v>
      </c>
    </row>
    <row r="747" customFormat="false" ht="15" hidden="false" customHeight="false" outlineLevel="0" collapsed="false">
      <c r="A747" s="18" t="n">
        <v>1</v>
      </c>
      <c r="B747" s="32" t="s">
        <v>515</v>
      </c>
      <c r="C747" s="16" t="n">
        <v>416500</v>
      </c>
      <c r="D747" s="16"/>
      <c r="E747" s="90" t="n">
        <f aca="false">C747-D747</f>
        <v>416500</v>
      </c>
    </row>
    <row r="748" customFormat="false" ht="15" hidden="false" customHeight="false" outlineLevel="0" collapsed="false">
      <c r="A748" s="18" t="n">
        <v>2</v>
      </c>
      <c r="B748" s="32" t="s">
        <v>45</v>
      </c>
      <c r="C748" s="16" t="n">
        <v>416500</v>
      </c>
      <c r="D748" s="16" t="n">
        <f aca="false">216500</f>
        <v>216500</v>
      </c>
      <c r="E748" s="90" t="n">
        <f aca="false">C748-D748</f>
        <v>200000</v>
      </c>
    </row>
    <row r="749" customFormat="false" ht="15" hidden="false" customHeight="false" outlineLevel="0" collapsed="false">
      <c r="A749" s="18" t="n">
        <v>3</v>
      </c>
      <c r="B749" s="32" t="s">
        <v>44</v>
      </c>
      <c r="C749" s="16" t="n">
        <v>416500</v>
      </c>
      <c r="D749" s="16" t="n">
        <f aca="false">216500</f>
        <v>216500</v>
      </c>
      <c r="E749" s="90" t="n">
        <f aca="false">C749-D749</f>
        <v>200000</v>
      </c>
    </row>
    <row r="750" customFormat="false" ht="15" hidden="false" customHeight="false" outlineLevel="0" collapsed="false">
      <c r="A750" s="18" t="n">
        <v>4</v>
      </c>
      <c r="B750" s="32" t="s">
        <v>516</v>
      </c>
      <c r="C750" s="16" t="n">
        <v>416500</v>
      </c>
      <c r="D750" s="16" t="n">
        <f aca="false">220000</f>
        <v>220000</v>
      </c>
      <c r="E750" s="90" t="n">
        <f aca="false">C750-D750</f>
        <v>196500</v>
      </c>
    </row>
    <row r="751" customFormat="false" ht="15" hidden="false" customHeight="false" outlineLevel="0" collapsed="false">
      <c r="A751" s="18" t="n">
        <v>5</v>
      </c>
      <c r="B751" s="32" t="s">
        <v>48</v>
      </c>
      <c r="C751" s="16" t="n">
        <v>416500</v>
      </c>
      <c r="D751" s="16" t="n">
        <f aca="false">216000</f>
        <v>216000</v>
      </c>
      <c r="E751" s="90" t="n">
        <f aca="false">C751-D751</f>
        <v>200500</v>
      </c>
    </row>
    <row r="752" customFormat="false" ht="15" hidden="false" customHeight="false" outlineLevel="0" collapsed="false">
      <c r="A752" s="18" t="n">
        <v>6</v>
      </c>
      <c r="B752" s="32" t="s">
        <v>43</v>
      </c>
      <c r="C752" s="16" t="n">
        <v>416500</v>
      </c>
      <c r="D752" s="16" t="n">
        <f aca="false">216500</f>
        <v>216500</v>
      </c>
      <c r="E752" s="90" t="n">
        <f aca="false">C752-D752</f>
        <v>200000</v>
      </c>
    </row>
    <row r="753" customFormat="false" ht="15" hidden="false" customHeight="false" outlineLevel="0" collapsed="false">
      <c r="A753" s="18" t="n">
        <v>7</v>
      </c>
      <c r="B753" s="32" t="s">
        <v>40</v>
      </c>
      <c r="C753" s="16" t="n">
        <v>416500</v>
      </c>
      <c r="D753" s="16" t="n">
        <f aca="false">185000+31000</f>
        <v>216000</v>
      </c>
      <c r="E753" s="90" t="n">
        <f aca="false">C753-D753</f>
        <v>200500</v>
      </c>
    </row>
    <row r="754" customFormat="false" ht="15" hidden="false" customHeight="false" outlineLevel="0" collapsed="false">
      <c r="A754" s="18" t="n">
        <v>8</v>
      </c>
      <c r="B754" s="32" t="s">
        <v>517</v>
      </c>
      <c r="C754" s="16" t="n">
        <v>416500</v>
      </c>
      <c r="D754" s="16" t="n">
        <f aca="false">200000+16500</f>
        <v>216500</v>
      </c>
      <c r="E754" s="90" t="n">
        <f aca="false">C754-D754</f>
        <v>200000</v>
      </c>
    </row>
    <row r="755" customFormat="false" ht="15" hidden="false" customHeight="false" outlineLevel="0" collapsed="false">
      <c r="A755" s="18" t="n">
        <v>9</v>
      </c>
      <c r="B755" s="32" t="s">
        <v>518</v>
      </c>
      <c r="C755" s="16" t="n">
        <v>416500</v>
      </c>
      <c r="D755" s="16" t="n">
        <f aca="false">216500</f>
        <v>216500</v>
      </c>
      <c r="E755" s="90" t="n">
        <f aca="false">C755-D755</f>
        <v>200000</v>
      </c>
    </row>
    <row r="756" customFormat="false" ht="15" hidden="false" customHeight="false" outlineLevel="0" collapsed="false">
      <c r="A756" s="18" t="n">
        <v>10</v>
      </c>
      <c r="B756" s="32" t="s">
        <v>50</v>
      </c>
      <c r="C756" s="16" t="n">
        <v>416500</v>
      </c>
      <c r="D756" s="16" t="n">
        <f aca="false">200000</f>
        <v>200000</v>
      </c>
      <c r="E756" s="90" t="n">
        <f aca="false">C756-D756</f>
        <v>216500</v>
      </c>
    </row>
    <row r="757" customFormat="false" ht="15" hidden="false" customHeight="false" outlineLevel="0" collapsed="false">
      <c r="A757" s="18" t="n">
        <v>11</v>
      </c>
      <c r="B757" s="32" t="s">
        <v>519</v>
      </c>
      <c r="C757" s="16" t="n">
        <v>416500</v>
      </c>
      <c r="D757" s="16" t="n">
        <f aca="false">416500</f>
        <v>416500</v>
      </c>
      <c r="E757" s="90" t="n">
        <f aca="false">C757-D757</f>
        <v>0</v>
      </c>
    </row>
    <row r="758" customFormat="false" ht="15" hidden="false" customHeight="false" outlineLevel="0" collapsed="false">
      <c r="A758" s="18" t="n">
        <v>12</v>
      </c>
      <c r="B758" s="32" t="s">
        <v>47</v>
      </c>
      <c r="C758" s="16" t="n">
        <v>416500</v>
      </c>
      <c r="D758" s="16" t="n">
        <f aca="false">216500</f>
        <v>216500</v>
      </c>
      <c r="E758" s="90" t="n">
        <f aca="false">C758-D758</f>
        <v>200000</v>
      </c>
    </row>
    <row r="759" customFormat="false" ht="15" hidden="false" customHeight="false" outlineLevel="0" collapsed="false">
      <c r="A759" s="18" t="n">
        <v>13</v>
      </c>
      <c r="B759" s="32" t="s">
        <v>42</v>
      </c>
      <c r="C759" s="16" t="n">
        <v>416500</v>
      </c>
      <c r="D759" s="16" t="n">
        <f aca="false">250000</f>
        <v>250000</v>
      </c>
      <c r="E759" s="90" t="n">
        <f aca="false">C759-D759</f>
        <v>166500</v>
      </c>
    </row>
    <row r="760" customFormat="false" ht="15" hidden="false" customHeight="false" outlineLevel="0" collapsed="false">
      <c r="A760" s="18" t="n">
        <v>14</v>
      </c>
      <c r="B760" s="32" t="s">
        <v>49</v>
      </c>
      <c r="C760" s="16" t="n">
        <v>416500</v>
      </c>
      <c r="D760" s="16" t="n">
        <f aca="false">216500</f>
        <v>216500</v>
      </c>
      <c r="E760" s="90" t="n">
        <f aca="false">C760-D760</f>
        <v>200000</v>
      </c>
    </row>
    <row r="761" customFormat="false" ht="17.35" hidden="false" customHeight="false" outlineLevel="0" collapsed="false">
      <c r="A761" s="18"/>
      <c r="B761" s="20" t="s">
        <v>22</v>
      </c>
      <c r="C761" s="21" t="n">
        <f aca="false">SUM(C747:C760)</f>
        <v>5831000</v>
      </c>
      <c r="D761" s="91" t="n">
        <f aca="false">SUM(D747:D760)</f>
        <v>3034000</v>
      </c>
      <c r="E761" s="92" t="n">
        <f aca="false">C761-D761</f>
        <v>2797000</v>
      </c>
    </row>
    <row r="765" customFormat="false" ht="15" hidden="false" customHeight="false" outlineLevel="0" collapsed="false">
      <c r="A765" s="40"/>
    </row>
    <row r="766" customFormat="false" ht="17.65" hidden="false" customHeight="false" outlineLevel="0" collapsed="false">
      <c r="A766" s="40"/>
      <c r="B766" s="4" t="s">
        <v>520</v>
      </c>
      <c r="D766" s="77" t="s">
        <v>51</v>
      </c>
    </row>
    <row r="767" customFormat="false" ht="15" hidden="false" customHeight="false" outlineLevel="0" collapsed="false">
      <c r="A767" s="40"/>
    </row>
    <row r="768" customFormat="false" ht="15" hidden="false" customHeight="false" outlineLevel="0" collapsed="false">
      <c r="A768" s="6" t="s">
        <v>5</v>
      </c>
      <c r="B768" s="7" t="s">
        <v>6</v>
      </c>
      <c r="C768" s="8" t="s">
        <v>7</v>
      </c>
      <c r="D768" s="9" t="s">
        <v>8</v>
      </c>
      <c r="E768" s="93" t="s">
        <v>9</v>
      </c>
    </row>
    <row r="769" customFormat="false" ht="15" hidden="false" customHeight="false" outlineLevel="0" collapsed="false">
      <c r="A769" s="18" t="n">
        <v>1</v>
      </c>
      <c r="B769" s="32" t="s">
        <v>521</v>
      </c>
      <c r="C769" s="94" t="n">
        <v>416500</v>
      </c>
      <c r="D769" s="94"/>
      <c r="E769" s="95" t="n">
        <f aca="false">C769-D769</f>
        <v>416500</v>
      </c>
    </row>
    <row r="770" customFormat="false" ht="15" hidden="false" customHeight="false" outlineLevel="0" collapsed="false">
      <c r="A770" s="18"/>
      <c r="B770" s="32"/>
      <c r="C770" s="94"/>
      <c r="D770" s="94"/>
      <c r="E770" s="95" t="n">
        <f aca="false">C770-D770</f>
        <v>0</v>
      </c>
    </row>
    <row r="771" customFormat="false" ht="17.35" hidden="false" customHeight="false" outlineLevel="0" collapsed="false">
      <c r="A771" s="19"/>
      <c r="B771" s="20" t="s">
        <v>22</v>
      </c>
      <c r="C771" s="21" t="n">
        <f aca="false">SUM(C769:C770)</f>
        <v>416500</v>
      </c>
      <c r="D771" s="91" t="n">
        <f aca="false">SUM(D769:D770)</f>
        <v>0</v>
      </c>
      <c r="E771" s="96" t="n">
        <f aca="false">SUM(E769:E770)</f>
        <v>416500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1048576"/>
  <sheetViews>
    <sheetView showFormulas="false" showGridLines="true" showRowColHeaders="true" showZeros="true" rightToLeft="false" tabSelected="false" showOutlineSymbols="true" defaultGridColor="true" view="normal" topLeftCell="B205" colorId="64" zoomScale="93" zoomScaleNormal="93" zoomScalePageLayoutView="100" workbookViewId="0">
      <selection pane="topLeft" activeCell="G224" activeCellId="0" sqref="G224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45.14"/>
    <col collapsed="false" customWidth="true" hidden="false" outlineLevel="0" max="3" min="3" style="1" width="13.43"/>
    <col collapsed="false" customWidth="true" hidden="false" outlineLevel="0" max="4" min="4" style="1" width="12.43"/>
    <col collapsed="false" customWidth="true" hidden="false" outlineLevel="0" max="5" min="5" style="1" width="12.71"/>
    <col collapsed="false" customWidth="true" hidden="false" outlineLevel="0" max="16383" min="16373" style="0" width="11.53"/>
    <col collapsed="false" customWidth="true" hidden="false" outlineLevel="0" max="16384" min="16384" style="1" width="11.53"/>
  </cols>
  <sheetData>
    <row r="3" customFormat="false" ht="15" hidden="false" customHeight="false" outlineLevel="0" collapsed="false">
      <c r="D3" s="24"/>
    </row>
    <row r="4" customFormat="false" ht="15" hidden="false" customHeight="false" outlineLevel="0" collapsed="false">
      <c r="D4" s="24"/>
    </row>
    <row r="5" customFormat="false" ht="15" hidden="false" customHeight="false" outlineLevel="0" collapsed="false">
      <c r="D5" s="24"/>
    </row>
    <row r="6" customFormat="false" ht="15" hidden="false" customHeight="false" outlineLevel="0" collapsed="false">
      <c r="D6" s="24"/>
    </row>
    <row r="7" customFormat="false" ht="17.35" hidden="false" customHeight="false" outlineLevel="0" collapsed="false">
      <c r="A7" s="40"/>
      <c r="B7" s="40"/>
      <c r="C7" s="97" t="s">
        <v>0</v>
      </c>
      <c r="D7" s="24"/>
    </row>
    <row r="8" customFormat="false" ht="15" hidden="false" customHeight="false" outlineLevel="0" collapsed="false">
      <c r="A8" s="40"/>
      <c r="B8" s="40"/>
      <c r="D8" s="24"/>
    </row>
    <row r="9" customFormat="false" ht="17.65" hidden="false" customHeight="false" outlineLevel="0" collapsed="false">
      <c r="A9" s="40"/>
      <c r="B9" s="40"/>
      <c r="C9" s="98" t="s">
        <v>522</v>
      </c>
      <c r="D9" s="24"/>
    </row>
    <row r="10" customFormat="false" ht="15" hidden="false" customHeight="false" outlineLevel="0" collapsed="false">
      <c r="A10" s="40"/>
      <c r="B10" s="40"/>
      <c r="D10" s="25"/>
    </row>
    <row r="11" customFormat="false" ht="15" hidden="false" customHeight="false" outlineLevel="0" collapsed="false">
      <c r="A11" s="40"/>
      <c r="B11" s="40"/>
      <c r="D11" s="24"/>
    </row>
    <row r="12" customFormat="false" ht="15" hidden="false" customHeight="false" outlineLevel="0" collapsed="false">
      <c r="A12" s="6" t="s">
        <v>5</v>
      </c>
      <c r="B12" s="99" t="s">
        <v>6</v>
      </c>
      <c r="C12" s="100" t="s">
        <v>7</v>
      </c>
      <c r="D12" s="101" t="s">
        <v>8</v>
      </c>
      <c r="E12" s="102" t="s">
        <v>9</v>
      </c>
    </row>
    <row r="13" customFormat="false" ht="28.5" hidden="false" customHeight="true" outlineLevel="0" collapsed="false">
      <c r="A13" s="49" t="n">
        <v>1</v>
      </c>
      <c r="B13" s="103" t="s">
        <v>523</v>
      </c>
      <c r="C13" s="65" t="n">
        <v>416500</v>
      </c>
      <c r="D13" s="52" t="n">
        <f aca="false">116500+100000</f>
        <v>216500</v>
      </c>
      <c r="E13" s="17" t="n">
        <f aca="false">C13-D13</f>
        <v>200000</v>
      </c>
    </row>
    <row r="14" customFormat="false" ht="15" hidden="false" customHeight="false" outlineLevel="0" collapsed="false">
      <c r="A14" s="49" t="n">
        <v>2</v>
      </c>
      <c r="B14" s="103" t="s">
        <v>524</v>
      </c>
      <c r="C14" s="65" t="n">
        <v>416500</v>
      </c>
      <c r="D14" s="52" t="n">
        <f aca="false">200000+16000+61000+150000</f>
        <v>427000</v>
      </c>
      <c r="E14" s="17" t="n">
        <f aca="false">C14-D14</f>
        <v>-10500</v>
      </c>
    </row>
    <row r="15" customFormat="false" ht="15" hidden="false" customHeight="false" outlineLevel="0" collapsed="false">
      <c r="A15" s="49" t="n">
        <v>3</v>
      </c>
      <c r="B15" s="104" t="s">
        <v>525</v>
      </c>
      <c r="C15" s="65" t="n">
        <v>416500</v>
      </c>
      <c r="D15" s="52" t="n">
        <f aca="false">220000+196500</f>
        <v>416500</v>
      </c>
      <c r="E15" s="17" t="n">
        <f aca="false">C15-D15</f>
        <v>0</v>
      </c>
    </row>
    <row r="16" customFormat="false" ht="30" hidden="false" customHeight="true" outlineLevel="0" collapsed="false">
      <c r="A16" s="49" t="n">
        <v>4</v>
      </c>
      <c r="B16" s="103" t="s">
        <v>526</v>
      </c>
      <c r="C16" s="65" t="n">
        <v>416500</v>
      </c>
      <c r="D16" s="52" t="n">
        <f aca="false">216500</f>
        <v>216500</v>
      </c>
      <c r="E16" s="90" t="n">
        <f aca="false">C16-D16</f>
        <v>200000</v>
      </c>
    </row>
    <row r="17" customFormat="false" ht="28.5" hidden="false" customHeight="true" outlineLevel="0" collapsed="false">
      <c r="A17" s="49" t="n">
        <v>5</v>
      </c>
      <c r="B17" s="103" t="s">
        <v>527</v>
      </c>
      <c r="C17" s="65" t="n">
        <v>416500</v>
      </c>
      <c r="D17" s="52" t="n">
        <f aca="false">216500+200000</f>
        <v>416500</v>
      </c>
      <c r="E17" s="17" t="n">
        <f aca="false">C17-D17</f>
        <v>0</v>
      </c>
    </row>
    <row r="18" customFormat="false" ht="15" hidden="false" customHeight="false" outlineLevel="0" collapsed="false">
      <c r="A18" s="49" t="n">
        <v>6</v>
      </c>
      <c r="B18" s="103" t="s">
        <v>528</v>
      </c>
      <c r="C18" s="65" t="n">
        <v>416500</v>
      </c>
      <c r="D18" s="52" t="n">
        <f aca="false">200000+200000+16500</f>
        <v>416500</v>
      </c>
      <c r="E18" s="17" t="n">
        <f aca="false">C18-D18</f>
        <v>0</v>
      </c>
    </row>
    <row r="19" customFormat="false" ht="15" hidden="false" customHeight="false" outlineLevel="0" collapsed="false">
      <c r="A19" s="49" t="n">
        <v>7</v>
      </c>
      <c r="B19" s="103" t="s">
        <v>529</v>
      </c>
      <c r="C19" s="65" t="n">
        <v>416500</v>
      </c>
      <c r="D19" s="52" t="n">
        <f aca="false">210000+206500</f>
        <v>416500</v>
      </c>
      <c r="E19" s="17" t="n">
        <f aca="false">C19-D19</f>
        <v>0</v>
      </c>
    </row>
    <row r="20" customFormat="false" ht="15" hidden="false" customHeight="false" outlineLevel="0" collapsed="false">
      <c r="A20" s="49" t="n">
        <v>8</v>
      </c>
      <c r="B20" s="103" t="s">
        <v>530</v>
      </c>
      <c r="C20" s="65" t="n">
        <v>416500</v>
      </c>
      <c r="D20" s="52" t="n">
        <f aca="false">200000+216500</f>
        <v>416500</v>
      </c>
      <c r="E20" s="17" t="n">
        <f aca="false">C20-D20</f>
        <v>0</v>
      </c>
    </row>
    <row r="21" customFormat="false" ht="15" hidden="false" customHeight="false" outlineLevel="0" collapsed="false">
      <c r="A21" s="49" t="n">
        <v>9</v>
      </c>
      <c r="B21" s="103" t="s">
        <v>531</v>
      </c>
      <c r="C21" s="65" t="n">
        <v>416500</v>
      </c>
      <c r="D21" s="52" t="n">
        <f aca="false">316000+100500</f>
        <v>416500</v>
      </c>
      <c r="E21" s="17" t="n">
        <f aca="false">C21-D21</f>
        <v>0</v>
      </c>
    </row>
    <row r="22" customFormat="false" ht="15" hidden="false" customHeight="false" outlineLevel="0" collapsed="false">
      <c r="A22" s="49" t="n">
        <v>10</v>
      </c>
      <c r="B22" s="103" t="s">
        <v>532</v>
      </c>
      <c r="C22" s="65" t="n">
        <v>416500</v>
      </c>
      <c r="D22" s="52" t="n">
        <f aca="false">216000+200500</f>
        <v>416500</v>
      </c>
      <c r="E22" s="17" t="n">
        <f aca="false">C22-D22</f>
        <v>0</v>
      </c>
    </row>
    <row r="23" customFormat="false" ht="21.75" hidden="false" customHeight="true" outlineLevel="0" collapsed="false">
      <c r="A23" s="49" t="n">
        <v>11</v>
      </c>
      <c r="B23" s="103" t="s">
        <v>533</v>
      </c>
      <c r="C23" s="65" t="n">
        <v>416500</v>
      </c>
      <c r="D23" s="52" t="n">
        <f aca="false">216500</f>
        <v>216500</v>
      </c>
      <c r="E23" s="17" t="n">
        <f aca="false">C23-D23</f>
        <v>200000</v>
      </c>
    </row>
    <row r="24" customFormat="false" ht="15" hidden="false" customHeight="false" outlineLevel="0" collapsed="false">
      <c r="A24" s="49" t="n">
        <v>12</v>
      </c>
      <c r="B24" s="105" t="s">
        <v>534</v>
      </c>
      <c r="C24" s="65" t="n">
        <v>416500</v>
      </c>
      <c r="D24" s="52" t="n">
        <f aca="false">316000+100000</f>
        <v>416000</v>
      </c>
      <c r="E24" s="17" t="n">
        <f aca="false">C24-D24</f>
        <v>500</v>
      </c>
    </row>
    <row r="25" customFormat="false" ht="15" hidden="false" customHeight="false" outlineLevel="0" collapsed="false">
      <c r="A25" s="49" t="n">
        <v>13</v>
      </c>
      <c r="B25" s="103" t="s">
        <v>535</v>
      </c>
      <c r="C25" s="65" t="n">
        <v>416500</v>
      </c>
      <c r="D25" s="52" t="n">
        <f aca="false">316500+35000+65000</f>
        <v>416500</v>
      </c>
      <c r="E25" s="17" t="n">
        <f aca="false">C25-D25</f>
        <v>0</v>
      </c>
    </row>
    <row r="26" customFormat="false" ht="24" hidden="false" customHeight="true" outlineLevel="0" collapsed="false">
      <c r="A26" s="49" t="n">
        <v>14</v>
      </c>
      <c r="B26" s="106" t="s">
        <v>536</v>
      </c>
      <c r="C26" s="65" t="n">
        <v>416500</v>
      </c>
      <c r="D26" s="52" t="n">
        <f aca="false">215000+201500</f>
        <v>416500</v>
      </c>
      <c r="E26" s="17" t="n">
        <f aca="false">C26-D26</f>
        <v>0</v>
      </c>
    </row>
    <row r="27" customFormat="false" ht="15" hidden="false" customHeight="false" outlineLevel="0" collapsed="false">
      <c r="A27" s="49" t="n">
        <v>15</v>
      </c>
      <c r="B27" s="107" t="s">
        <v>537</v>
      </c>
      <c r="C27" s="65" t="n">
        <v>416500</v>
      </c>
      <c r="D27" s="52" t="n">
        <f aca="false">100000</f>
        <v>100000</v>
      </c>
      <c r="E27" s="17" t="n">
        <f aca="false">C27-D27</f>
        <v>316500</v>
      </c>
    </row>
    <row r="28" customFormat="false" ht="17.35" hidden="false" customHeight="false" outlineLevel="0" collapsed="false">
      <c r="A28" s="108"/>
      <c r="B28" s="109" t="s">
        <v>22</v>
      </c>
      <c r="C28" s="21" t="n">
        <f aca="false">SUM(C13:C27)</f>
        <v>6247500</v>
      </c>
      <c r="D28" s="22" t="n">
        <f aca="false">SUM(D13:D27)</f>
        <v>5341000</v>
      </c>
      <c r="E28" s="23" t="n">
        <f aca="false">C28-D28</f>
        <v>906500</v>
      </c>
    </row>
    <row r="29" customFormat="false" ht="15" hidden="false" customHeight="false" outlineLevel="0" collapsed="false">
      <c r="D29" s="24"/>
    </row>
    <row r="30" customFormat="false" ht="15" hidden="false" customHeight="false" outlineLevel="0" collapsed="false">
      <c r="D30" s="24"/>
    </row>
    <row r="31" customFormat="false" ht="17.35" hidden="false" customHeight="false" outlineLevel="0" collapsed="false">
      <c r="C31" s="97" t="s">
        <v>0</v>
      </c>
      <c r="D31" s="24"/>
    </row>
    <row r="32" customFormat="false" ht="15" hidden="false" customHeight="false" outlineLevel="0" collapsed="false">
      <c r="D32" s="24"/>
    </row>
    <row r="33" customFormat="false" ht="15" hidden="false" customHeight="false" outlineLevel="0" collapsed="false">
      <c r="A33" s="40"/>
      <c r="B33" s="40"/>
      <c r="D33" s="24"/>
    </row>
    <row r="34" customFormat="false" ht="17.25" hidden="false" customHeight="false" outlineLevel="0" collapsed="false">
      <c r="A34" s="40"/>
      <c r="B34" s="110" t="s">
        <v>538</v>
      </c>
      <c r="D34" s="25" t="s">
        <v>514</v>
      </c>
    </row>
    <row r="35" customFormat="false" ht="15" hidden="false" customHeight="false" outlineLevel="0" collapsed="false">
      <c r="A35" s="40"/>
      <c r="B35" s="40"/>
      <c r="D35" s="24"/>
    </row>
    <row r="36" customFormat="false" ht="15" hidden="false" customHeight="false" outlineLevel="0" collapsed="false">
      <c r="A36" s="6" t="s">
        <v>5</v>
      </c>
      <c r="B36" s="99" t="s">
        <v>6</v>
      </c>
      <c r="C36" s="8" t="s">
        <v>7</v>
      </c>
      <c r="D36" s="42" t="s">
        <v>8</v>
      </c>
      <c r="E36" s="89" t="s">
        <v>9</v>
      </c>
    </row>
    <row r="37" customFormat="false" ht="20.25" hidden="false" customHeight="true" outlineLevel="0" collapsed="false">
      <c r="A37" s="49" t="n">
        <v>1</v>
      </c>
      <c r="B37" s="111" t="s">
        <v>539</v>
      </c>
      <c r="C37" s="16" t="n">
        <v>416500</v>
      </c>
      <c r="D37" s="52" t="n">
        <f aca="false">216000+216000</f>
        <v>432000</v>
      </c>
      <c r="E37" s="90" t="n">
        <f aca="false">C37-D37</f>
        <v>-15500</v>
      </c>
    </row>
    <row r="38" customFormat="false" ht="27.75" hidden="false" customHeight="true" outlineLevel="0" collapsed="false">
      <c r="A38" s="49" t="n">
        <v>2</v>
      </c>
      <c r="B38" s="111" t="s">
        <v>540</v>
      </c>
      <c r="C38" s="16" t="n">
        <v>416500</v>
      </c>
      <c r="D38" s="52" t="n">
        <f aca="false">216500+150000+50000</f>
        <v>416500</v>
      </c>
      <c r="E38" s="90" t="n">
        <f aca="false">C38-D38</f>
        <v>0</v>
      </c>
    </row>
    <row r="39" customFormat="false" ht="15" hidden="false" customHeight="false" outlineLevel="0" collapsed="false">
      <c r="A39" s="49" t="n">
        <v>3</v>
      </c>
      <c r="B39" s="111" t="s">
        <v>541</v>
      </c>
      <c r="C39" s="16" t="n">
        <v>416500</v>
      </c>
      <c r="D39" s="52" t="n">
        <f aca="false">265000+151500</f>
        <v>416500</v>
      </c>
      <c r="E39" s="90" t="n">
        <f aca="false">C39-D39</f>
        <v>0</v>
      </c>
    </row>
    <row r="40" customFormat="false" ht="15" hidden="false" customHeight="false" outlineLevel="0" collapsed="false">
      <c r="A40" s="49" t="n">
        <v>4</v>
      </c>
      <c r="B40" s="111" t="s">
        <v>542</v>
      </c>
      <c r="C40" s="16" t="n">
        <v>416500</v>
      </c>
      <c r="D40" s="52" t="n">
        <f aca="false">200000+70000+70000+70000</f>
        <v>410000</v>
      </c>
      <c r="E40" s="90" t="n">
        <f aca="false">C40-D40</f>
        <v>6500</v>
      </c>
    </row>
    <row r="41" customFormat="false" ht="15" hidden="false" customHeight="false" outlineLevel="0" collapsed="false">
      <c r="A41" s="49" t="n">
        <v>5</v>
      </c>
      <c r="B41" s="112" t="s">
        <v>543</v>
      </c>
      <c r="C41" s="16" t="n">
        <v>416500</v>
      </c>
      <c r="D41" s="12" t="n">
        <f aca="false">100000+230000</f>
        <v>330000</v>
      </c>
      <c r="E41" s="90" t="n">
        <f aca="false">C41-D41</f>
        <v>86500</v>
      </c>
    </row>
    <row r="42" customFormat="false" ht="15" hidden="false" customHeight="false" outlineLevel="0" collapsed="false">
      <c r="A42" s="49" t="n">
        <v>6</v>
      </c>
      <c r="B42" s="113" t="s">
        <v>544</v>
      </c>
      <c r="C42" s="114" t="n">
        <v>416500</v>
      </c>
      <c r="D42" s="115" t="n">
        <f aca="false">170000</f>
        <v>170000</v>
      </c>
      <c r="E42" s="116" t="n">
        <f aca="false">C42-D42</f>
        <v>246500</v>
      </c>
    </row>
    <row r="43" customFormat="false" ht="15" hidden="false" customHeight="false" outlineLevel="0" collapsed="false">
      <c r="A43" s="49" t="n">
        <v>7</v>
      </c>
      <c r="B43" s="111" t="s">
        <v>545</v>
      </c>
      <c r="C43" s="16" t="n">
        <v>416500</v>
      </c>
      <c r="D43" s="12" t="n">
        <f aca="false">216500+200000</f>
        <v>416500</v>
      </c>
      <c r="E43" s="90" t="n">
        <f aca="false">C43-D43</f>
        <v>0</v>
      </c>
    </row>
    <row r="44" customFormat="false" ht="15" hidden="false" customHeight="false" outlineLevel="0" collapsed="false">
      <c r="A44" s="49" t="n">
        <v>8</v>
      </c>
      <c r="B44" s="111" t="s">
        <v>546</v>
      </c>
      <c r="C44" s="16" t="n">
        <v>416500</v>
      </c>
      <c r="D44" s="52" t="n">
        <f aca="false">200000+216500</f>
        <v>416500</v>
      </c>
      <c r="E44" s="90" t="n">
        <f aca="false">C44-D44</f>
        <v>0</v>
      </c>
    </row>
    <row r="45" customFormat="false" ht="15" hidden="false" customHeight="false" outlineLevel="0" collapsed="false">
      <c r="A45" s="49" t="n">
        <v>9</v>
      </c>
      <c r="B45" s="111" t="s">
        <v>547</v>
      </c>
      <c r="C45" s="16" t="n">
        <v>416500</v>
      </c>
      <c r="D45" s="52" t="n">
        <f aca="false">220000+196500</f>
        <v>416500</v>
      </c>
      <c r="E45" s="90" t="n">
        <f aca="false">C45-D45</f>
        <v>0</v>
      </c>
    </row>
    <row r="46" customFormat="false" ht="15" hidden="false" customHeight="false" outlineLevel="0" collapsed="false">
      <c r="A46" s="49" t="n">
        <v>10</v>
      </c>
      <c r="B46" s="111" t="s">
        <v>548</v>
      </c>
      <c r="C46" s="16" t="n">
        <v>416500</v>
      </c>
      <c r="D46" s="52"/>
      <c r="E46" s="90" t="n">
        <f aca="false">C46-D46</f>
        <v>416500</v>
      </c>
    </row>
    <row r="47" customFormat="false" ht="15" hidden="false" customHeight="false" outlineLevel="0" collapsed="false">
      <c r="A47" s="49" t="n">
        <v>11</v>
      </c>
      <c r="B47" s="111" t="s">
        <v>549</v>
      </c>
      <c r="C47" s="16" t="n">
        <v>416500</v>
      </c>
      <c r="D47" s="12" t="n">
        <f aca="false">316500+100000</f>
        <v>416500</v>
      </c>
      <c r="E47" s="90" t="n">
        <f aca="false">C47-D47</f>
        <v>0</v>
      </c>
    </row>
    <row r="48" customFormat="false" ht="15" hidden="false" customHeight="false" outlineLevel="0" collapsed="false">
      <c r="A48" s="49" t="n">
        <v>12</v>
      </c>
      <c r="B48" s="111" t="s">
        <v>550</v>
      </c>
      <c r="C48" s="16" t="n">
        <v>416500</v>
      </c>
      <c r="D48" s="12" t="n">
        <f aca="false">50000+50000+50000+21000+70000+30500+65000+80000</f>
        <v>416500</v>
      </c>
      <c r="E48" s="90" t="n">
        <f aca="false">C48-D48</f>
        <v>0</v>
      </c>
    </row>
    <row r="49" customFormat="false" ht="15" hidden="false" customHeight="false" outlineLevel="0" collapsed="false">
      <c r="A49" s="49" t="n">
        <v>13</v>
      </c>
      <c r="B49" s="111" t="s">
        <v>551</v>
      </c>
      <c r="C49" s="16" t="n">
        <v>416500</v>
      </c>
      <c r="D49" s="12"/>
      <c r="E49" s="90" t="n">
        <f aca="false">C49-D49</f>
        <v>416500</v>
      </c>
    </row>
    <row r="50" customFormat="false" ht="15" hidden="false" customHeight="false" outlineLevel="0" collapsed="false">
      <c r="A50" s="49" t="n">
        <v>14</v>
      </c>
      <c r="B50" s="111" t="s">
        <v>552</v>
      </c>
      <c r="C50" s="16" t="n">
        <v>416500</v>
      </c>
      <c r="D50" s="12" t="n">
        <v>416500</v>
      </c>
      <c r="E50" s="90" t="n">
        <f aca="false">C50-D50</f>
        <v>0</v>
      </c>
    </row>
    <row r="51" customFormat="false" ht="15" hidden="false" customHeight="false" outlineLevel="0" collapsed="false">
      <c r="A51" s="49" t="n">
        <v>15</v>
      </c>
      <c r="B51" s="111" t="s">
        <v>553</v>
      </c>
      <c r="C51" s="16" t="n">
        <v>416500</v>
      </c>
      <c r="D51" s="51" t="n">
        <f aca="false">85000+216500+115000</f>
        <v>416500</v>
      </c>
      <c r="E51" s="90" t="n">
        <f aca="false">C51-D51</f>
        <v>0</v>
      </c>
    </row>
    <row r="52" customFormat="false" ht="15" hidden="false" customHeight="false" outlineLevel="0" collapsed="false">
      <c r="A52" s="49" t="n">
        <v>16</v>
      </c>
      <c r="B52" s="111" t="s">
        <v>554</v>
      </c>
      <c r="C52" s="16" t="n">
        <v>416500</v>
      </c>
      <c r="D52" s="51" t="n">
        <f aca="false">150000+266500</f>
        <v>416500</v>
      </c>
      <c r="E52" s="90" t="n">
        <f aca="false">C52-D52</f>
        <v>0</v>
      </c>
    </row>
    <row r="53" customFormat="false" ht="15" hidden="false" customHeight="false" outlineLevel="0" collapsed="false">
      <c r="A53" s="49" t="n">
        <v>17</v>
      </c>
      <c r="B53" s="111" t="s">
        <v>555</v>
      </c>
      <c r="C53" s="16" t="n">
        <v>416500</v>
      </c>
      <c r="D53" s="51" t="n">
        <f aca="false">220000+216500</f>
        <v>436500</v>
      </c>
      <c r="E53" s="90" t="n">
        <f aca="false">C53-D53</f>
        <v>-20000</v>
      </c>
    </row>
    <row r="54" customFormat="false" ht="21.75" hidden="false" customHeight="true" outlineLevel="0" collapsed="false">
      <c r="A54" s="49" t="n">
        <v>18</v>
      </c>
      <c r="B54" s="111" t="s">
        <v>556</v>
      </c>
      <c r="C54" s="16" t="n">
        <v>416500</v>
      </c>
      <c r="D54" s="51" t="n">
        <f aca="false">290000+26500+70000</f>
        <v>386500</v>
      </c>
      <c r="E54" s="90" t="n">
        <f aca="false">C54-D54</f>
        <v>30000</v>
      </c>
    </row>
    <row r="55" customFormat="false" ht="25.5" hidden="false" customHeight="true" outlineLevel="0" collapsed="false">
      <c r="A55" s="49" t="n">
        <v>19</v>
      </c>
      <c r="B55" s="111" t="s">
        <v>557</v>
      </c>
      <c r="C55" s="16" t="n">
        <v>416500</v>
      </c>
      <c r="D55" s="51" t="n">
        <f aca="false">216500+200000</f>
        <v>416500</v>
      </c>
      <c r="E55" s="90" t="n">
        <f aca="false">C55-D55</f>
        <v>0</v>
      </c>
    </row>
    <row r="56" customFormat="false" ht="15" hidden="false" customHeight="false" outlineLevel="0" collapsed="false">
      <c r="A56" s="49" t="n">
        <v>20</v>
      </c>
      <c r="B56" s="111" t="s">
        <v>558</v>
      </c>
      <c r="C56" s="16" t="n">
        <v>416500</v>
      </c>
      <c r="D56" s="51" t="n">
        <f aca="false">100000+200000+100000+16000+500</f>
        <v>416500</v>
      </c>
      <c r="E56" s="90" t="n">
        <f aca="false">C56-D56</f>
        <v>0</v>
      </c>
    </row>
    <row r="57" customFormat="false" ht="15" hidden="false" customHeight="false" outlineLevel="0" collapsed="false">
      <c r="A57" s="49" t="n">
        <v>21</v>
      </c>
      <c r="B57" s="111" t="s">
        <v>559</v>
      </c>
      <c r="C57" s="16" t="n">
        <v>416500</v>
      </c>
      <c r="D57" s="51"/>
      <c r="E57" s="90" t="n">
        <f aca="false">C57-D57</f>
        <v>416500</v>
      </c>
    </row>
    <row r="58" customFormat="false" ht="15" hidden="false" customHeight="false" outlineLevel="0" collapsed="false">
      <c r="A58" s="49" t="n">
        <v>22</v>
      </c>
      <c r="B58" s="111" t="s">
        <v>560</v>
      </c>
      <c r="C58" s="16" t="n">
        <v>416500</v>
      </c>
      <c r="D58" s="51" t="n">
        <f aca="false">416500</f>
        <v>416500</v>
      </c>
      <c r="E58" s="90" t="n">
        <f aca="false">C58-D58</f>
        <v>0</v>
      </c>
    </row>
    <row r="59" customFormat="false" ht="15" hidden="false" customHeight="false" outlineLevel="0" collapsed="false">
      <c r="A59" s="49" t="n">
        <v>23</v>
      </c>
      <c r="B59" s="111" t="s">
        <v>561</v>
      </c>
      <c r="C59" s="16" t="n">
        <v>416500</v>
      </c>
      <c r="D59" s="51" t="n">
        <f aca="false">256000+100000+160000</f>
        <v>516000</v>
      </c>
      <c r="E59" s="90" t="n">
        <f aca="false">C59-D59</f>
        <v>-99500</v>
      </c>
    </row>
    <row r="60" customFormat="false" ht="15" hidden="false" customHeight="false" outlineLevel="0" collapsed="false">
      <c r="A60" s="49" t="n">
        <v>24</v>
      </c>
      <c r="B60" s="111" t="s">
        <v>562</v>
      </c>
      <c r="C60" s="16" t="n">
        <v>416500</v>
      </c>
      <c r="D60" s="51" t="n">
        <f aca="false">216500+200000</f>
        <v>416500</v>
      </c>
      <c r="E60" s="90" t="n">
        <f aca="false">C60-D60</f>
        <v>0</v>
      </c>
    </row>
    <row r="61" customFormat="false" ht="15" hidden="false" customHeight="false" outlineLevel="0" collapsed="false">
      <c r="A61" s="49" t="n">
        <v>25</v>
      </c>
      <c r="B61" s="111" t="s">
        <v>563</v>
      </c>
      <c r="C61" s="16" t="n">
        <v>416500</v>
      </c>
      <c r="D61" s="51" t="n">
        <f aca="false">150000+100000+150000+166000-149500</f>
        <v>416500</v>
      </c>
      <c r="E61" s="90" t="n">
        <f aca="false">C61-D61</f>
        <v>0</v>
      </c>
    </row>
    <row r="62" customFormat="false" ht="15" hidden="false" customHeight="false" outlineLevel="0" collapsed="false">
      <c r="A62" s="49" t="n">
        <v>26</v>
      </c>
      <c r="B62" s="111" t="s">
        <v>564</v>
      </c>
      <c r="C62" s="16" t="n">
        <v>416500</v>
      </c>
      <c r="D62" s="51"/>
      <c r="E62" s="90" t="n">
        <f aca="false">C62-D62</f>
        <v>416500</v>
      </c>
    </row>
    <row r="63" customFormat="false" ht="15" hidden="false" customHeight="false" outlineLevel="0" collapsed="false">
      <c r="A63" s="49" t="n">
        <v>27</v>
      </c>
      <c r="B63" s="117" t="s">
        <v>565</v>
      </c>
      <c r="C63" s="16" t="n">
        <v>416500</v>
      </c>
      <c r="D63" s="51" t="n">
        <f aca="false">216500+180000+20000</f>
        <v>416500</v>
      </c>
      <c r="E63" s="90" t="n">
        <f aca="false">C63-D63</f>
        <v>0</v>
      </c>
    </row>
    <row r="64" customFormat="false" ht="15" hidden="false" customHeight="false" outlineLevel="0" collapsed="false">
      <c r="A64" s="49" t="n">
        <v>28</v>
      </c>
      <c r="B64" s="111" t="s">
        <v>566</v>
      </c>
      <c r="C64" s="16" t="n">
        <v>416500</v>
      </c>
      <c r="D64" s="51" t="n">
        <f aca="false">316500</f>
        <v>316500</v>
      </c>
      <c r="E64" s="90" t="n">
        <f aca="false">C64-D64</f>
        <v>100000</v>
      </c>
    </row>
    <row r="65" customFormat="false" ht="15" hidden="false" customHeight="false" outlineLevel="0" collapsed="false">
      <c r="A65" s="49" t="n">
        <v>29</v>
      </c>
      <c r="B65" s="111" t="s">
        <v>567</v>
      </c>
      <c r="C65" s="16" t="n">
        <v>416500</v>
      </c>
      <c r="D65" s="51" t="n">
        <f aca="false">25000+175000+200000+16500</f>
        <v>416500</v>
      </c>
      <c r="E65" s="90" t="n">
        <f aca="false">C65-D65</f>
        <v>0</v>
      </c>
    </row>
    <row r="66" customFormat="false" ht="17.35" hidden="false" customHeight="false" outlineLevel="0" collapsed="false">
      <c r="A66" s="19"/>
      <c r="B66" s="118" t="s">
        <v>22</v>
      </c>
      <c r="C66" s="21" t="n">
        <f aca="false">SUM(C37:C65)</f>
        <v>12078500</v>
      </c>
      <c r="D66" s="22" t="n">
        <f aca="false">SUM(D37:D65)</f>
        <v>10078000</v>
      </c>
      <c r="E66" s="92" t="n">
        <f aca="false">C66-D66</f>
        <v>2000500</v>
      </c>
    </row>
    <row r="67" customFormat="false" ht="15" hidden="false" customHeight="false" outlineLevel="0" collapsed="false">
      <c r="C67" s="37"/>
      <c r="D67" s="38"/>
      <c r="E67" s="119"/>
    </row>
    <row r="68" customFormat="false" ht="15" hidden="false" customHeight="false" outlineLevel="0" collapsed="false">
      <c r="C68" s="37"/>
      <c r="D68" s="38"/>
      <c r="E68" s="119"/>
    </row>
    <row r="69" customFormat="false" ht="15" hidden="false" customHeight="false" outlineLevel="0" collapsed="false">
      <c r="A69" s="84"/>
      <c r="B69" s="84"/>
      <c r="D69" s="24"/>
    </row>
    <row r="70" customFormat="false" ht="17.35" hidden="false" customHeight="false" outlineLevel="0" collapsed="false">
      <c r="A70" s="40"/>
      <c r="B70" s="40"/>
      <c r="C70" s="97" t="s">
        <v>0</v>
      </c>
      <c r="D70" s="24"/>
    </row>
    <row r="71" customFormat="false" ht="17.35" hidden="false" customHeight="false" outlineLevel="0" collapsed="false">
      <c r="A71" s="62"/>
      <c r="B71" s="62"/>
      <c r="D71" s="24"/>
    </row>
    <row r="72" customFormat="false" ht="15" hidden="false" customHeight="false" outlineLevel="0" collapsed="false">
      <c r="A72" s="40"/>
      <c r="B72" s="40"/>
      <c r="D72" s="24"/>
    </row>
    <row r="73" customFormat="false" ht="17.25" hidden="false" customHeight="false" outlineLevel="0" collapsed="false">
      <c r="A73" s="40"/>
      <c r="B73" s="40"/>
      <c r="C73" s="98" t="s">
        <v>568</v>
      </c>
      <c r="D73" s="24"/>
    </row>
    <row r="74" customFormat="false" ht="15" hidden="false" customHeight="false" outlineLevel="0" collapsed="false">
      <c r="A74" s="40"/>
      <c r="B74" s="40"/>
      <c r="D74" s="25" t="s">
        <v>514</v>
      </c>
    </row>
    <row r="75" customFormat="false" ht="15" hidden="false" customHeight="false" outlineLevel="0" collapsed="false">
      <c r="A75" s="40"/>
      <c r="B75" s="40"/>
      <c r="D75" s="24"/>
    </row>
    <row r="76" customFormat="false" ht="29.25" hidden="false" customHeight="true" outlineLevel="0" collapsed="false">
      <c r="A76" s="99" t="s">
        <v>5</v>
      </c>
      <c r="B76" s="99" t="s">
        <v>6</v>
      </c>
      <c r="C76" s="8" t="s">
        <v>7</v>
      </c>
      <c r="D76" s="42" t="s">
        <v>8</v>
      </c>
      <c r="E76" s="89" t="s">
        <v>9</v>
      </c>
    </row>
    <row r="77" customFormat="false" ht="19.5" hidden="false" customHeight="true" outlineLevel="0" collapsed="false">
      <c r="A77" s="56" t="n">
        <v>1</v>
      </c>
      <c r="B77" s="120" t="s">
        <v>569</v>
      </c>
      <c r="C77" s="65" t="n">
        <v>416500</v>
      </c>
      <c r="D77" s="51" t="n">
        <f aca="false">416500</f>
        <v>416500</v>
      </c>
      <c r="E77" s="90" t="n">
        <f aca="false">C77-D77</f>
        <v>0</v>
      </c>
    </row>
    <row r="78" customFormat="false" ht="28.5" hidden="false" customHeight="true" outlineLevel="0" collapsed="false">
      <c r="A78" s="56" t="n">
        <v>2</v>
      </c>
      <c r="B78" s="103" t="s">
        <v>570</v>
      </c>
      <c r="C78" s="65" t="n">
        <v>416500</v>
      </c>
      <c r="D78" s="13" t="n">
        <f aca="false">150000+40000</f>
        <v>190000</v>
      </c>
      <c r="E78" s="90" t="n">
        <f aca="false">C78-D78</f>
        <v>226500</v>
      </c>
    </row>
    <row r="79" customFormat="false" ht="15" hidden="false" customHeight="false" outlineLevel="0" collapsed="false">
      <c r="A79" s="18" t="n">
        <v>3</v>
      </c>
      <c r="B79" s="103" t="s">
        <v>571</v>
      </c>
      <c r="C79" s="65" t="n">
        <v>416500</v>
      </c>
      <c r="D79" s="13" t="n">
        <f aca="false">216500+200000</f>
        <v>416500</v>
      </c>
      <c r="E79" s="90" t="n">
        <f aca="false">C79-D79</f>
        <v>0</v>
      </c>
    </row>
    <row r="80" customFormat="false" ht="15" hidden="false" customHeight="false" outlineLevel="0" collapsed="false">
      <c r="A80" s="56" t="n">
        <v>4</v>
      </c>
      <c r="B80" s="103" t="s">
        <v>572</v>
      </c>
      <c r="C80" s="65" t="n">
        <v>416500</v>
      </c>
      <c r="D80" s="13" t="n">
        <f aca="false">300000+116500</f>
        <v>416500</v>
      </c>
      <c r="E80" s="90" t="n">
        <f aca="false">C80-D80</f>
        <v>0</v>
      </c>
    </row>
    <row r="81" customFormat="false" ht="15" hidden="false" customHeight="false" outlineLevel="0" collapsed="false">
      <c r="A81" s="56" t="n">
        <v>5</v>
      </c>
      <c r="B81" s="103" t="s">
        <v>573</v>
      </c>
      <c r="C81" s="65" t="n">
        <v>416500</v>
      </c>
      <c r="D81" s="13" t="n">
        <f aca="false">216500</f>
        <v>216500</v>
      </c>
      <c r="E81" s="90" t="n">
        <f aca="false">C81-D81</f>
        <v>200000</v>
      </c>
    </row>
    <row r="82" customFormat="false" ht="29.25" hidden="false" customHeight="true" outlineLevel="0" collapsed="false">
      <c r="A82" s="18" t="n">
        <v>6</v>
      </c>
      <c r="B82" s="103" t="s">
        <v>574</v>
      </c>
      <c r="C82" s="65" t="n">
        <v>416500</v>
      </c>
      <c r="D82" s="13"/>
      <c r="E82" s="90" t="n">
        <f aca="false">C82-D82</f>
        <v>416500</v>
      </c>
    </row>
    <row r="83" customFormat="false" ht="19.5" hidden="false" customHeight="true" outlineLevel="0" collapsed="false">
      <c r="A83" s="56" t="n">
        <v>7</v>
      </c>
      <c r="B83" s="103" t="s">
        <v>575</v>
      </c>
      <c r="C83" s="65" t="n">
        <v>416500</v>
      </c>
      <c r="D83" s="13" t="n">
        <f aca="false">17000+200000+200000</f>
        <v>417000</v>
      </c>
      <c r="E83" s="90" t="n">
        <f aca="false">C83-D83</f>
        <v>-500</v>
      </c>
    </row>
    <row r="84" customFormat="false" ht="15" hidden="false" customHeight="false" outlineLevel="0" collapsed="false">
      <c r="A84" s="56" t="n">
        <v>8</v>
      </c>
      <c r="B84" s="103" t="s">
        <v>576</v>
      </c>
      <c r="C84" s="65" t="n">
        <v>416500</v>
      </c>
      <c r="D84" s="13" t="n">
        <f aca="false">220000</f>
        <v>220000</v>
      </c>
      <c r="E84" s="90" t="n">
        <f aca="false">C84-D84</f>
        <v>196500</v>
      </c>
    </row>
    <row r="85" customFormat="false" ht="15" hidden="false" customHeight="false" outlineLevel="0" collapsed="false">
      <c r="A85" s="18" t="n">
        <v>9</v>
      </c>
      <c r="B85" s="103" t="s">
        <v>577</v>
      </c>
      <c r="C85" s="65" t="n">
        <v>416500</v>
      </c>
      <c r="D85" s="13" t="n">
        <f aca="false">100000</f>
        <v>100000</v>
      </c>
      <c r="E85" s="90" t="n">
        <f aca="false">C85-D85</f>
        <v>316500</v>
      </c>
    </row>
    <row r="86" customFormat="false" ht="15" hidden="false" customHeight="false" outlineLevel="0" collapsed="false">
      <c r="A86" s="56" t="n">
        <v>10</v>
      </c>
      <c r="B86" s="103" t="s">
        <v>578</v>
      </c>
      <c r="C86" s="65" t="n">
        <v>416500</v>
      </c>
      <c r="D86" s="13"/>
      <c r="E86" s="90" t="n">
        <f aca="false">C86-D86</f>
        <v>416500</v>
      </c>
    </row>
    <row r="87" customFormat="false" ht="15" hidden="false" customHeight="false" outlineLevel="0" collapsed="false">
      <c r="A87" s="56" t="n">
        <v>11</v>
      </c>
      <c r="B87" s="103" t="s">
        <v>579</v>
      </c>
      <c r="C87" s="65" t="n">
        <v>416500</v>
      </c>
      <c r="D87" s="13" t="n">
        <f aca="false">216000+100000+100500</f>
        <v>416500</v>
      </c>
      <c r="E87" s="90" t="n">
        <f aca="false">C87-D87</f>
        <v>0</v>
      </c>
    </row>
    <row r="88" customFormat="false" ht="15" hidden="false" customHeight="false" outlineLevel="0" collapsed="false">
      <c r="A88" s="18" t="n">
        <v>12</v>
      </c>
      <c r="B88" s="103" t="s">
        <v>580</v>
      </c>
      <c r="C88" s="65" t="n">
        <v>416500</v>
      </c>
      <c r="D88" s="51"/>
      <c r="E88" s="90" t="n">
        <f aca="false">C88-D88</f>
        <v>416500</v>
      </c>
    </row>
    <row r="89" customFormat="false" ht="15" hidden="false" customHeight="false" outlineLevel="0" collapsed="false">
      <c r="A89" s="56" t="n">
        <v>13</v>
      </c>
      <c r="B89" s="103" t="s">
        <v>581</v>
      </c>
      <c r="C89" s="65" t="n">
        <v>416500</v>
      </c>
      <c r="D89" s="13" t="n">
        <f aca="false">216000+150000+50000</f>
        <v>416000</v>
      </c>
      <c r="E89" s="90" t="n">
        <f aca="false">C89-D89</f>
        <v>500</v>
      </c>
    </row>
    <row r="90" customFormat="false" ht="15" hidden="false" customHeight="false" outlineLevel="0" collapsed="false">
      <c r="A90" s="56" t="n">
        <v>14</v>
      </c>
      <c r="B90" s="103" t="s">
        <v>582</v>
      </c>
      <c r="C90" s="65" t="n">
        <v>416500</v>
      </c>
      <c r="D90" s="13"/>
      <c r="E90" s="90" t="n">
        <f aca="false">C90-D90</f>
        <v>416500</v>
      </c>
    </row>
    <row r="91" customFormat="false" ht="15" hidden="false" customHeight="false" outlineLevel="0" collapsed="false">
      <c r="A91" s="18" t="n">
        <v>15</v>
      </c>
      <c r="B91" s="103" t="s">
        <v>583</v>
      </c>
      <c r="C91" s="65" t="n">
        <v>416500</v>
      </c>
      <c r="D91" s="13" t="n">
        <f aca="false">150000+150000+116500</f>
        <v>416500</v>
      </c>
      <c r="E91" s="90" t="n">
        <f aca="false">C91-D91</f>
        <v>0</v>
      </c>
    </row>
    <row r="92" customFormat="false" ht="15" hidden="false" customHeight="false" outlineLevel="0" collapsed="false">
      <c r="A92" s="56" t="n">
        <v>16</v>
      </c>
      <c r="B92" s="105" t="s">
        <v>584</v>
      </c>
      <c r="C92" s="65" t="n">
        <v>416500</v>
      </c>
      <c r="D92" s="13"/>
      <c r="E92" s="90" t="n">
        <f aca="false">C92-D92</f>
        <v>416500</v>
      </c>
    </row>
    <row r="93" customFormat="false" ht="15" hidden="false" customHeight="false" outlineLevel="0" collapsed="false">
      <c r="A93" s="56" t="n">
        <v>17</v>
      </c>
      <c r="B93" s="103" t="s">
        <v>585</v>
      </c>
      <c r="C93" s="65" t="n">
        <v>416500</v>
      </c>
      <c r="D93" s="13" t="n">
        <f aca="false">100000</f>
        <v>100000</v>
      </c>
      <c r="E93" s="90" t="n">
        <f aca="false">C93-D93</f>
        <v>316500</v>
      </c>
    </row>
    <row r="94" customFormat="false" ht="15" hidden="false" customHeight="false" outlineLevel="0" collapsed="false">
      <c r="A94" s="18" t="n">
        <v>18</v>
      </c>
      <c r="B94" s="103" t="s">
        <v>586</v>
      </c>
      <c r="C94" s="65" t="n">
        <v>416500</v>
      </c>
      <c r="D94" s="51"/>
      <c r="E94" s="90" t="n">
        <f aca="false">C94-D94</f>
        <v>416500</v>
      </c>
    </row>
    <row r="95" customFormat="false" ht="15" hidden="false" customHeight="false" outlineLevel="0" collapsed="false">
      <c r="A95" s="56" t="n">
        <v>19</v>
      </c>
      <c r="B95" s="121" t="s">
        <v>587</v>
      </c>
      <c r="C95" s="65" t="n">
        <v>416500</v>
      </c>
      <c r="D95" s="51"/>
      <c r="E95" s="90" t="n">
        <f aca="false">C95-D95</f>
        <v>416500</v>
      </c>
    </row>
    <row r="96" customFormat="false" ht="15" hidden="false" customHeight="false" outlineLevel="0" collapsed="false">
      <c r="A96" s="56" t="n">
        <v>20</v>
      </c>
      <c r="B96" s="107" t="s">
        <v>588</v>
      </c>
      <c r="C96" s="65" t="n">
        <v>416500</v>
      </c>
      <c r="D96" s="13"/>
      <c r="E96" s="90" t="n">
        <f aca="false">C96-D96</f>
        <v>416500</v>
      </c>
    </row>
    <row r="97" customFormat="false" ht="17.35" hidden="false" customHeight="false" outlineLevel="0" collapsed="false">
      <c r="A97" s="19"/>
      <c r="B97" s="122" t="s">
        <v>22</v>
      </c>
      <c r="C97" s="21" t="n">
        <f aca="false">SUM(C77:C96)</f>
        <v>8330000</v>
      </c>
      <c r="D97" s="22" t="n">
        <f aca="false">SUM(D77:D96)</f>
        <v>3742000</v>
      </c>
      <c r="E97" s="92" t="n">
        <f aca="false">SUM(E77:E96)</f>
        <v>4588000</v>
      </c>
    </row>
    <row r="98" customFormat="false" ht="15" hidden="false" customHeight="false" outlineLevel="0" collapsed="false">
      <c r="D98" s="24"/>
    </row>
    <row r="99" customFormat="false" ht="15" hidden="false" customHeight="false" outlineLevel="0" collapsed="false">
      <c r="D99" s="24"/>
    </row>
    <row r="100" customFormat="false" ht="17.35" hidden="false" customHeight="false" outlineLevel="0" collapsed="false">
      <c r="A100" s="40"/>
      <c r="B100" s="40"/>
      <c r="C100" s="97" t="s">
        <v>0</v>
      </c>
      <c r="D100" s="24"/>
    </row>
    <row r="101" customFormat="false" ht="15" hidden="false" customHeight="false" outlineLevel="0" collapsed="false">
      <c r="A101" s="40"/>
      <c r="B101" s="40"/>
      <c r="D101" s="24"/>
    </row>
    <row r="102" customFormat="false" ht="17.25" hidden="false" customHeight="false" outlineLevel="0" collapsed="false">
      <c r="A102" s="40"/>
      <c r="B102" s="40"/>
      <c r="C102" s="98" t="s">
        <v>589</v>
      </c>
      <c r="D102" s="24"/>
    </row>
    <row r="103" customFormat="false" ht="15" hidden="false" customHeight="false" outlineLevel="0" collapsed="false">
      <c r="A103" s="40"/>
      <c r="B103" s="40"/>
      <c r="D103" s="24"/>
      <c r="E103" s="77" t="s">
        <v>514</v>
      </c>
    </row>
    <row r="104" customFormat="false" ht="15" hidden="false" customHeight="false" outlineLevel="0" collapsed="false">
      <c r="A104" s="40"/>
      <c r="B104" s="40"/>
      <c r="D104" s="24"/>
    </row>
    <row r="105" customFormat="false" ht="15" hidden="false" customHeight="false" outlineLevel="0" collapsed="false">
      <c r="A105" s="6" t="s">
        <v>5</v>
      </c>
      <c r="B105" s="99" t="s">
        <v>6</v>
      </c>
      <c r="C105" s="8" t="s">
        <v>7</v>
      </c>
      <c r="D105" s="42" t="s">
        <v>8</v>
      </c>
      <c r="E105" s="89" t="s">
        <v>9</v>
      </c>
    </row>
    <row r="106" customFormat="false" ht="19.5" hidden="false" customHeight="true" outlineLevel="0" collapsed="false">
      <c r="A106" s="49" t="n">
        <v>1</v>
      </c>
      <c r="B106" s="123" t="s">
        <v>590</v>
      </c>
      <c r="C106" s="16" t="n">
        <v>416500</v>
      </c>
      <c r="D106" s="52" t="n">
        <f aca="false">100000+100000+50000+166500</f>
        <v>416500</v>
      </c>
      <c r="E106" s="90" t="n">
        <f aca="false">C106-D106</f>
        <v>0</v>
      </c>
    </row>
    <row r="107" customFormat="false" ht="15" hidden="false" customHeight="false" outlineLevel="0" collapsed="false">
      <c r="A107" s="49" t="n">
        <v>2</v>
      </c>
      <c r="B107" s="124" t="s">
        <v>591</v>
      </c>
      <c r="C107" s="16" t="n">
        <v>416500</v>
      </c>
      <c r="D107" s="52" t="n">
        <f aca="false">300000+116500</f>
        <v>416500</v>
      </c>
      <c r="E107" s="90" t="n">
        <f aca="false">C107-D107</f>
        <v>0</v>
      </c>
    </row>
    <row r="108" customFormat="false" ht="15" hidden="false" customHeight="false" outlineLevel="0" collapsed="false">
      <c r="A108" s="49" t="n">
        <v>3</v>
      </c>
      <c r="B108" s="111" t="s">
        <v>592</v>
      </c>
      <c r="C108" s="16" t="n">
        <v>416500</v>
      </c>
      <c r="D108" s="52" t="n">
        <f aca="false">216500+100000+100000</f>
        <v>416500</v>
      </c>
      <c r="E108" s="90" t="n">
        <f aca="false">C108-D108</f>
        <v>0</v>
      </c>
    </row>
    <row r="109" customFormat="false" ht="15" hidden="false" customHeight="false" outlineLevel="0" collapsed="false">
      <c r="A109" s="49" t="n">
        <v>4</v>
      </c>
      <c r="B109" s="125" t="s">
        <v>593</v>
      </c>
      <c r="C109" s="13" t="n">
        <v>416500</v>
      </c>
      <c r="D109" s="34" t="n">
        <v>416500</v>
      </c>
      <c r="E109" s="17" t="n">
        <f aca="false">C109-D109</f>
        <v>0</v>
      </c>
    </row>
    <row r="110" customFormat="false" ht="15" hidden="false" customHeight="false" outlineLevel="0" collapsed="false">
      <c r="A110" s="49" t="n">
        <v>5</v>
      </c>
      <c r="B110" s="125" t="s">
        <v>594</v>
      </c>
      <c r="C110" s="13" t="n">
        <v>416500</v>
      </c>
      <c r="D110" s="34" t="n">
        <f aca="false">100000+316500</f>
        <v>416500</v>
      </c>
      <c r="E110" s="17" t="n">
        <f aca="false">C110-D110</f>
        <v>0</v>
      </c>
    </row>
    <row r="111" customFormat="false" ht="15" hidden="false" customHeight="false" outlineLevel="0" collapsed="false">
      <c r="A111" s="49" t="n">
        <v>6</v>
      </c>
      <c r="B111" s="111" t="s">
        <v>595</v>
      </c>
      <c r="C111" s="16" t="n">
        <v>416500</v>
      </c>
      <c r="D111" s="52" t="n">
        <f aca="false">316500+100000</f>
        <v>416500</v>
      </c>
      <c r="E111" s="90" t="n">
        <f aca="false">C111-D111</f>
        <v>0</v>
      </c>
    </row>
    <row r="112" customFormat="false" ht="15" hidden="false" customHeight="false" outlineLevel="0" collapsed="false">
      <c r="A112" s="49" t="n">
        <v>7</v>
      </c>
      <c r="B112" s="111" t="s">
        <v>596</v>
      </c>
      <c r="C112" s="16" t="n">
        <v>416500</v>
      </c>
      <c r="D112" s="52" t="n">
        <f aca="false">216000+200000</f>
        <v>416000</v>
      </c>
      <c r="E112" s="90" t="n">
        <f aca="false">C112-D112</f>
        <v>500</v>
      </c>
    </row>
    <row r="113" customFormat="false" ht="15" hidden="false" customHeight="false" outlineLevel="0" collapsed="false">
      <c r="A113" s="49" t="n">
        <v>8</v>
      </c>
      <c r="B113" s="125" t="s">
        <v>597</v>
      </c>
      <c r="C113" s="13" t="n">
        <v>416500</v>
      </c>
      <c r="D113" s="34" t="n">
        <f aca="false">200000+16500+200000</f>
        <v>416500</v>
      </c>
      <c r="E113" s="17" t="n">
        <f aca="false">C113-D113</f>
        <v>0</v>
      </c>
    </row>
    <row r="114" customFormat="false" ht="15" hidden="false" customHeight="false" outlineLevel="0" collapsed="false">
      <c r="A114" s="49" t="n">
        <v>9</v>
      </c>
      <c r="B114" s="111" t="s">
        <v>598</v>
      </c>
      <c r="C114" s="16" t="n">
        <v>416500</v>
      </c>
      <c r="D114" s="50" t="n">
        <f aca="false">195500+220000</f>
        <v>415500</v>
      </c>
      <c r="E114" s="90" t="n">
        <f aca="false">C114-D114</f>
        <v>1000</v>
      </c>
    </row>
    <row r="115" customFormat="false" ht="15" hidden="false" customHeight="false" outlineLevel="0" collapsed="false">
      <c r="A115" s="49" t="n">
        <v>10</v>
      </c>
      <c r="B115" s="125" t="s">
        <v>599</v>
      </c>
      <c r="C115" s="13" t="n">
        <v>416500</v>
      </c>
      <c r="D115" s="13" t="n">
        <f aca="false">300000+116500</f>
        <v>416500</v>
      </c>
      <c r="E115" s="17" t="n">
        <f aca="false">C115-D115</f>
        <v>0</v>
      </c>
    </row>
    <row r="116" customFormat="false" ht="15" hidden="false" customHeight="false" outlineLevel="0" collapsed="false">
      <c r="A116" s="49" t="n">
        <v>11</v>
      </c>
      <c r="B116" s="111" t="s">
        <v>600</v>
      </c>
      <c r="C116" s="16" t="n">
        <v>416500</v>
      </c>
      <c r="D116" s="50" t="n">
        <f aca="false">16500+200000+200000</f>
        <v>416500</v>
      </c>
      <c r="E116" s="90" t="n">
        <f aca="false">C116-D116</f>
        <v>0</v>
      </c>
    </row>
    <row r="117" customFormat="false" ht="15" hidden="false" customHeight="false" outlineLevel="0" collapsed="false">
      <c r="A117" s="49" t="n">
        <v>12</v>
      </c>
      <c r="B117" s="125" t="s">
        <v>601</v>
      </c>
      <c r="C117" s="13" t="n">
        <v>416500</v>
      </c>
      <c r="D117" s="13" t="n">
        <f aca="false">100000+316000+500</f>
        <v>416500</v>
      </c>
      <c r="E117" s="17" t="n">
        <f aca="false">C117-D117</f>
        <v>0</v>
      </c>
    </row>
    <row r="118" customFormat="false" ht="15" hidden="false" customHeight="false" outlineLevel="0" collapsed="false">
      <c r="A118" s="49" t="n">
        <v>13</v>
      </c>
      <c r="B118" s="111" t="s">
        <v>602</v>
      </c>
      <c r="C118" s="16" t="n">
        <v>416500</v>
      </c>
      <c r="D118" s="50" t="n">
        <f aca="false">415000+1500</f>
        <v>416500</v>
      </c>
      <c r="E118" s="90" t="n">
        <f aca="false">C118-D118</f>
        <v>0</v>
      </c>
    </row>
    <row r="119" customFormat="false" ht="15" hidden="false" customHeight="false" outlineLevel="0" collapsed="false">
      <c r="A119" s="49" t="n">
        <v>14</v>
      </c>
      <c r="B119" s="125" t="s">
        <v>603</v>
      </c>
      <c r="C119" s="13" t="n">
        <v>416500</v>
      </c>
      <c r="D119" s="13" t="n">
        <f aca="false">150000</f>
        <v>150000</v>
      </c>
      <c r="E119" s="17" t="n">
        <f aca="false">C119-D119</f>
        <v>266500</v>
      </c>
    </row>
    <row r="120" customFormat="false" ht="15" hidden="false" customHeight="false" outlineLevel="0" collapsed="false">
      <c r="A120" s="49" t="n">
        <v>15</v>
      </c>
      <c r="B120" s="126" t="s">
        <v>604</v>
      </c>
      <c r="C120" s="16" t="n">
        <v>416500</v>
      </c>
      <c r="D120" s="51" t="n">
        <f aca="false">210000</f>
        <v>210000</v>
      </c>
      <c r="E120" s="90" t="n">
        <f aca="false">C120-D120</f>
        <v>206500</v>
      </c>
    </row>
    <row r="121" customFormat="false" ht="15" hidden="false" customHeight="false" outlineLevel="0" collapsed="false">
      <c r="A121" s="49" t="n">
        <v>16</v>
      </c>
      <c r="B121" s="111" t="s">
        <v>605</v>
      </c>
      <c r="C121" s="16" t="n">
        <v>416500</v>
      </c>
      <c r="D121" s="51" t="n">
        <f aca="false">200000+216500</f>
        <v>416500</v>
      </c>
      <c r="E121" s="90" t="n">
        <f aca="false">C121-D121</f>
        <v>0</v>
      </c>
    </row>
    <row r="122" customFormat="false" ht="15" hidden="false" customHeight="false" outlineLevel="0" collapsed="false">
      <c r="A122" s="49" t="n">
        <v>17</v>
      </c>
      <c r="B122" s="111" t="s">
        <v>606</v>
      </c>
      <c r="C122" s="16" t="n">
        <v>416500</v>
      </c>
      <c r="D122" s="51" t="n">
        <f aca="false">216000+200000</f>
        <v>416000</v>
      </c>
      <c r="E122" s="90" t="n">
        <f aca="false">C122-D122</f>
        <v>500</v>
      </c>
    </row>
    <row r="123" customFormat="false" ht="15" hidden="false" customHeight="false" outlineLevel="0" collapsed="false">
      <c r="A123" s="49" t="n">
        <v>18</v>
      </c>
      <c r="B123" s="125" t="s">
        <v>607</v>
      </c>
      <c r="C123" s="13" t="n">
        <v>416500</v>
      </c>
      <c r="D123" s="13" t="n">
        <f aca="false">100000+300000+16500</f>
        <v>416500</v>
      </c>
      <c r="E123" s="17" t="n">
        <f aca="false">C123-D123</f>
        <v>0</v>
      </c>
    </row>
    <row r="124" customFormat="false" ht="15" hidden="false" customHeight="false" outlineLevel="0" collapsed="false">
      <c r="A124" s="49" t="n">
        <v>19</v>
      </c>
      <c r="B124" s="111" t="s">
        <v>608</v>
      </c>
      <c r="C124" s="16" t="n">
        <v>416500</v>
      </c>
      <c r="D124" s="51" t="n">
        <f aca="false">100000+316500</f>
        <v>416500</v>
      </c>
      <c r="E124" s="90" t="n">
        <f aca="false">C124-D124</f>
        <v>0</v>
      </c>
    </row>
    <row r="125" customFormat="false" ht="15" hidden="false" customHeight="false" outlineLevel="0" collapsed="false">
      <c r="A125" s="49" t="n">
        <v>20</v>
      </c>
      <c r="B125" s="111" t="s">
        <v>609</v>
      </c>
      <c r="C125" s="16" t="n">
        <v>416500</v>
      </c>
      <c r="D125" s="51" t="n">
        <f aca="false">100000+316500</f>
        <v>416500</v>
      </c>
      <c r="E125" s="90" t="n">
        <f aca="false">C125-D125</f>
        <v>0</v>
      </c>
    </row>
    <row r="126" customFormat="false" ht="15" hidden="false" customHeight="false" outlineLevel="0" collapsed="false">
      <c r="A126" s="49" t="n">
        <v>21</v>
      </c>
      <c r="B126" s="117" t="s">
        <v>610</v>
      </c>
      <c r="C126" s="13" t="n">
        <v>416500</v>
      </c>
      <c r="D126" s="51" t="n">
        <v>316000</v>
      </c>
      <c r="E126" s="17" t="n">
        <f aca="false">C126-D126</f>
        <v>100500</v>
      </c>
    </row>
    <row r="127" customFormat="false" ht="15" hidden="false" customHeight="false" outlineLevel="0" collapsed="false">
      <c r="A127" s="49" t="n">
        <v>22</v>
      </c>
      <c r="B127" s="127" t="s">
        <v>611</v>
      </c>
      <c r="C127" s="13" t="n">
        <v>416500</v>
      </c>
      <c r="D127" s="13" t="n">
        <f aca="false">100000+316000+500</f>
        <v>416500</v>
      </c>
      <c r="E127" s="17" t="n">
        <f aca="false">C127-D127</f>
        <v>0</v>
      </c>
    </row>
    <row r="128" customFormat="false" ht="17.35" hidden="false" customHeight="false" outlineLevel="0" collapsed="false">
      <c r="A128" s="19"/>
      <c r="B128" s="128" t="s">
        <v>22</v>
      </c>
      <c r="C128" s="21" t="n">
        <f aca="false">SUM(C106:C127)</f>
        <v>9163000</v>
      </c>
      <c r="D128" s="22" t="n">
        <f aca="false">SUM(D106:D127)</f>
        <v>8587500</v>
      </c>
      <c r="E128" s="92" t="n">
        <f aca="false">C128-D128</f>
        <v>575500</v>
      </c>
    </row>
    <row r="129" customFormat="false" ht="15" hidden="false" customHeight="false" outlineLevel="0" collapsed="false">
      <c r="D129" s="24"/>
    </row>
    <row r="130" customFormat="false" ht="17.35" hidden="false" customHeight="false" outlineLevel="0" collapsed="false">
      <c r="A130" s="40"/>
      <c r="B130" s="40"/>
      <c r="C130" s="97" t="s">
        <v>0</v>
      </c>
      <c r="D130" s="24"/>
    </row>
    <row r="131" customFormat="false" ht="17.35" hidden="false" customHeight="false" outlineLevel="0" collapsed="false">
      <c r="A131" s="62"/>
      <c r="B131" s="62"/>
      <c r="D131" s="24"/>
    </row>
    <row r="132" customFormat="false" ht="17.65" hidden="false" customHeight="false" outlineLevel="0" collapsed="false">
      <c r="A132" s="40"/>
      <c r="B132" s="40"/>
      <c r="C132" s="98" t="s">
        <v>612</v>
      </c>
      <c r="D132" s="24"/>
    </row>
    <row r="133" customFormat="false" ht="15" hidden="false" customHeight="false" outlineLevel="0" collapsed="false">
      <c r="A133" s="40"/>
      <c r="B133" s="40"/>
      <c r="D133" s="24"/>
    </row>
    <row r="134" customFormat="false" ht="15" hidden="false" customHeight="false" outlineLevel="0" collapsed="false">
      <c r="A134" s="40"/>
      <c r="B134" s="40"/>
      <c r="D134" s="25" t="s">
        <v>514</v>
      </c>
    </row>
    <row r="135" customFormat="false" ht="15" hidden="false" customHeight="false" outlineLevel="0" collapsed="false">
      <c r="A135" s="40"/>
      <c r="B135" s="40"/>
      <c r="D135" s="24"/>
    </row>
    <row r="136" customFormat="false" ht="15" hidden="false" customHeight="false" outlineLevel="0" collapsed="false">
      <c r="A136" s="6" t="s">
        <v>5</v>
      </c>
      <c r="B136" s="99" t="s">
        <v>6</v>
      </c>
      <c r="C136" s="8" t="s">
        <v>7</v>
      </c>
      <c r="D136" s="42" t="s">
        <v>8</v>
      </c>
      <c r="E136" s="89" t="s">
        <v>9</v>
      </c>
    </row>
    <row r="137" customFormat="false" ht="15" hidden="false" customHeight="false" outlineLevel="0" collapsed="false">
      <c r="A137" s="49" t="n">
        <v>1</v>
      </c>
      <c r="B137" s="129" t="s">
        <v>613</v>
      </c>
      <c r="C137" s="65" t="n">
        <v>416500</v>
      </c>
      <c r="D137" s="130" t="n">
        <f aca="false">170000+100000+80000+50000</f>
        <v>400000</v>
      </c>
      <c r="E137" s="90" t="n">
        <f aca="false">C137-D137</f>
        <v>16500</v>
      </c>
    </row>
    <row r="138" customFormat="false" ht="29.25" hidden="false" customHeight="true" outlineLevel="0" collapsed="false">
      <c r="A138" s="49" t="n">
        <v>2</v>
      </c>
      <c r="B138" s="131" t="s">
        <v>614</v>
      </c>
      <c r="C138" s="65" t="n">
        <v>416500</v>
      </c>
      <c r="D138" s="130" t="n">
        <f aca="false">50000+100000+50000</f>
        <v>200000</v>
      </c>
      <c r="E138" s="90" t="n">
        <f aca="false">C138-D138</f>
        <v>216500</v>
      </c>
    </row>
    <row r="139" customFormat="false" ht="15" hidden="false" customHeight="false" outlineLevel="0" collapsed="false">
      <c r="A139" s="49" t="n">
        <v>3</v>
      </c>
      <c r="B139" s="131" t="s">
        <v>615</v>
      </c>
      <c r="C139" s="65" t="n">
        <v>416500</v>
      </c>
      <c r="D139" s="130" t="n">
        <f aca="false">316000+110000</f>
        <v>426000</v>
      </c>
      <c r="E139" s="90" t="n">
        <f aca="false">C139-D139</f>
        <v>-9500</v>
      </c>
    </row>
    <row r="140" customFormat="false" ht="15" hidden="false" customHeight="false" outlineLevel="0" collapsed="false">
      <c r="A140" s="49" t="n">
        <v>4</v>
      </c>
      <c r="B140" s="132" t="s">
        <v>616</v>
      </c>
      <c r="C140" s="65" t="n">
        <v>416500</v>
      </c>
      <c r="D140" s="133" t="n">
        <f aca="false">100000+100000+100000</f>
        <v>300000</v>
      </c>
      <c r="E140" s="90" t="n">
        <f aca="false">C140-D140</f>
        <v>116500</v>
      </c>
    </row>
    <row r="141" customFormat="false" ht="21.75" hidden="false" customHeight="true" outlineLevel="0" collapsed="false">
      <c r="A141" s="49" t="n">
        <v>5</v>
      </c>
      <c r="B141" s="134" t="s">
        <v>617</v>
      </c>
      <c r="C141" s="65" t="n">
        <v>416500</v>
      </c>
      <c r="D141" s="133" t="n">
        <f aca="false">150000+66500</f>
        <v>216500</v>
      </c>
      <c r="E141" s="90" t="n">
        <f aca="false">C141-D141</f>
        <v>200000</v>
      </c>
    </row>
    <row r="142" customFormat="false" ht="15" hidden="false" customHeight="false" outlineLevel="0" collapsed="false">
      <c r="A142" s="49" t="n">
        <v>6</v>
      </c>
      <c r="B142" s="132" t="s">
        <v>618</v>
      </c>
      <c r="C142" s="65" t="n">
        <v>416500</v>
      </c>
      <c r="D142" s="133"/>
      <c r="E142" s="90" t="n">
        <f aca="false">C142-D142</f>
        <v>416500</v>
      </c>
    </row>
    <row r="143" customFormat="false" ht="15" hidden="false" customHeight="false" outlineLevel="0" collapsed="false">
      <c r="A143" s="49" t="n">
        <v>7</v>
      </c>
      <c r="B143" s="131" t="s">
        <v>619</v>
      </c>
      <c r="C143" s="65" t="n">
        <v>416500</v>
      </c>
      <c r="D143" s="130"/>
      <c r="E143" s="90" t="n">
        <f aca="false">C143-D143</f>
        <v>416500</v>
      </c>
    </row>
    <row r="144" customFormat="false" ht="15" hidden="false" customHeight="false" outlineLevel="0" collapsed="false">
      <c r="A144" s="49" t="n">
        <v>8</v>
      </c>
      <c r="B144" s="135" t="s">
        <v>620</v>
      </c>
      <c r="C144" s="16" t="n">
        <v>416500</v>
      </c>
      <c r="D144" s="136" t="n">
        <f aca="false">200000+150000+66500</f>
        <v>416500</v>
      </c>
      <c r="E144" s="90" t="n">
        <f aca="false">C144-D144</f>
        <v>0</v>
      </c>
    </row>
    <row r="145" customFormat="false" ht="15" hidden="false" customHeight="false" outlineLevel="0" collapsed="false">
      <c r="A145" s="49" t="n">
        <v>9</v>
      </c>
      <c r="B145" s="137" t="s">
        <v>621</v>
      </c>
      <c r="C145" s="16" t="n">
        <v>416500</v>
      </c>
      <c r="D145" s="13" t="n">
        <f aca="false">200000</f>
        <v>200000</v>
      </c>
      <c r="E145" s="90" t="n">
        <f aca="false">C145-D145</f>
        <v>216500</v>
      </c>
    </row>
    <row r="146" customFormat="false" ht="15" hidden="false" customHeight="false" outlineLevel="0" collapsed="false">
      <c r="A146" s="49" t="n">
        <v>10</v>
      </c>
      <c r="B146" s="138" t="s">
        <v>622</v>
      </c>
      <c r="C146" s="16" t="n">
        <v>416500</v>
      </c>
      <c r="D146" s="13"/>
      <c r="E146" s="90" t="n">
        <f aca="false">C146-D146</f>
        <v>416500</v>
      </c>
    </row>
    <row r="147" customFormat="false" ht="15" hidden="false" customHeight="false" outlineLevel="0" collapsed="false">
      <c r="A147" s="49" t="n">
        <v>11</v>
      </c>
      <c r="B147" s="137" t="s">
        <v>623</v>
      </c>
      <c r="C147" s="16" t="n">
        <v>416500</v>
      </c>
      <c r="D147" s="13" t="n">
        <f aca="false">150000+66500</f>
        <v>216500</v>
      </c>
      <c r="E147" s="90" t="n">
        <f aca="false">C147-D147</f>
        <v>200000</v>
      </c>
    </row>
    <row r="148" customFormat="false" ht="15" hidden="false" customHeight="false" outlineLevel="0" collapsed="false">
      <c r="A148" s="49" t="n">
        <v>12</v>
      </c>
      <c r="B148" s="137" t="s">
        <v>624</v>
      </c>
      <c r="C148" s="13" t="n">
        <v>416500</v>
      </c>
      <c r="D148" s="51" t="n">
        <f aca="false">221500+195000</f>
        <v>416500</v>
      </c>
      <c r="E148" s="90" t="n">
        <f aca="false">C148-D148</f>
        <v>0</v>
      </c>
    </row>
    <row r="149" customFormat="false" ht="15" hidden="false" customHeight="false" outlineLevel="0" collapsed="false">
      <c r="A149" s="49" t="n">
        <v>13</v>
      </c>
      <c r="B149" s="137" t="s">
        <v>625</v>
      </c>
      <c r="C149" s="16" t="n">
        <v>416500</v>
      </c>
      <c r="D149" s="13" t="n">
        <f aca="false">100000+170000+100000+46500</f>
        <v>416500</v>
      </c>
      <c r="E149" s="90" t="n">
        <f aca="false">C149-D149</f>
        <v>0</v>
      </c>
    </row>
    <row r="150" customFormat="false" ht="15" hidden="false" customHeight="false" outlineLevel="0" collapsed="false">
      <c r="A150" s="49" t="n">
        <v>14</v>
      </c>
      <c r="B150" s="137" t="s">
        <v>626</v>
      </c>
      <c r="C150" s="16" t="n">
        <v>416500</v>
      </c>
      <c r="D150" s="139"/>
      <c r="E150" s="90" t="n">
        <f aca="false">C150-D150</f>
        <v>416500</v>
      </c>
    </row>
    <row r="151" customFormat="false" ht="17.35" hidden="false" customHeight="false" outlineLevel="0" collapsed="false">
      <c r="A151" s="19"/>
      <c r="B151" s="122" t="s">
        <v>22</v>
      </c>
      <c r="C151" s="21" t="n">
        <f aca="false">SUM(C137:C150)</f>
        <v>5831000</v>
      </c>
      <c r="D151" s="22" t="n">
        <f aca="false">SUM(D137:D150)</f>
        <v>3208500</v>
      </c>
      <c r="E151" s="92" t="n">
        <f aca="false">SUM(E137:E150)</f>
        <v>2622500</v>
      </c>
    </row>
    <row r="152" customFormat="false" ht="15" hidden="false" customHeight="false" outlineLevel="0" collapsed="false">
      <c r="C152" s="37"/>
      <c r="D152" s="38"/>
      <c r="E152" s="119"/>
    </row>
    <row r="153" customFormat="false" ht="15" hidden="false" customHeight="false" outlineLevel="0" collapsed="false">
      <c r="A153" s="40"/>
      <c r="B153" s="40"/>
      <c r="D153" s="24"/>
    </row>
    <row r="154" customFormat="false" ht="17.35" hidden="false" customHeight="false" outlineLevel="0" collapsed="false">
      <c r="A154" s="62"/>
      <c r="B154" s="62"/>
      <c r="C154" s="97" t="s">
        <v>504</v>
      </c>
      <c r="D154" s="24"/>
    </row>
    <row r="155" customFormat="false" ht="15" hidden="false" customHeight="false" outlineLevel="0" collapsed="false">
      <c r="A155" s="40"/>
      <c r="B155" s="40"/>
      <c r="D155" s="24"/>
    </row>
    <row r="156" customFormat="false" ht="17.35" hidden="false" customHeight="false" outlineLevel="0" collapsed="false">
      <c r="A156" s="40"/>
      <c r="B156" s="40"/>
      <c r="C156" s="140" t="s">
        <v>627</v>
      </c>
      <c r="D156" s="24"/>
    </row>
    <row r="157" customFormat="false" ht="15" hidden="false" customHeight="false" outlineLevel="0" collapsed="false">
      <c r="A157" s="40"/>
      <c r="B157" s="40"/>
      <c r="D157" s="25" t="s">
        <v>514</v>
      </c>
    </row>
    <row r="158" customFormat="false" ht="15" hidden="false" customHeight="false" outlineLevel="0" collapsed="false">
      <c r="A158" s="40"/>
      <c r="B158" s="40"/>
      <c r="D158" s="24"/>
    </row>
    <row r="159" customFormat="false" ht="15" hidden="false" customHeight="false" outlineLevel="0" collapsed="false">
      <c r="A159" s="6" t="s">
        <v>5</v>
      </c>
      <c r="B159" s="99" t="s">
        <v>6</v>
      </c>
      <c r="C159" s="8" t="s">
        <v>7</v>
      </c>
      <c r="D159" s="42" t="s">
        <v>8</v>
      </c>
      <c r="E159" s="89" t="s">
        <v>9</v>
      </c>
    </row>
    <row r="160" customFormat="false" ht="15" hidden="false" customHeight="false" outlineLevel="0" collapsed="false">
      <c r="A160" s="18" t="n">
        <v>1</v>
      </c>
      <c r="B160" s="141" t="s">
        <v>628</v>
      </c>
      <c r="C160" s="16" t="n">
        <v>416500</v>
      </c>
      <c r="D160" s="13" t="n">
        <f aca="false">316500+100000</f>
        <v>416500</v>
      </c>
      <c r="E160" s="90" t="n">
        <f aca="false">C160-D160</f>
        <v>0</v>
      </c>
    </row>
    <row r="161" customFormat="false" ht="15" hidden="false" customHeight="false" outlineLevel="0" collapsed="false">
      <c r="A161" s="72" t="n">
        <v>2</v>
      </c>
      <c r="B161" s="142" t="s">
        <v>629</v>
      </c>
      <c r="C161" s="16" t="n">
        <v>416500</v>
      </c>
      <c r="D161" s="13" t="n">
        <f aca="false">116500+300000</f>
        <v>416500</v>
      </c>
      <c r="E161" s="90" t="n">
        <f aca="false">C161-D161</f>
        <v>0</v>
      </c>
    </row>
    <row r="162" customFormat="false" ht="15" hidden="false" customHeight="false" outlineLevel="0" collapsed="false">
      <c r="A162" s="72" t="n">
        <v>3</v>
      </c>
      <c r="B162" s="142" t="s">
        <v>630</v>
      </c>
      <c r="C162" s="16" t="n">
        <v>416500</v>
      </c>
      <c r="D162" s="13" t="n">
        <v>416000</v>
      </c>
      <c r="E162" s="90" t="n">
        <f aca="false">C162-D162</f>
        <v>500</v>
      </c>
    </row>
    <row r="163" customFormat="false" ht="15" hidden="false" customHeight="false" outlineLevel="0" collapsed="false">
      <c r="A163" s="18" t="n">
        <v>4</v>
      </c>
      <c r="B163" s="142" t="s">
        <v>631</v>
      </c>
      <c r="C163" s="16" t="n">
        <v>416500</v>
      </c>
      <c r="D163" s="13" t="n">
        <f aca="false">316000+100000+500</f>
        <v>416500</v>
      </c>
      <c r="E163" s="90" t="n">
        <f aca="false">C163-D163</f>
        <v>0</v>
      </c>
    </row>
    <row r="164" customFormat="false" ht="15" hidden="false" customHeight="false" outlineLevel="0" collapsed="false">
      <c r="A164" s="72" t="n">
        <v>5</v>
      </c>
      <c r="B164" s="142" t="s">
        <v>632</v>
      </c>
      <c r="C164" s="16" t="n">
        <v>416500</v>
      </c>
      <c r="D164" s="13" t="n">
        <f aca="false">316500+100000</f>
        <v>416500</v>
      </c>
      <c r="E164" s="90" t="n">
        <f aca="false">C164-D164</f>
        <v>0</v>
      </c>
    </row>
    <row r="165" customFormat="false" ht="25.5" hidden="false" customHeight="true" outlineLevel="0" collapsed="false">
      <c r="A165" s="72" t="n">
        <v>6</v>
      </c>
      <c r="B165" s="142" t="s">
        <v>633</v>
      </c>
      <c r="C165" s="16" t="n">
        <v>416500</v>
      </c>
      <c r="D165" s="13" t="n">
        <f aca="false">416500</f>
        <v>416500</v>
      </c>
      <c r="E165" s="90" t="n">
        <f aca="false">C165-D165</f>
        <v>0</v>
      </c>
    </row>
    <row r="166" customFormat="false" ht="15" hidden="false" customHeight="false" outlineLevel="0" collapsed="false">
      <c r="A166" s="18" t="n">
        <v>7</v>
      </c>
      <c r="B166" s="142" t="s">
        <v>634</v>
      </c>
      <c r="C166" s="16" t="n">
        <v>416500</v>
      </c>
      <c r="D166" s="13" t="n">
        <f aca="false">316000+100500</f>
        <v>416500</v>
      </c>
      <c r="E166" s="90" t="n">
        <f aca="false">C166-D166</f>
        <v>0</v>
      </c>
    </row>
    <row r="167" customFormat="false" ht="15" hidden="false" customHeight="false" outlineLevel="0" collapsed="false">
      <c r="A167" s="72" t="n">
        <v>8</v>
      </c>
      <c r="B167" s="142" t="s">
        <v>635</v>
      </c>
      <c r="C167" s="16" t="n">
        <v>416500</v>
      </c>
      <c r="D167" s="13" t="n">
        <f aca="false">216500</f>
        <v>216500</v>
      </c>
      <c r="E167" s="90" t="n">
        <f aca="false">C167-D167</f>
        <v>200000</v>
      </c>
    </row>
    <row r="168" customFormat="false" ht="15" hidden="false" customHeight="false" outlineLevel="0" collapsed="false">
      <c r="A168" s="72" t="n">
        <v>9</v>
      </c>
      <c r="B168" s="142" t="s">
        <v>636</v>
      </c>
      <c r="C168" s="16" t="n">
        <v>416500</v>
      </c>
      <c r="D168" s="13" t="n">
        <f aca="false">316000+100500</f>
        <v>416500</v>
      </c>
      <c r="E168" s="90" t="n">
        <f aca="false">C168-D168</f>
        <v>0</v>
      </c>
    </row>
    <row r="169" customFormat="false" ht="15" hidden="false" customHeight="false" outlineLevel="0" collapsed="false">
      <c r="A169" s="18" t="n">
        <v>10</v>
      </c>
      <c r="B169" s="142" t="s">
        <v>637</v>
      </c>
      <c r="C169" s="16" t="n">
        <v>416500</v>
      </c>
      <c r="D169" s="13" t="n">
        <f aca="false">186500+230000</f>
        <v>416500</v>
      </c>
      <c r="E169" s="90" t="n">
        <f aca="false">C169-D169</f>
        <v>0</v>
      </c>
    </row>
    <row r="170" customFormat="false" ht="15" hidden="false" customHeight="false" outlineLevel="0" collapsed="false">
      <c r="A170" s="72" t="n">
        <v>11</v>
      </c>
      <c r="B170" s="142" t="s">
        <v>638</v>
      </c>
      <c r="C170" s="16" t="n">
        <v>416500</v>
      </c>
      <c r="D170" s="13" t="n">
        <f aca="false">300000+116500</f>
        <v>416500</v>
      </c>
      <c r="E170" s="90" t="n">
        <f aca="false">C170-D170</f>
        <v>0</v>
      </c>
    </row>
    <row r="171" customFormat="false" ht="15" hidden="false" customHeight="false" outlineLevel="0" collapsed="false">
      <c r="A171" s="72" t="n">
        <v>12</v>
      </c>
      <c r="B171" s="142" t="s">
        <v>639</v>
      </c>
      <c r="C171" s="16" t="n">
        <v>416500</v>
      </c>
      <c r="D171" s="13" t="n">
        <f aca="false">100000+216000+100500</f>
        <v>416500</v>
      </c>
      <c r="E171" s="90" t="n">
        <f aca="false">C171-D171</f>
        <v>0</v>
      </c>
    </row>
    <row r="172" customFormat="false" ht="15" hidden="false" customHeight="false" outlineLevel="0" collapsed="false">
      <c r="A172" s="18" t="n">
        <v>13</v>
      </c>
      <c r="B172" s="142" t="s">
        <v>640</v>
      </c>
      <c r="C172" s="16" t="n">
        <v>416500</v>
      </c>
      <c r="D172" s="13" t="n">
        <f aca="false">216500+200000</f>
        <v>416500</v>
      </c>
      <c r="E172" s="90" t="n">
        <f aca="false">C172-D172</f>
        <v>0</v>
      </c>
    </row>
    <row r="173" customFormat="false" ht="15" hidden="false" customHeight="false" outlineLevel="0" collapsed="false">
      <c r="A173" s="72" t="n">
        <v>14</v>
      </c>
      <c r="B173" s="142" t="s">
        <v>641</v>
      </c>
      <c r="C173" s="16" t="n">
        <v>416500</v>
      </c>
      <c r="D173" s="13" t="n">
        <f aca="false">316000+100500</f>
        <v>416500</v>
      </c>
      <c r="E173" s="90" t="n">
        <f aca="false">C173-D173</f>
        <v>0</v>
      </c>
    </row>
    <row r="174" customFormat="false" ht="15" hidden="false" customHeight="false" outlineLevel="0" collapsed="false">
      <c r="A174" s="72" t="n">
        <v>15</v>
      </c>
      <c r="B174" s="142" t="s">
        <v>642</v>
      </c>
      <c r="C174" s="16" t="n">
        <v>416500</v>
      </c>
      <c r="D174" s="13" t="n">
        <f aca="false">116500+300000</f>
        <v>416500</v>
      </c>
      <c r="E174" s="90" t="n">
        <f aca="false">C174-D174</f>
        <v>0</v>
      </c>
    </row>
    <row r="175" customFormat="false" ht="15" hidden="false" customHeight="false" outlineLevel="0" collapsed="false">
      <c r="A175" s="18" t="n">
        <v>16</v>
      </c>
      <c r="B175" s="142" t="s">
        <v>643</v>
      </c>
      <c r="C175" s="16" t="n">
        <v>416500</v>
      </c>
      <c r="D175" s="13" t="n">
        <f aca="false">416000</f>
        <v>416000</v>
      </c>
      <c r="E175" s="90" t="n">
        <f aca="false">C175-D175</f>
        <v>500</v>
      </c>
    </row>
    <row r="176" customFormat="false" ht="15" hidden="false" customHeight="false" outlineLevel="0" collapsed="false">
      <c r="A176" s="72" t="n">
        <v>17</v>
      </c>
      <c r="B176" s="142" t="s">
        <v>644</v>
      </c>
      <c r="C176" s="16" t="n">
        <v>416500</v>
      </c>
      <c r="D176" s="13" t="n">
        <f aca="false">319000+97500</f>
        <v>416500</v>
      </c>
      <c r="E176" s="90" t="n">
        <f aca="false">C176-D176</f>
        <v>0</v>
      </c>
    </row>
    <row r="177" customFormat="false" ht="15" hidden="false" customHeight="false" outlineLevel="0" collapsed="false">
      <c r="A177" s="72" t="n">
        <v>18</v>
      </c>
      <c r="B177" s="142" t="s">
        <v>645</v>
      </c>
      <c r="C177" s="16" t="n">
        <v>416500</v>
      </c>
      <c r="D177" s="13" t="n">
        <f aca="false">216500+100000+100000</f>
        <v>416500</v>
      </c>
      <c r="E177" s="90" t="n">
        <f aca="false">C177-D177</f>
        <v>0</v>
      </c>
    </row>
    <row r="178" customFormat="false" ht="15" hidden="false" customHeight="false" outlineLevel="0" collapsed="false">
      <c r="A178" s="18" t="n">
        <v>19</v>
      </c>
      <c r="B178" s="142" t="s">
        <v>646</v>
      </c>
      <c r="C178" s="16" t="n">
        <v>416500</v>
      </c>
      <c r="D178" s="13"/>
      <c r="E178" s="90" t="n">
        <f aca="false">C178-D178</f>
        <v>416500</v>
      </c>
    </row>
    <row r="179" customFormat="false" ht="15" hidden="false" customHeight="false" outlineLevel="0" collapsed="false">
      <c r="A179" s="72" t="n">
        <v>20</v>
      </c>
      <c r="B179" s="142" t="s">
        <v>647</v>
      </c>
      <c r="C179" s="16" t="n">
        <v>416500</v>
      </c>
      <c r="D179" s="13" t="n">
        <f aca="false">170000+250000</f>
        <v>420000</v>
      </c>
      <c r="E179" s="90" t="n">
        <f aca="false">C179-D179</f>
        <v>-3500</v>
      </c>
    </row>
    <row r="180" customFormat="false" ht="15" hidden="false" customHeight="false" outlineLevel="0" collapsed="false">
      <c r="A180" s="72" t="n">
        <v>21</v>
      </c>
      <c r="B180" s="142" t="s">
        <v>648</v>
      </c>
      <c r="C180" s="16" t="n">
        <v>416500</v>
      </c>
      <c r="D180" s="13" t="n">
        <f aca="false">216500+200000</f>
        <v>416500</v>
      </c>
      <c r="E180" s="90" t="n">
        <f aca="false">C180-D180</f>
        <v>0</v>
      </c>
    </row>
    <row r="181" customFormat="false" ht="15" hidden="false" customHeight="false" outlineLevel="0" collapsed="false">
      <c r="A181" s="18" t="n">
        <v>22</v>
      </c>
      <c r="B181" s="142" t="s">
        <v>649</v>
      </c>
      <c r="C181" s="16" t="n">
        <v>416500</v>
      </c>
      <c r="D181" s="13" t="n">
        <f aca="false">100000+316500</f>
        <v>416500</v>
      </c>
      <c r="E181" s="90" t="n">
        <f aca="false">C181-D181</f>
        <v>0</v>
      </c>
    </row>
    <row r="182" customFormat="false" ht="15" hidden="false" customHeight="false" outlineLevel="0" collapsed="false">
      <c r="A182" s="72" t="n">
        <v>23</v>
      </c>
      <c r="B182" s="142" t="s">
        <v>650</v>
      </c>
      <c r="C182" s="16" t="n">
        <v>416500</v>
      </c>
      <c r="D182" s="13" t="n">
        <f aca="false">316000+100000+500</f>
        <v>416500</v>
      </c>
      <c r="E182" s="90" t="n">
        <f aca="false">C182-D182</f>
        <v>0</v>
      </c>
    </row>
    <row r="183" customFormat="false" ht="15" hidden="false" customHeight="false" outlineLevel="0" collapsed="false">
      <c r="A183" s="72" t="n">
        <v>24</v>
      </c>
      <c r="B183" s="142" t="s">
        <v>651</v>
      </c>
      <c r="C183" s="16" t="n">
        <v>416500</v>
      </c>
      <c r="D183" s="13" t="n">
        <f aca="false">216500+200000</f>
        <v>416500</v>
      </c>
      <c r="E183" s="90" t="n">
        <f aca="false">C183-D183</f>
        <v>0</v>
      </c>
    </row>
    <row r="184" customFormat="false" ht="15" hidden="false" customHeight="false" outlineLevel="0" collapsed="false">
      <c r="A184" s="18" t="n">
        <v>25</v>
      </c>
      <c r="B184" s="142" t="s">
        <v>652</v>
      </c>
      <c r="C184" s="16" t="n">
        <v>416500</v>
      </c>
      <c r="D184" s="13" t="n">
        <f aca="false">316500+100000</f>
        <v>416500</v>
      </c>
      <c r="E184" s="90" t="n">
        <f aca="false">C184-D184</f>
        <v>0</v>
      </c>
    </row>
    <row r="185" customFormat="false" ht="15.2" hidden="false" customHeight="false" outlineLevel="0" collapsed="false">
      <c r="A185" s="72" t="n">
        <v>26</v>
      </c>
      <c r="B185" s="142" t="s">
        <v>653</v>
      </c>
      <c r="C185" s="16" t="n">
        <v>416500</v>
      </c>
      <c r="D185" s="13" t="n">
        <f aca="false">216500</f>
        <v>216500</v>
      </c>
      <c r="E185" s="90" t="n">
        <f aca="false">C185-D185</f>
        <v>200000</v>
      </c>
    </row>
    <row r="186" customFormat="false" ht="15.2" hidden="false" customHeight="false" outlineLevel="0" collapsed="false">
      <c r="A186" s="72" t="n">
        <v>27</v>
      </c>
      <c r="B186" s="142" t="s">
        <v>654</v>
      </c>
      <c r="C186" s="16" t="n">
        <v>416500</v>
      </c>
      <c r="D186" s="13" t="n">
        <f aca="false">316000+100000+500</f>
        <v>416500</v>
      </c>
      <c r="E186" s="90" t="n">
        <f aca="false">C186-D186</f>
        <v>0</v>
      </c>
    </row>
    <row r="187" customFormat="false" ht="15" hidden="false" customHeight="false" outlineLevel="0" collapsed="false">
      <c r="A187" s="18" t="n">
        <v>28</v>
      </c>
      <c r="B187" s="142" t="s">
        <v>655</v>
      </c>
      <c r="C187" s="16" t="n">
        <v>416500</v>
      </c>
      <c r="D187" s="13" t="n">
        <f aca="false">316500+100000</f>
        <v>416500</v>
      </c>
      <c r="E187" s="90" t="n">
        <f aca="false">C187-D187</f>
        <v>0</v>
      </c>
    </row>
    <row r="188" customFormat="false" ht="15" hidden="false" customHeight="false" outlineLevel="0" collapsed="false">
      <c r="A188" s="72" t="n">
        <v>29</v>
      </c>
      <c r="B188" s="142" t="s">
        <v>656</v>
      </c>
      <c r="C188" s="16" t="n">
        <v>416500</v>
      </c>
      <c r="D188" s="13" t="n">
        <f aca="false">216500+200000</f>
        <v>416500</v>
      </c>
      <c r="E188" s="90" t="n">
        <f aca="false">C188-D188</f>
        <v>0</v>
      </c>
    </row>
    <row r="189" customFormat="false" ht="15" hidden="false" customHeight="false" outlineLevel="0" collapsed="false">
      <c r="A189" s="72" t="n">
        <v>30</v>
      </c>
      <c r="B189" s="142" t="s">
        <v>657</v>
      </c>
      <c r="C189" s="16" t="n">
        <v>416500</v>
      </c>
      <c r="D189" s="13" t="n">
        <f aca="false">90000+26000+150000+150500</f>
        <v>416500</v>
      </c>
      <c r="E189" s="90" t="n">
        <f aca="false">C189-D189</f>
        <v>0</v>
      </c>
    </row>
    <row r="190" customFormat="false" ht="15" hidden="false" customHeight="false" outlineLevel="0" collapsed="false">
      <c r="A190" s="18" t="n">
        <v>31</v>
      </c>
      <c r="B190" s="143" t="s">
        <v>658</v>
      </c>
      <c r="C190" s="13" t="n">
        <v>416500</v>
      </c>
      <c r="D190" s="50" t="n">
        <f aca="false">100000+100000+216500</f>
        <v>416500</v>
      </c>
      <c r="E190" s="17" t="n">
        <f aca="false">C190-D190</f>
        <v>0</v>
      </c>
    </row>
    <row r="191" customFormat="false" ht="15" hidden="false" customHeight="false" outlineLevel="0" collapsed="false">
      <c r="A191" s="72" t="n">
        <v>32</v>
      </c>
      <c r="B191" s="142" t="s">
        <v>659</v>
      </c>
      <c r="C191" s="16" t="n">
        <v>416500</v>
      </c>
      <c r="D191" s="13" t="n">
        <f aca="false">316500+100000</f>
        <v>416500</v>
      </c>
      <c r="E191" s="90" t="n">
        <f aca="false">C191-D191</f>
        <v>0</v>
      </c>
    </row>
    <row r="192" customFormat="false" ht="15" hidden="false" customHeight="false" outlineLevel="0" collapsed="false">
      <c r="A192" s="72" t="n">
        <v>33</v>
      </c>
      <c r="B192" s="142" t="s">
        <v>660</v>
      </c>
      <c r="C192" s="16" t="n">
        <v>416500</v>
      </c>
      <c r="D192" s="13" t="n">
        <f aca="false">316500+100000</f>
        <v>416500</v>
      </c>
      <c r="E192" s="90" t="n">
        <f aca="false">C192-D192</f>
        <v>0</v>
      </c>
    </row>
    <row r="193" customFormat="false" ht="15" hidden="false" customHeight="false" outlineLevel="0" collapsed="false">
      <c r="A193" s="18" t="n">
        <v>34</v>
      </c>
      <c r="B193" s="142" t="s">
        <v>661</v>
      </c>
      <c r="C193" s="16" t="n">
        <v>416500</v>
      </c>
      <c r="D193" s="13" t="n">
        <f aca="false">316000+100500</f>
        <v>416500</v>
      </c>
      <c r="E193" s="90" t="n">
        <f aca="false">C193-D193</f>
        <v>0</v>
      </c>
    </row>
    <row r="194" customFormat="false" ht="15" hidden="false" customHeight="false" outlineLevel="0" collapsed="false">
      <c r="A194" s="72" t="n">
        <v>35</v>
      </c>
      <c r="B194" s="142" t="s">
        <v>662</v>
      </c>
      <c r="C194" s="16" t="n">
        <v>416500</v>
      </c>
      <c r="D194" s="13" t="n">
        <f aca="false">316000+100500</f>
        <v>416500</v>
      </c>
      <c r="E194" s="90" t="n">
        <f aca="false">C194-D194</f>
        <v>0</v>
      </c>
    </row>
    <row r="195" customFormat="false" ht="15" hidden="false" customHeight="false" outlineLevel="0" collapsed="false">
      <c r="A195" s="72" t="n">
        <v>36</v>
      </c>
      <c r="B195" s="142" t="s">
        <v>663</v>
      </c>
      <c r="C195" s="16" t="n">
        <v>416500</v>
      </c>
      <c r="D195" s="13" t="n">
        <v>416500</v>
      </c>
      <c r="E195" s="90" t="n">
        <f aca="false">C195-D195</f>
        <v>0</v>
      </c>
    </row>
    <row r="196" customFormat="false" ht="15" hidden="false" customHeight="false" outlineLevel="0" collapsed="false">
      <c r="A196" s="18" t="n">
        <v>37</v>
      </c>
      <c r="B196" s="142" t="s">
        <v>664</v>
      </c>
      <c r="C196" s="16" t="n">
        <v>416500</v>
      </c>
      <c r="D196" s="13" t="n">
        <f aca="false">316500+100000</f>
        <v>416500</v>
      </c>
      <c r="E196" s="90" t="n">
        <f aca="false">C196-D196</f>
        <v>0</v>
      </c>
    </row>
    <row r="197" customFormat="false" ht="15" hidden="false" customHeight="false" outlineLevel="0" collapsed="false">
      <c r="A197" s="72" t="n">
        <v>38</v>
      </c>
      <c r="B197" s="142" t="s">
        <v>665</v>
      </c>
      <c r="C197" s="16" t="n">
        <v>416500</v>
      </c>
      <c r="D197" s="13" t="n">
        <f aca="false">316500</f>
        <v>316500</v>
      </c>
      <c r="E197" s="90" t="n">
        <f aca="false">C197-D197</f>
        <v>100000</v>
      </c>
    </row>
    <row r="198" customFormat="false" ht="15" hidden="false" customHeight="false" outlineLevel="0" collapsed="false">
      <c r="A198" s="72" t="n">
        <v>39</v>
      </c>
      <c r="B198" s="142" t="s">
        <v>666</v>
      </c>
      <c r="C198" s="16" t="n">
        <v>416500</v>
      </c>
      <c r="D198" s="13" t="n">
        <f aca="false">316500+103500</f>
        <v>420000</v>
      </c>
      <c r="E198" s="90" t="n">
        <f aca="false">C198-D198</f>
        <v>-3500</v>
      </c>
    </row>
    <row r="199" customFormat="false" ht="15.2" hidden="false" customHeight="false" outlineLevel="0" collapsed="false">
      <c r="A199" s="18" t="n">
        <v>40</v>
      </c>
      <c r="B199" s="142" t="s">
        <v>667</v>
      </c>
      <c r="C199" s="16" t="n">
        <v>416500</v>
      </c>
      <c r="D199" s="13" t="n">
        <f aca="false">216500</f>
        <v>216500</v>
      </c>
      <c r="E199" s="90" t="n">
        <f aca="false">C199-D199</f>
        <v>200000</v>
      </c>
    </row>
    <row r="200" customFormat="false" ht="15" hidden="false" customHeight="false" outlineLevel="0" collapsed="false">
      <c r="A200" s="72" t="n">
        <v>41</v>
      </c>
      <c r="B200" s="142" t="s">
        <v>668</v>
      </c>
      <c r="C200" s="16" t="n">
        <v>416500</v>
      </c>
      <c r="D200" s="13" t="n">
        <f aca="false">316000+100500</f>
        <v>416500</v>
      </c>
      <c r="E200" s="90" t="n">
        <f aca="false">C200-D200</f>
        <v>0</v>
      </c>
    </row>
    <row r="201" customFormat="false" ht="15" hidden="false" customHeight="false" outlineLevel="0" collapsed="false">
      <c r="A201" s="72" t="n">
        <v>42</v>
      </c>
      <c r="B201" s="142" t="s">
        <v>669</v>
      </c>
      <c r="C201" s="16" t="n">
        <v>416500</v>
      </c>
      <c r="D201" s="13" t="n">
        <f aca="false">316000</f>
        <v>316000</v>
      </c>
      <c r="E201" s="90" t="n">
        <f aca="false">C201-D201</f>
        <v>100500</v>
      </c>
    </row>
    <row r="202" customFormat="false" ht="15" hidden="false" customHeight="false" outlineLevel="0" collapsed="false">
      <c r="A202" s="18" t="n">
        <v>43</v>
      </c>
      <c r="B202" s="142" t="s">
        <v>670</v>
      </c>
      <c r="C202" s="16" t="n">
        <v>416500</v>
      </c>
      <c r="D202" s="13" t="n">
        <f aca="false">100000+316500</f>
        <v>416500</v>
      </c>
      <c r="E202" s="90" t="n">
        <f aca="false">C202-D202</f>
        <v>0</v>
      </c>
    </row>
    <row r="203" customFormat="false" ht="15" hidden="false" customHeight="false" outlineLevel="0" collapsed="false">
      <c r="A203" s="72" t="n">
        <v>44</v>
      </c>
      <c r="B203" s="142" t="s">
        <v>671</v>
      </c>
      <c r="C203" s="16" t="n">
        <v>416500</v>
      </c>
      <c r="D203" s="13" t="n">
        <f aca="false">250000+66000+100500</f>
        <v>416500</v>
      </c>
      <c r="E203" s="90" t="n">
        <f aca="false">C203-D203</f>
        <v>0</v>
      </c>
    </row>
    <row r="204" customFormat="false" ht="15" hidden="false" customHeight="false" outlineLevel="0" collapsed="false">
      <c r="A204" s="72" t="n">
        <v>45</v>
      </c>
      <c r="B204" s="142" t="s">
        <v>672</v>
      </c>
      <c r="C204" s="16" t="n">
        <v>416500</v>
      </c>
      <c r="D204" s="13" t="n">
        <f aca="false">216000+100000+100500</f>
        <v>416500</v>
      </c>
      <c r="E204" s="90" t="n">
        <f aca="false">C204-D204</f>
        <v>0</v>
      </c>
    </row>
    <row r="205" customFormat="false" ht="15" hidden="false" customHeight="false" outlineLevel="0" collapsed="false">
      <c r="A205" s="18" t="n">
        <v>46</v>
      </c>
      <c r="B205" s="142" t="s">
        <v>673</v>
      </c>
      <c r="C205" s="16" t="n">
        <v>416500</v>
      </c>
      <c r="D205" s="13"/>
      <c r="E205" s="90" t="n">
        <f aca="false">C205-D205</f>
        <v>416500</v>
      </c>
    </row>
    <row r="206" customFormat="false" ht="15" hidden="false" customHeight="false" outlineLevel="0" collapsed="false">
      <c r="A206" s="72" t="n">
        <v>47</v>
      </c>
      <c r="B206" s="142" t="s">
        <v>674</v>
      </c>
      <c r="C206" s="16" t="n">
        <v>416500</v>
      </c>
      <c r="D206" s="13" t="n">
        <f aca="false">300000+116500</f>
        <v>416500</v>
      </c>
      <c r="E206" s="90" t="n">
        <f aca="false">C206-D206</f>
        <v>0</v>
      </c>
    </row>
    <row r="207" customFormat="false" ht="25.5" hidden="false" customHeight="true" outlineLevel="0" collapsed="false">
      <c r="A207" s="72" t="n">
        <v>48</v>
      </c>
      <c r="B207" s="142" t="s">
        <v>675</v>
      </c>
      <c r="C207" s="16" t="n">
        <v>416500</v>
      </c>
      <c r="D207" s="13"/>
      <c r="E207" s="90" t="n">
        <f aca="false">C207-D207</f>
        <v>416500</v>
      </c>
    </row>
    <row r="208" customFormat="false" ht="15" hidden="false" customHeight="false" outlineLevel="0" collapsed="false">
      <c r="A208" s="18" t="n">
        <v>49</v>
      </c>
      <c r="B208" s="142" t="s">
        <v>676</v>
      </c>
      <c r="C208" s="16" t="n">
        <v>416500</v>
      </c>
      <c r="D208" s="13" t="n">
        <f aca="false">316500</f>
        <v>316500</v>
      </c>
      <c r="E208" s="90" t="n">
        <f aca="false">C208-D208</f>
        <v>100000</v>
      </c>
    </row>
    <row r="209" customFormat="false" ht="15" hidden="false" customHeight="false" outlineLevel="0" collapsed="false">
      <c r="A209" s="72" t="n">
        <v>50</v>
      </c>
      <c r="B209" s="142" t="s">
        <v>677</v>
      </c>
      <c r="C209" s="16" t="n">
        <v>416500</v>
      </c>
      <c r="D209" s="13" t="n">
        <f aca="false">300000+116500</f>
        <v>416500</v>
      </c>
      <c r="E209" s="90" t="n">
        <f aca="false">C209-D209</f>
        <v>0</v>
      </c>
    </row>
    <row r="210" customFormat="false" ht="15" hidden="false" customHeight="false" outlineLevel="0" collapsed="false">
      <c r="A210" s="72" t="n">
        <v>51</v>
      </c>
      <c r="B210" s="142" t="s">
        <v>678</v>
      </c>
      <c r="C210" s="16" t="n">
        <v>416500</v>
      </c>
      <c r="D210" s="51" t="n">
        <f aca="false">316500+100000</f>
        <v>416500</v>
      </c>
      <c r="E210" s="90" t="n">
        <f aca="false">C210-D210</f>
        <v>0</v>
      </c>
    </row>
    <row r="211" customFormat="false" ht="15" hidden="false" customHeight="false" outlineLevel="0" collapsed="false">
      <c r="A211" s="18" t="n">
        <v>52</v>
      </c>
      <c r="B211" s="117" t="s">
        <v>679</v>
      </c>
      <c r="C211" s="13" t="n">
        <v>416500</v>
      </c>
      <c r="D211" s="51" t="n">
        <f aca="false">317000+99500</f>
        <v>416500</v>
      </c>
      <c r="E211" s="17" t="n">
        <f aca="false">C211-D211</f>
        <v>0</v>
      </c>
    </row>
    <row r="212" customFormat="false" ht="15" hidden="false" customHeight="false" outlineLevel="0" collapsed="false">
      <c r="A212" s="72" t="n">
        <v>53</v>
      </c>
      <c r="B212" s="142" t="s">
        <v>680</v>
      </c>
      <c r="C212" s="16" t="n">
        <v>416500</v>
      </c>
      <c r="D212" s="13" t="n">
        <f aca="false">216000+200000</f>
        <v>416000</v>
      </c>
      <c r="E212" s="90" t="n">
        <f aca="false">C212-D212</f>
        <v>500</v>
      </c>
    </row>
    <row r="213" customFormat="false" ht="15" hidden="false" customHeight="false" outlineLevel="0" collapsed="false">
      <c r="A213" s="72" t="n">
        <v>54</v>
      </c>
      <c r="B213" s="142" t="s">
        <v>681</v>
      </c>
      <c r="C213" s="16" t="n">
        <v>416500</v>
      </c>
      <c r="D213" s="13" t="n">
        <f aca="false">316500+100000</f>
        <v>416500</v>
      </c>
      <c r="E213" s="90" t="n">
        <f aca="false">C213-D213</f>
        <v>0</v>
      </c>
    </row>
    <row r="214" customFormat="false" ht="15" hidden="false" customHeight="false" outlineLevel="0" collapsed="false">
      <c r="A214" s="18" t="n">
        <v>55</v>
      </c>
      <c r="B214" s="142" t="s">
        <v>682</v>
      </c>
      <c r="C214" s="16" t="n">
        <v>416500</v>
      </c>
      <c r="D214" s="13" t="n">
        <v>416500</v>
      </c>
      <c r="E214" s="90" t="n">
        <f aca="false">C214-D214</f>
        <v>0</v>
      </c>
    </row>
    <row r="215" customFormat="false" ht="15" hidden="false" customHeight="false" outlineLevel="0" collapsed="false">
      <c r="A215" s="72" t="n">
        <v>56</v>
      </c>
      <c r="B215" s="142" t="s">
        <v>683</v>
      </c>
      <c r="C215" s="16" t="n">
        <v>416500</v>
      </c>
      <c r="D215" s="13" t="n">
        <f aca="false">416500</f>
        <v>416500</v>
      </c>
      <c r="E215" s="90" t="n">
        <f aca="false">C215-D215</f>
        <v>0</v>
      </c>
    </row>
    <row r="216" customFormat="false" ht="15" hidden="false" customHeight="false" outlineLevel="0" collapsed="false">
      <c r="A216" s="72" t="n">
        <v>57</v>
      </c>
      <c r="B216" s="143" t="s">
        <v>684</v>
      </c>
      <c r="C216" s="13" t="n">
        <v>416500</v>
      </c>
      <c r="D216" s="144" t="n">
        <f aca="false">416500</f>
        <v>416500</v>
      </c>
      <c r="E216" s="17" t="n">
        <f aca="false">C216-D216</f>
        <v>0</v>
      </c>
    </row>
    <row r="217" customFormat="false" ht="15" hidden="false" customHeight="false" outlineLevel="0" collapsed="false">
      <c r="A217" s="18" t="n">
        <v>58</v>
      </c>
      <c r="B217" s="142" t="s">
        <v>685</v>
      </c>
      <c r="C217" s="16" t="n">
        <v>416500</v>
      </c>
      <c r="D217" s="13" t="n">
        <v>416500</v>
      </c>
      <c r="E217" s="90" t="n">
        <f aca="false">C217-D217</f>
        <v>0</v>
      </c>
    </row>
    <row r="218" customFormat="false" ht="15" hidden="false" customHeight="false" outlineLevel="0" collapsed="false">
      <c r="A218" s="72" t="n">
        <v>59</v>
      </c>
      <c r="B218" s="142" t="s">
        <v>686</v>
      </c>
      <c r="C218" s="16" t="n">
        <v>416500</v>
      </c>
      <c r="D218" s="13" t="n">
        <f aca="false">90000+135000</f>
        <v>225000</v>
      </c>
      <c r="E218" s="90" t="n">
        <f aca="false">C218-D218</f>
        <v>191500</v>
      </c>
    </row>
    <row r="219" customFormat="false" ht="15" hidden="false" customHeight="false" outlineLevel="0" collapsed="false">
      <c r="A219" s="72" t="n">
        <v>60</v>
      </c>
      <c r="B219" s="142" t="s">
        <v>687</v>
      </c>
      <c r="C219" s="16" t="n">
        <v>416500</v>
      </c>
      <c r="D219" s="13" t="n">
        <f aca="false">200000+216500</f>
        <v>416500</v>
      </c>
      <c r="E219" s="90" t="n">
        <f aca="false">C219-D219</f>
        <v>0</v>
      </c>
    </row>
    <row r="220" customFormat="false" ht="17.35" hidden="false" customHeight="false" outlineLevel="0" collapsed="false">
      <c r="A220" s="19"/>
      <c r="B220" s="145" t="s">
        <v>22</v>
      </c>
      <c r="C220" s="21" t="n">
        <f aca="false">SUM(C160:C219)</f>
        <v>24990000</v>
      </c>
      <c r="D220" s="91" t="n">
        <f aca="false">SUM(D160:D219)</f>
        <v>22654000</v>
      </c>
      <c r="E220" s="92" t="n">
        <f aca="false">SUM(E160:E219)</f>
        <v>2336000</v>
      </c>
    </row>
    <row r="221" customFormat="false" ht="15" hidden="false" customHeight="false" outlineLevel="0" collapsed="false">
      <c r="A221" s="56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254"/>
  <sheetViews>
    <sheetView showFormulas="false" showGridLines="true" showRowColHeaders="true" showZeros="true" rightToLeft="false" tabSelected="true" showOutlineSymbols="true" defaultGridColor="true" view="normal" topLeftCell="A212" colorId="64" zoomScale="93" zoomScaleNormal="93" zoomScalePageLayoutView="100" workbookViewId="0">
      <selection pane="topLeft" activeCell="F1" activeCellId="0" sqref="F1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29"/>
    <col collapsed="false" customWidth="true" hidden="false" outlineLevel="0" max="2" min="2" style="1" width="34"/>
    <col collapsed="false" customWidth="true" hidden="false" outlineLevel="0" max="3" min="3" style="1" width="13.86"/>
    <col collapsed="false" customWidth="true" hidden="false" outlineLevel="0" max="4" min="4" style="1" width="14"/>
    <col collapsed="false" customWidth="true" hidden="false" outlineLevel="0" max="5" min="5" style="1" width="14.43"/>
    <col collapsed="false" customWidth="true" hidden="false" outlineLevel="0" max="16384" min="16368" style="0" width="11.53"/>
  </cols>
  <sheetData>
    <row r="3" customFormat="false" ht="15" hidden="false" customHeight="false" outlineLevel="0" collapsed="false">
      <c r="A3" s="146" t="s">
        <v>688</v>
      </c>
      <c r="B3" s="147"/>
      <c r="C3" s="147"/>
      <c r="D3" s="147"/>
      <c r="E3" s="147"/>
    </row>
    <row r="5" customFormat="false" ht="15" hidden="false" customHeight="false" outlineLevel="0" collapsed="false">
      <c r="B5" s="148" t="s">
        <v>4</v>
      </c>
    </row>
    <row r="6" customFormat="false" ht="15" hidden="false" customHeight="false" outlineLevel="0" collapsed="false">
      <c r="B6" s="4" t="s">
        <v>689</v>
      </c>
    </row>
    <row r="8" customFormat="false" ht="15" hidden="false" customHeight="false" outlineLevel="0" collapsed="false">
      <c r="A8" s="149" t="s">
        <v>5</v>
      </c>
      <c r="B8" s="150" t="s">
        <v>690</v>
      </c>
      <c r="C8" s="8" t="s">
        <v>7</v>
      </c>
      <c r="D8" s="151" t="s">
        <v>8</v>
      </c>
      <c r="E8" s="93" t="s">
        <v>9</v>
      </c>
    </row>
    <row r="9" customFormat="false" ht="15" hidden="false" customHeight="false" outlineLevel="0" collapsed="false">
      <c r="A9" s="152" t="n">
        <v>1</v>
      </c>
      <c r="B9" s="153" t="s">
        <v>691</v>
      </c>
      <c r="C9" s="154" t="n">
        <v>815000</v>
      </c>
      <c r="D9" s="155" t="n">
        <f aca="false">750000+65000</f>
        <v>815000</v>
      </c>
      <c r="E9" s="156" t="n">
        <f aca="false">C9-D9</f>
        <v>0</v>
      </c>
    </row>
    <row r="10" customFormat="false" ht="15" hidden="false" customHeight="false" outlineLevel="0" collapsed="false">
      <c r="A10" s="152" t="n">
        <v>2</v>
      </c>
      <c r="B10" s="153" t="s">
        <v>692</v>
      </c>
      <c r="C10" s="154" t="n">
        <v>815000</v>
      </c>
      <c r="D10" s="155" t="n">
        <f aca="false">250000+100000+465000</f>
        <v>815000</v>
      </c>
      <c r="E10" s="156" t="n">
        <f aca="false">C10-D10</f>
        <v>0</v>
      </c>
    </row>
    <row r="11" customFormat="false" ht="15" hidden="false" customHeight="false" outlineLevel="0" collapsed="false">
      <c r="A11" s="152" t="n">
        <v>3</v>
      </c>
      <c r="B11" s="153" t="s">
        <v>693</v>
      </c>
      <c r="C11" s="154" t="n">
        <v>815000</v>
      </c>
      <c r="D11" s="155" t="n">
        <f aca="false">150000+665000</f>
        <v>815000</v>
      </c>
      <c r="E11" s="156" t="n">
        <f aca="false">C11-D11</f>
        <v>0</v>
      </c>
    </row>
    <row r="12" customFormat="false" ht="15" hidden="false" customHeight="false" outlineLevel="0" collapsed="false">
      <c r="A12" s="152" t="n">
        <v>4</v>
      </c>
      <c r="B12" s="153" t="s">
        <v>694</v>
      </c>
      <c r="C12" s="154" t="n">
        <v>815000</v>
      </c>
      <c r="D12" s="155" t="n">
        <f aca="false">415000+400000</f>
        <v>815000</v>
      </c>
      <c r="E12" s="156" t="n">
        <f aca="false">C12-D12</f>
        <v>0</v>
      </c>
    </row>
    <row r="13" customFormat="false" ht="15" hidden="false" customHeight="false" outlineLevel="0" collapsed="false">
      <c r="A13" s="152" t="n">
        <v>5</v>
      </c>
      <c r="B13" s="153" t="s">
        <v>695</v>
      </c>
      <c r="C13" s="154" t="n">
        <v>815000</v>
      </c>
      <c r="D13" s="155" t="n">
        <f aca="false">150000+665000</f>
        <v>815000</v>
      </c>
      <c r="E13" s="156" t="n">
        <f aca="false">C13-D13</f>
        <v>0</v>
      </c>
    </row>
    <row r="14" customFormat="false" ht="15" hidden="false" customHeight="false" outlineLevel="0" collapsed="false">
      <c r="A14" s="152" t="n">
        <v>6</v>
      </c>
      <c r="B14" s="153" t="s">
        <v>696</v>
      </c>
      <c r="C14" s="154" t="n">
        <v>815000</v>
      </c>
      <c r="D14" s="155" t="n">
        <f aca="false">600000+200000+15000</f>
        <v>815000</v>
      </c>
      <c r="E14" s="156" t="n">
        <f aca="false">C14-D14</f>
        <v>0</v>
      </c>
    </row>
    <row r="15" customFormat="false" ht="15" hidden="false" customHeight="false" outlineLevel="0" collapsed="false">
      <c r="A15" s="152" t="n">
        <v>7</v>
      </c>
      <c r="B15" s="157" t="s">
        <v>697</v>
      </c>
      <c r="C15" s="154" t="n">
        <v>815000</v>
      </c>
      <c r="D15" s="155" t="n">
        <v>815000</v>
      </c>
      <c r="E15" s="156" t="n">
        <f aca="false">C15-D15</f>
        <v>0</v>
      </c>
    </row>
    <row r="16" customFormat="false" ht="15" hidden="false" customHeight="false" outlineLevel="0" collapsed="false">
      <c r="A16" s="152" t="n">
        <v>8</v>
      </c>
      <c r="B16" s="157" t="s">
        <v>698</v>
      </c>
      <c r="C16" s="154" t="n">
        <v>815000</v>
      </c>
      <c r="D16" s="155" t="n">
        <f aca="false">500000+315000</f>
        <v>815000</v>
      </c>
      <c r="E16" s="156" t="n">
        <f aca="false">C16-D16</f>
        <v>0</v>
      </c>
    </row>
    <row r="17" customFormat="false" ht="15" hidden="false" customHeight="false" outlineLevel="0" collapsed="false">
      <c r="A17" s="152" t="n">
        <v>9</v>
      </c>
      <c r="B17" s="157" t="s">
        <v>699</v>
      </c>
      <c r="C17" s="154" t="n">
        <v>815000</v>
      </c>
      <c r="D17" s="155" t="n">
        <f aca="false">200000+150000+265000+100000+100000</f>
        <v>815000</v>
      </c>
      <c r="E17" s="156" t="n">
        <f aca="false">C17-D17</f>
        <v>0</v>
      </c>
    </row>
    <row r="18" customFormat="false" ht="15" hidden="false" customHeight="false" outlineLevel="0" collapsed="false">
      <c r="A18" s="152" t="n">
        <v>10</v>
      </c>
      <c r="B18" s="157" t="s">
        <v>700</v>
      </c>
      <c r="C18" s="154" t="n">
        <v>815000</v>
      </c>
      <c r="D18" s="155" t="n">
        <f aca="false">30000+785000</f>
        <v>815000</v>
      </c>
      <c r="E18" s="156" t="n">
        <f aca="false">C18-D18</f>
        <v>0</v>
      </c>
    </row>
    <row r="19" customFormat="false" ht="15" hidden="false" customHeight="false" outlineLevel="0" collapsed="false">
      <c r="A19" s="152" t="n">
        <v>11</v>
      </c>
      <c r="B19" s="157" t="s">
        <v>701</v>
      </c>
      <c r="C19" s="154" t="n">
        <v>815000</v>
      </c>
      <c r="D19" s="155" t="n">
        <v>815000</v>
      </c>
      <c r="E19" s="156" t="n">
        <f aca="false">C19-D19</f>
        <v>0</v>
      </c>
    </row>
    <row r="20" customFormat="false" ht="15" hidden="false" customHeight="false" outlineLevel="0" collapsed="false">
      <c r="A20" s="152" t="n">
        <v>12</v>
      </c>
      <c r="B20" s="157" t="s">
        <v>702</v>
      </c>
      <c r="C20" s="154" t="n">
        <v>815000</v>
      </c>
      <c r="D20" s="155"/>
      <c r="E20" s="156" t="n">
        <f aca="false">C20-D20</f>
        <v>815000</v>
      </c>
    </row>
    <row r="21" customFormat="false" ht="15" hidden="false" customHeight="false" outlineLevel="0" collapsed="false">
      <c r="A21" s="152" t="n">
        <v>13</v>
      </c>
      <c r="B21" s="157" t="s">
        <v>703</v>
      </c>
      <c r="C21" s="154" t="n">
        <v>815000</v>
      </c>
      <c r="D21" s="155" t="n">
        <f aca="false">250000+500000</f>
        <v>750000</v>
      </c>
      <c r="E21" s="156" t="n">
        <f aca="false">C21-D21</f>
        <v>65000</v>
      </c>
    </row>
    <row r="22" customFormat="false" ht="15" hidden="false" customHeight="false" outlineLevel="0" collapsed="false">
      <c r="A22" s="152" t="n">
        <v>14</v>
      </c>
      <c r="B22" s="157" t="s">
        <v>704</v>
      </c>
      <c r="C22" s="154" t="n">
        <v>815000</v>
      </c>
      <c r="D22" s="155" t="n">
        <v>815000</v>
      </c>
      <c r="E22" s="156" t="n">
        <f aca="false">C22-D22</f>
        <v>0</v>
      </c>
    </row>
    <row r="23" customFormat="false" ht="15" hidden="false" customHeight="false" outlineLevel="0" collapsed="false">
      <c r="A23" s="152" t="n">
        <v>15</v>
      </c>
      <c r="B23" s="157" t="s">
        <v>705</v>
      </c>
      <c r="C23" s="154" t="n">
        <v>815000</v>
      </c>
      <c r="D23" s="155" t="n">
        <f aca="false">620000+195000</f>
        <v>815000</v>
      </c>
      <c r="E23" s="156" t="n">
        <f aca="false">C23-D23</f>
        <v>0</v>
      </c>
    </row>
    <row r="24" customFormat="false" ht="15" hidden="false" customHeight="false" outlineLevel="0" collapsed="false">
      <c r="A24" s="152" t="n">
        <v>16</v>
      </c>
      <c r="B24" s="157" t="s">
        <v>706</v>
      </c>
      <c r="C24" s="154" t="n">
        <v>815000</v>
      </c>
      <c r="D24" s="155" t="n">
        <f aca="false">50000+200000+480000+85000</f>
        <v>815000</v>
      </c>
      <c r="E24" s="156" t="n">
        <f aca="false">C24-D24</f>
        <v>0</v>
      </c>
    </row>
    <row r="25" customFormat="false" ht="15" hidden="false" customHeight="false" outlineLevel="0" collapsed="false">
      <c r="A25" s="152" t="n">
        <v>17</v>
      </c>
      <c r="B25" s="157" t="s">
        <v>707</v>
      </c>
      <c r="C25" s="154" t="n">
        <v>815000</v>
      </c>
      <c r="D25" s="155" t="n">
        <v>815000</v>
      </c>
      <c r="E25" s="156" t="n">
        <f aca="false">C25-D25</f>
        <v>0</v>
      </c>
    </row>
    <row r="26" customFormat="false" ht="15" hidden="false" customHeight="false" outlineLevel="0" collapsed="false">
      <c r="A26" s="152" t="n">
        <v>18</v>
      </c>
      <c r="B26" s="157" t="s">
        <v>708</v>
      </c>
      <c r="C26" s="154" t="n">
        <v>815000</v>
      </c>
      <c r="D26" s="155" t="n">
        <f aca="false">500000+315000</f>
        <v>815000</v>
      </c>
      <c r="E26" s="156" t="n">
        <f aca="false">C26-D26</f>
        <v>0</v>
      </c>
    </row>
    <row r="27" customFormat="false" ht="15" hidden="false" customHeight="false" outlineLevel="0" collapsed="false">
      <c r="A27" s="152" t="n">
        <v>19</v>
      </c>
      <c r="B27" s="157" t="s">
        <v>709</v>
      </c>
      <c r="C27" s="154" t="n">
        <v>815000</v>
      </c>
      <c r="D27" s="155" t="n">
        <f aca="false">500000+315000</f>
        <v>815000</v>
      </c>
      <c r="E27" s="156" t="n">
        <f aca="false">C27-D27</f>
        <v>0</v>
      </c>
    </row>
    <row r="28" customFormat="false" ht="15" hidden="false" customHeight="false" outlineLevel="0" collapsed="false">
      <c r="A28" s="152" t="n">
        <v>20</v>
      </c>
      <c r="B28" s="157" t="s">
        <v>710</v>
      </c>
      <c r="C28" s="154" t="n">
        <v>815000</v>
      </c>
      <c r="D28" s="155" t="n">
        <v>815000</v>
      </c>
      <c r="E28" s="156" t="n">
        <f aca="false">C28-D28</f>
        <v>0</v>
      </c>
    </row>
    <row r="29" customFormat="false" ht="15" hidden="false" customHeight="false" outlineLevel="0" collapsed="false">
      <c r="A29" s="152" t="n">
        <v>21</v>
      </c>
      <c r="B29" s="157" t="s">
        <v>711</v>
      </c>
      <c r="C29" s="154" t="n">
        <v>815000</v>
      </c>
      <c r="D29" s="155" t="n">
        <f aca="false">450000+165000+200000</f>
        <v>815000</v>
      </c>
      <c r="E29" s="156" t="n">
        <f aca="false">C29-D29</f>
        <v>0</v>
      </c>
    </row>
    <row r="30" customFormat="false" ht="15" hidden="false" customHeight="false" outlineLevel="0" collapsed="false">
      <c r="A30" s="152" t="n">
        <v>22</v>
      </c>
      <c r="B30" s="157" t="s">
        <v>712</v>
      </c>
      <c r="C30" s="154" t="n">
        <v>815000</v>
      </c>
      <c r="D30" s="155" t="n">
        <v>815000</v>
      </c>
      <c r="E30" s="156" t="n">
        <f aca="false">C30-D30</f>
        <v>0</v>
      </c>
    </row>
    <row r="31" customFormat="false" ht="15" hidden="false" customHeight="false" outlineLevel="0" collapsed="false">
      <c r="A31" s="152" t="n">
        <v>23</v>
      </c>
      <c r="B31" s="157" t="s">
        <v>713</v>
      </c>
      <c r="C31" s="154" t="n">
        <v>815000</v>
      </c>
      <c r="D31" s="155" t="n">
        <v>815000</v>
      </c>
      <c r="E31" s="156" t="n">
        <f aca="false">C31-D31</f>
        <v>0</v>
      </c>
    </row>
    <row r="32" customFormat="false" ht="15" hidden="false" customHeight="false" outlineLevel="0" collapsed="false">
      <c r="A32" s="152" t="n">
        <v>24</v>
      </c>
      <c r="B32" s="157" t="s">
        <v>714</v>
      </c>
      <c r="C32" s="154" t="n">
        <v>815000</v>
      </c>
      <c r="D32" s="155"/>
      <c r="E32" s="156" t="n">
        <f aca="false">C32-D32</f>
        <v>815000</v>
      </c>
    </row>
    <row r="33" customFormat="false" ht="15" hidden="false" customHeight="false" outlineLevel="0" collapsed="false">
      <c r="A33" s="152" t="n">
        <v>25</v>
      </c>
      <c r="B33" s="157" t="s">
        <v>715</v>
      </c>
      <c r="C33" s="154" t="n">
        <v>815000</v>
      </c>
      <c r="D33" s="155" t="n">
        <f aca="false">500000+315000</f>
        <v>815000</v>
      </c>
      <c r="E33" s="156" t="n">
        <f aca="false">C33-D33</f>
        <v>0</v>
      </c>
    </row>
    <row r="34" customFormat="false" ht="15" hidden="false" customHeight="false" outlineLevel="0" collapsed="false">
      <c r="A34" s="152" t="n">
        <v>26</v>
      </c>
      <c r="B34" s="157" t="s">
        <v>716</v>
      </c>
      <c r="C34" s="154" t="n">
        <v>815000</v>
      </c>
      <c r="D34" s="155" t="n">
        <f aca="false">500000+315000</f>
        <v>815000</v>
      </c>
      <c r="E34" s="156" t="n">
        <f aca="false">C34-D34</f>
        <v>0</v>
      </c>
    </row>
    <row r="35" customFormat="false" ht="15" hidden="false" customHeight="false" outlineLevel="0" collapsed="false">
      <c r="A35" s="152" t="n">
        <v>27</v>
      </c>
      <c r="B35" s="157" t="s">
        <v>717</v>
      </c>
      <c r="C35" s="154" t="n">
        <v>815000</v>
      </c>
      <c r="D35" s="155" t="n">
        <v>815000</v>
      </c>
      <c r="E35" s="156" t="n">
        <f aca="false">C35-D35</f>
        <v>0</v>
      </c>
    </row>
    <row r="36" customFormat="false" ht="15" hidden="false" customHeight="false" outlineLevel="0" collapsed="false">
      <c r="A36" s="152" t="n">
        <v>28</v>
      </c>
      <c r="B36" s="157" t="s">
        <v>718</v>
      </c>
      <c r="C36" s="154" t="n">
        <v>815000</v>
      </c>
      <c r="D36" s="155" t="n">
        <f aca="false">450000+365000</f>
        <v>815000</v>
      </c>
      <c r="E36" s="156" t="n">
        <f aca="false">C36-D36</f>
        <v>0</v>
      </c>
    </row>
    <row r="37" customFormat="false" ht="15" hidden="false" customHeight="false" outlineLevel="0" collapsed="false">
      <c r="A37" s="152" t="n">
        <v>29</v>
      </c>
      <c r="B37" s="157" t="s">
        <v>719</v>
      </c>
      <c r="C37" s="154" t="n">
        <v>815000</v>
      </c>
      <c r="D37" s="155" t="n">
        <v>815000</v>
      </c>
      <c r="E37" s="156" t="n">
        <f aca="false">C37-D37</f>
        <v>0</v>
      </c>
    </row>
    <row r="38" customFormat="false" ht="15" hidden="false" customHeight="false" outlineLevel="0" collapsed="false">
      <c r="A38" s="152" t="n">
        <v>30</v>
      </c>
      <c r="B38" s="157" t="s">
        <v>720</v>
      </c>
      <c r="C38" s="154" t="n">
        <v>815000</v>
      </c>
      <c r="D38" s="155" t="n">
        <f aca="false">200000+115000+500000</f>
        <v>815000</v>
      </c>
      <c r="E38" s="156" t="n">
        <f aca="false">C38-D38</f>
        <v>0</v>
      </c>
    </row>
    <row r="39" customFormat="false" ht="15" hidden="false" customHeight="false" outlineLevel="0" collapsed="false">
      <c r="A39" s="152" t="n">
        <v>31</v>
      </c>
      <c r="B39" s="157" t="s">
        <v>721</v>
      </c>
      <c r="C39" s="154" t="n">
        <v>815000</v>
      </c>
      <c r="D39" s="155" t="n">
        <f aca="false">350000+150000+315000</f>
        <v>815000</v>
      </c>
      <c r="E39" s="156" t="n">
        <f aca="false">C39-D39</f>
        <v>0</v>
      </c>
    </row>
    <row r="40" customFormat="false" ht="15" hidden="false" customHeight="false" outlineLevel="0" collapsed="false">
      <c r="A40" s="152" t="n">
        <v>32</v>
      </c>
      <c r="B40" s="157" t="s">
        <v>722</v>
      </c>
      <c r="C40" s="154" t="n">
        <v>815000</v>
      </c>
      <c r="D40" s="155" t="n">
        <f aca="false">500000+315000</f>
        <v>815000</v>
      </c>
      <c r="E40" s="156" t="n">
        <f aca="false">C40-D40</f>
        <v>0</v>
      </c>
    </row>
    <row r="41" customFormat="false" ht="15" hidden="false" customHeight="false" outlineLevel="0" collapsed="false">
      <c r="A41" s="152" t="n">
        <v>33</v>
      </c>
      <c r="B41" s="157" t="s">
        <v>723</v>
      </c>
      <c r="C41" s="154" t="n">
        <v>815000</v>
      </c>
      <c r="D41" s="155" t="n">
        <f aca="false">350000+465000</f>
        <v>815000</v>
      </c>
      <c r="E41" s="156" t="n">
        <f aca="false">C41-D41</f>
        <v>0</v>
      </c>
    </row>
    <row r="42" customFormat="false" ht="15" hidden="false" customHeight="false" outlineLevel="0" collapsed="false">
      <c r="A42" s="152" t="n">
        <v>34</v>
      </c>
      <c r="B42" s="157" t="s">
        <v>724</v>
      </c>
      <c r="C42" s="154" t="n">
        <v>815000</v>
      </c>
      <c r="D42" s="155" t="n">
        <f aca="false">500000</f>
        <v>500000</v>
      </c>
      <c r="E42" s="156" t="n">
        <f aca="false">C42-D42</f>
        <v>315000</v>
      </c>
    </row>
    <row r="43" customFormat="false" ht="15" hidden="false" customHeight="false" outlineLevel="0" collapsed="false">
      <c r="A43" s="152" t="n">
        <v>35</v>
      </c>
      <c r="B43" s="157" t="s">
        <v>725</v>
      </c>
      <c r="C43" s="154" t="n">
        <v>815000</v>
      </c>
      <c r="D43" s="155" t="n">
        <v>825000</v>
      </c>
      <c r="E43" s="156" t="n">
        <f aca="false">C43-D43</f>
        <v>-10000</v>
      </c>
    </row>
    <row r="44" customFormat="false" ht="15" hidden="false" customHeight="false" outlineLevel="0" collapsed="false">
      <c r="A44" s="152" t="n">
        <v>36</v>
      </c>
      <c r="B44" s="157" t="s">
        <v>726</v>
      </c>
      <c r="C44" s="154" t="n">
        <v>815000</v>
      </c>
      <c r="D44" s="155" t="n">
        <f aca="false">400000+415000</f>
        <v>815000</v>
      </c>
      <c r="E44" s="156" t="n">
        <f aca="false">C44-D44</f>
        <v>0</v>
      </c>
    </row>
    <row r="45" customFormat="false" ht="15" hidden="false" customHeight="false" outlineLevel="0" collapsed="false">
      <c r="A45" s="152" t="n">
        <v>37</v>
      </c>
      <c r="B45" s="157" t="s">
        <v>727</v>
      </c>
      <c r="C45" s="154" t="n">
        <v>815000</v>
      </c>
      <c r="D45" s="155" t="n">
        <f aca="false">300000+100000+150000+150000+15000+100000</f>
        <v>815000</v>
      </c>
      <c r="E45" s="156" t="n">
        <f aca="false">C45-D45</f>
        <v>0</v>
      </c>
    </row>
    <row r="46" customFormat="false" ht="15" hidden="false" customHeight="false" outlineLevel="0" collapsed="false">
      <c r="A46" s="152" t="n">
        <v>38</v>
      </c>
      <c r="B46" s="157" t="s">
        <v>728</v>
      </c>
      <c r="C46" s="154" t="n">
        <v>815000</v>
      </c>
      <c r="D46" s="155" t="n">
        <f aca="false">675000+100000+40000</f>
        <v>815000</v>
      </c>
      <c r="E46" s="156" t="n">
        <f aca="false">C46-D46</f>
        <v>0</v>
      </c>
    </row>
    <row r="47" customFormat="false" ht="15" hidden="false" customHeight="false" outlineLevel="0" collapsed="false">
      <c r="A47" s="152" t="n">
        <v>39</v>
      </c>
      <c r="B47" s="157" t="s">
        <v>729</v>
      </c>
      <c r="C47" s="154" t="n">
        <v>815000</v>
      </c>
      <c r="D47" s="155" t="n">
        <v>815000</v>
      </c>
      <c r="E47" s="156" t="n">
        <f aca="false">C47-D47</f>
        <v>0</v>
      </c>
    </row>
    <row r="48" customFormat="false" ht="19.7" hidden="false" customHeight="false" outlineLevel="0" collapsed="false">
      <c r="A48" s="158"/>
      <c r="B48" s="159" t="s">
        <v>22</v>
      </c>
      <c r="C48" s="160" t="n">
        <f aca="false">SUM(C9:C47)</f>
        <v>31785000</v>
      </c>
      <c r="D48" s="161" t="n">
        <f aca="false">SUM(D9:D47)</f>
        <v>29785000</v>
      </c>
      <c r="E48" s="162" t="n">
        <f aca="false">SUM(E9:E47)</f>
        <v>2000000</v>
      </c>
    </row>
    <row r="54" customFormat="false" ht="17.35" hidden="false" customHeight="false" outlineLevel="0" collapsed="false">
      <c r="B54" s="2" t="s">
        <v>730</v>
      </c>
    </row>
    <row r="55" customFormat="false" ht="17.35" hidden="false" customHeight="false" outlineLevel="0" collapsed="false">
      <c r="A55" s="2"/>
    </row>
    <row r="57" customFormat="false" ht="15" hidden="false" customHeight="false" outlineLevel="0" collapsed="false">
      <c r="B57" s="148" t="s">
        <v>514</v>
      </c>
    </row>
    <row r="58" customFormat="false" ht="15" hidden="false" customHeight="false" outlineLevel="0" collapsed="false">
      <c r="B58" s="4" t="s">
        <v>689</v>
      </c>
    </row>
    <row r="60" customFormat="false" ht="15" hidden="false" customHeight="false" outlineLevel="0" collapsed="false">
      <c r="A60" s="149" t="s">
        <v>5</v>
      </c>
      <c r="B60" s="150" t="s">
        <v>690</v>
      </c>
      <c r="C60" s="8" t="s">
        <v>7</v>
      </c>
      <c r="D60" s="151" t="s">
        <v>8</v>
      </c>
      <c r="E60" s="93" t="s">
        <v>9</v>
      </c>
    </row>
    <row r="61" customFormat="false" ht="15" hidden="false" customHeight="false" outlineLevel="0" collapsed="false">
      <c r="A61" s="152" t="n">
        <v>1</v>
      </c>
      <c r="B61" s="163" t="s">
        <v>731</v>
      </c>
      <c r="C61" s="154" t="n">
        <v>815000</v>
      </c>
      <c r="D61" s="154" t="n">
        <v>815000</v>
      </c>
      <c r="E61" s="156" t="n">
        <f aca="false">C61-D61</f>
        <v>0</v>
      </c>
    </row>
    <row r="62" customFormat="false" ht="15" hidden="false" customHeight="false" outlineLevel="0" collapsed="false">
      <c r="A62" s="152" t="n">
        <v>2</v>
      </c>
      <c r="B62" s="153" t="s">
        <v>732</v>
      </c>
      <c r="C62" s="154" t="n">
        <v>815000</v>
      </c>
      <c r="D62" s="154"/>
      <c r="E62" s="156" t="n">
        <f aca="false">C62-D62</f>
        <v>815000</v>
      </c>
    </row>
    <row r="63" customFormat="false" ht="15" hidden="false" customHeight="false" outlineLevel="0" collapsed="false">
      <c r="A63" s="152" t="n">
        <v>3</v>
      </c>
      <c r="B63" s="163" t="s">
        <v>733</v>
      </c>
      <c r="C63" s="154" t="n">
        <v>815000</v>
      </c>
      <c r="D63" s="154" t="n">
        <f aca="false">815000</f>
        <v>815000</v>
      </c>
      <c r="E63" s="156" t="n">
        <f aca="false">C63-D63</f>
        <v>0</v>
      </c>
    </row>
    <row r="64" customFormat="false" ht="15" hidden="false" customHeight="false" outlineLevel="0" collapsed="false">
      <c r="A64" s="152" t="n">
        <v>4</v>
      </c>
      <c r="B64" s="163" t="s">
        <v>734</v>
      </c>
      <c r="C64" s="154" t="n">
        <v>815000</v>
      </c>
      <c r="D64" s="154" t="n">
        <v>815000</v>
      </c>
      <c r="E64" s="156" t="n">
        <f aca="false">C64-D64</f>
        <v>0</v>
      </c>
    </row>
    <row r="65" customFormat="false" ht="15" hidden="false" customHeight="false" outlineLevel="0" collapsed="false">
      <c r="A65" s="152" t="n">
        <v>5</v>
      </c>
      <c r="B65" s="163" t="s">
        <v>735</v>
      </c>
      <c r="C65" s="154" t="n">
        <v>815000</v>
      </c>
      <c r="D65" s="154" t="n">
        <f aca="false">200000+210000+200000+205000</f>
        <v>815000</v>
      </c>
      <c r="E65" s="156" t="n">
        <f aca="false">C65-D65</f>
        <v>0</v>
      </c>
    </row>
    <row r="66" customFormat="false" ht="15" hidden="false" customHeight="false" outlineLevel="0" collapsed="false">
      <c r="A66" s="152" t="n">
        <v>6</v>
      </c>
      <c r="B66" s="163" t="s">
        <v>736</v>
      </c>
      <c r="C66" s="154" t="n">
        <v>815000</v>
      </c>
      <c r="D66" s="154" t="n">
        <f aca="false">75000+115000+500000+125000</f>
        <v>815000</v>
      </c>
      <c r="E66" s="156" t="n">
        <f aca="false">C66-D66</f>
        <v>0</v>
      </c>
    </row>
    <row r="67" customFormat="false" ht="15" hidden="false" customHeight="false" outlineLevel="0" collapsed="false">
      <c r="A67" s="152" t="n">
        <v>7</v>
      </c>
      <c r="B67" s="163" t="s">
        <v>737</v>
      </c>
      <c r="C67" s="154" t="n">
        <v>815000</v>
      </c>
      <c r="D67" s="154" t="n">
        <f aca="false">100000+100000+100000+150000+200000+50000+115000</f>
        <v>815000</v>
      </c>
      <c r="E67" s="156" t="n">
        <f aca="false">C67-D67</f>
        <v>0</v>
      </c>
    </row>
    <row r="68" customFormat="false" ht="15" hidden="false" customHeight="false" outlineLevel="0" collapsed="false">
      <c r="A68" s="152" t="n">
        <v>8</v>
      </c>
      <c r="B68" s="163" t="s">
        <v>738</v>
      </c>
      <c r="C68" s="154" t="n">
        <v>815000</v>
      </c>
      <c r="D68" s="154" t="n">
        <f aca="false">40000+50000+50000+50000+50000+50000+150000+150000</f>
        <v>590000</v>
      </c>
      <c r="E68" s="156" t="n">
        <f aca="false">C68-D68</f>
        <v>225000</v>
      </c>
    </row>
    <row r="69" customFormat="false" ht="15" hidden="false" customHeight="false" outlineLevel="0" collapsed="false">
      <c r="A69" s="152" t="n">
        <v>9</v>
      </c>
      <c r="B69" s="163" t="s">
        <v>739</v>
      </c>
      <c r="C69" s="154" t="n">
        <v>815000</v>
      </c>
      <c r="D69" s="154" t="n">
        <f aca="false">200000+615000</f>
        <v>815000</v>
      </c>
      <c r="E69" s="156" t="n">
        <f aca="false">C69-D69</f>
        <v>0</v>
      </c>
    </row>
    <row r="70" customFormat="false" ht="15" hidden="false" customHeight="false" outlineLevel="0" collapsed="false">
      <c r="A70" s="152" t="n">
        <v>10</v>
      </c>
      <c r="B70" s="163" t="s">
        <v>740</v>
      </c>
      <c r="C70" s="154" t="n">
        <v>815000</v>
      </c>
      <c r="D70" s="154" t="n">
        <f aca="false">195000+150000+200000+270000</f>
        <v>815000</v>
      </c>
      <c r="E70" s="156" t="n">
        <f aca="false">C70-D70</f>
        <v>0</v>
      </c>
    </row>
    <row r="71" customFormat="false" ht="15" hidden="false" customHeight="false" outlineLevel="0" collapsed="false">
      <c r="A71" s="152" t="n">
        <v>11</v>
      </c>
      <c r="B71" s="163" t="s">
        <v>741</v>
      </c>
      <c r="C71" s="164" t="s">
        <v>128</v>
      </c>
      <c r="D71" s="164"/>
      <c r="E71" s="165" t="s">
        <v>128</v>
      </c>
    </row>
    <row r="72" customFormat="false" ht="15" hidden="false" customHeight="false" outlineLevel="0" collapsed="false">
      <c r="A72" s="152" t="n">
        <v>12</v>
      </c>
      <c r="B72" s="163" t="s">
        <v>742</v>
      </c>
      <c r="C72" s="154" t="n">
        <v>815000</v>
      </c>
      <c r="D72" s="154"/>
      <c r="E72" s="156" t="n">
        <f aca="false">C72-D72</f>
        <v>815000</v>
      </c>
    </row>
    <row r="73" customFormat="false" ht="15" hidden="false" customHeight="false" outlineLevel="0" collapsed="false">
      <c r="A73" s="152" t="n">
        <v>13</v>
      </c>
      <c r="B73" s="163" t="s">
        <v>743</v>
      </c>
      <c r="C73" s="154" t="n">
        <v>815000</v>
      </c>
      <c r="D73" s="154"/>
      <c r="E73" s="156" t="n">
        <f aca="false">C73-D73</f>
        <v>815000</v>
      </c>
    </row>
    <row r="74" customFormat="false" ht="15" hidden="false" customHeight="false" outlineLevel="0" collapsed="false">
      <c r="A74" s="152" t="n">
        <v>14</v>
      </c>
      <c r="B74" s="163" t="s">
        <v>744</v>
      </c>
      <c r="C74" s="154" t="n">
        <v>815000</v>
      </c>
      <c r="D74" s="154" t="n">
        <f aca="false">500000+100000+215000</f>
        <v>815000</v>
      </c>
      <c r="E74" s="156" t="n">
        <f aca="false">C74-D74</f>
        <v>0</v>
      </c>
    </row>
    <row r="75" customFormat="false" ht="15" hidden="false" customHeight="false" outlineLevel="0" collapsed="false">
      <c r="A75" s="152" t="n">
        <v>15</v>
      </c>
      <c r="B75" s="163" t="s">
        <v>745</v>
      </c>
      <c r="C75" s="154" t="n">
        <v>815000</v>
      </c>
      <c r="D75" s="154"/>
      <c r="E75" s="156" t="n">
        <f aca="false">C75-D75</f>
        <v>815000</v>
      </c>
    </row>
    <row r="76" customFormat="false" ht="15" hidden="false" customHeight="false" outlineLevel="0" collapsed="false">
      <c r="A76" s="152" t="n">
        <v>16</v>
      </c>
      <c r="B76" s="163" t="s">
        <v>746</v>
      </c>
      <c r="C76" s="154" t="n">
        <v>815000</v>
      </c>
      <c r="D76" s="154" t="n">
        <f aca="false">80000+100000+200000+50000+385000</f>
        <v>815000</v>
      </c>
      <c r="E76" s="156" t="n">
        <f aca="false">C76-D76</f>
        <v>0</v>
      </c>
    </row>
    <row r="77" customFormat="false" ht="15" hidden="false" customHeight="false" outlineLevel="0" collapsed="false">
      <c r="A77" s="152" t="n">
        <v>17</v>
      </c>
      <c r="B77" s="163" t="s">
        <v>747</v>
      </c>
      <c r="C77" s="154" t="n">
        <v>815000</v>
      </c>
      <c r="D77" s="154"/>
      <c r="E77" s="156" t="n">
        <f aca="false">C77-D77</f>
        <v>815000</v>
      </c>
    </row>
    <row r="78" customFormat="false" ht="15" hidden="false" customHeight="false" outlineLevel="0" collapsed="false">
      <c r="A78" s="152" t="n">
        <v>18</v>
      </c>
      <c r="B78" s="163" t="s">
        <v>748</v>
      </c>
      <c r="C78" s="154" t="n">
        <v>815000</v>
      </c>
      <c r="D78" s="154" t="n">
        <f aca="false">400000+415000</f>
        <v>815000</v>
      </c>
      <c r="E78" s="156" t="n">
        <f aca="false">C78-D78</f>
        <v>0</v>
      </c>
    </row>
    <row r="79" customFormat="false" ht="15" hidden="false" customHeight="false" outlineLevel="0" collapsed="false">
      <c r="A79" s="152" t="n">
        <v>19</v>
      </c>
      <c r="B79" s="163" t="s">
        <v>749</v>
      </c>
      <c r="C79" s="154" t="n">
        <v>815000</v>
      </c>
      <c r="D79" s="154" t="n">
        <v>815000</v>
      </c>
      <c r="E79" s="156" t="n">
        <f aca="false">C79-D79</f>
        <v>0</v>
      </c>
    </row>
    <row r="80" customFormat="false" ht="15" hidden="false" customHeight="false" outlineLevel="0" collapsed="false">
      <c r="A80" s="152" t="n">
        <v>20</v>
      </c>
      <c r="B80" s="163" t="s">
        <v>750</v>
      </c>
      <c r="C80" s="154" t="n">
        <v>815000</v>
      </c>
      <c r="D80" s="154" t="n">
        <f aca="false">400000+415000</f>
        <v>815000</v>
      </c>
      <c r="E80" s="156" t="n">
        <f aca="false">C80-D80</f>
        <v>0</v>
      </c>
    </row>
    <row r="81" customFormat="false" ht="15" hidden="false" customHeight="false" outlineLevel="0" collapsed="false">
      <c r="A81" s="152" t="n">
        <v>21</v>
      </c>
      <c r="B81" s="163" t="s">
        <v>751</v>
      </c>
      <c r="C81" s="154" t="n">
        <v>815000</v>
      </c>
      <c r="D81" s="154" t="n">
        <f aca="false">315000+200000+300000</f>
        <v>815000</v>
      </c>
      <c r="E81" s="156" t="n">
        <f aca="false">C81-D81</f>
        <v>0</v>
      </c>
    </row>
    <row r="82" customFormat="false" ht="15" hidden="false" customHeight="false" outlineLevel="0" collapsed="false">
      <c r="A82" s="152" t="n">
        <v>22</v>
      </c>
      <c r="B82" s="163" t="s">
        <v>752</v>
      </c>
      <c r="C82" s="154" t="n">
        <v>815000</v>
      </c>
      <c r="D82" s="154" t="n">
        <f aca="false">150000+150000+200000+115000+200000</f>
        <v>815000</v>
      </c>
      <c r="E82" s="156" t="n">
        <f aca="false">C82-D82</f>
        <v>0</v>
      </c>
    </row>
    <row r="83" customFormat="false" ht="15" hidden="false" customHeight="false" outlineLevel="0" collapsed="false">
      <c r="A83" s="152" t="n">
        <v>23</v>
      </c>
      <c r="B83" s="163" t="s">
        <v>753</v>
      </c>
      <c r="C83" s="154" t="n">
        <v>815000</v>
      </c>
      <c r="D83" s="154" t="n">
        <v>815000</v>
      </c>
      <c r="E83" s="156" t="n">
        <f aca="false">C83-D83</f>
        <v>0</v>
      </c>
    </row>
    <row r="84" customFormat="false" ht="15" hidden="false" customHeight="false" outlineLevel="0" collapsed="false">
      <c r="A84" s="152" t="n">
        <v>24</v>
      </c>
      <c r="B84" s="163" t="s">
        <v>754</v>
      </c>
      <c r="C84" s="154" t="n">
        <v>815000</v>
      </c>
      <c r="D84" s="154" t="n">
        <v>815000</v>
      </c>
      <c r="E84" s="156" t="n">
        <f aca="false">C84-D84</f>
        <v>0</v>
      </c>
    </row>
    <row r="85" customFormat="false" ht="15" hidden="false" customHeight="false" outlineLevel="0" collapsed="false">
      <c r="A85" s="152" t="n">
        <v>25</v>
      </c>
      <c r="B85" s="163" t="s">
        <v>755</v>
      </c>
      <c r="C85" s="154" t="n">
        <v>815000</v>
      </c>
      <c r="D85" s="154" t="n">
        <f aca="false">500000+315000</f>
        <v>815000</v>
      </c>
      <c r="E85" s="156" t="n">
        <f aca="false">C85-D85</f>
        <v>0</v>
      </c>
    </row>
    <row r="86" customFormat="false" ht="15" hidden="false" customHeight="false" outlineLevel="0" collapsed="false">
      <c r="A86" s="152" t="n">
        <v>26</v>
      </c>
      <c r="B86" s="163" t="s">
        <v>756</v>
      </c>
      <c r="C86" s="154" t="n">
        <v>815000</v>
      </c>
      <c r="D86" s="154"/>
      <c r="E86" s="156" t="n">
        <f aca="false">C86-D86</f>
        <v>815000</v>
      </c>
    </row>
    <row r="87" customFormat="false" ht="15" hidden="false" customHeight="false" outlineLevel="0" collapsed="false">
      <c r="A87" s="152" t="n">
        <v>27</v>
      </c>
      <c r="B87" s="163" t="s">
        <v>757</v>
      </c>
      <c r="C87" s="154" t="n">
        <v>815000</v>
      </c>
      <c r="D87" s="154"/>
      <c r="E87" s="156" t="n">
        <f aca="false">C87-D87</f>
        <v>815000</v>
      </c>
    </row>
    <row r="88" customFormat="false" ht="15" hidden="false" customHeight="false" outlineLevel="0" collapsed="false">
      <c r="A88" s="152" t="n">
        <v>28</v>
      </c>
      <c r="B88" s="163" t="s">
        <v>758</v>
      </c>
      <c r="C88" s="154" t="n">
        <v>815000</v>
      </c>
      <c r="D88" s="154" t="n">
        <f aca="false">600000+215000</f>
        <v>815000</v>
      </c>
      <c r="E88" s="156" t="n">
        <f aca="false">C88-D88</f>
        <v>0</v>
      </c>
    </row>
    <row r="89" customFormat="false" ht="15" hidden="false" customHeight="false" outlineLevel="0" collapsed="false">
      <c r="A89" s="152" t="n">
        <v>29</v>
      </c>
      <c r="B89" s="163" t="s">
        <v>759</v>
      </c>
      <c r="C89" s="154" t="n">
        <v>815000</v>
      </c>
      <c r="D89" s="154" t="n">
        <f aca="false">815000</f>
        <v>815000</v>
      </c>
      <c r="E89" s="156" t="n">
        <f aca="false">C89-D89</f>
        <v>0</v>
      </c>
    </row>
    <row r="90" customFormat="false" ht="15" hidden="false" customHeight="false" outlineLevel="0" collapsed="false">
      <c r="A90" s="152" t="n">
        <v>30</v>
      </c>
      <c r="B90" s="163" t="s">
        <v>760</v>
      </c>
      <c r="C90" s="154" t="n">
        <v>815000</v>
      </c>
      <c r="D90" s="154"/>
      <c r="E90" s="156" t="n">
        <f aca="false">C90-D90</f>
        <v>815000</v>
      </c>
    </row>
    <row r="91" customFormat="false" ht="15" hidden="false" customHeight="false" outlineLevel="0" collapsed="false">
      <c r="A91" s="152" t="n">
        <v>31</v>
      </c>
      <c r="B91" s="163" t="s">
        <v>761</v>
      </c>
      <c r="C91" s="154" t="n">
        <v>815000</v>
      </c>
      <c r="D91" s="154" t="n">
        <v>815000</v>
      </c>
      <c r="E91" s="156" t="n">
        <f aca="false">C91-D91</f>
        <v>0</v>
      </c>
    </row>
    <row r="92" customFormat="false" ht="15" hidden="false" customHeight="false" outlineLevel="0" collapsed="false">
      <c r="A92" s="152" t="n">
        <v>32</v>
      </c>
      <c r="B92" s="163" t="s">
        <v>762</v>
      </c>
      <c r="C92" s="154" t="n">
        <v>815000</v>
      </c>
      <c r="D92" s="154" t="n">
        <f aca="false">50000+400000+100000+200000+65000</f>
        <v>815000</v>
      </c>
      <c r="E92" s="156" t="n">
        <f aca="false">C92-D92</f>
        <v>0</v>
      </c>
    </row>
    <row r="93" customFormat="false" ht="15" hidden="false" customHeight="false" outlineLevel="0" collapsed="false">
      <c r="A93" s="152" t="n">
        <v>33</v>
      </c>
      <c r="B93" s="163" t="s">
        <v>763</v>
      </c>
      <c r="C93" s="154" t="n">
        <v>815000</v>
      </c>
      <c r="D93" s="154" t="n">
        <v>815000</v>
      </c>
      <c r="E93" s="156" t="n">
        <f aca="false">C93-D93</f>
        <v>0</v>
      </c>
    </row>
    <row r="94" customFormat="false" ht="15" hidden="false" customHeight="false" outlineLevel="0" collapsed="false">
      <c r="A94" s="152" t="n">
        <v>34</v>
      </c>
      <c r="B94" s="163" t="s">
        <v>764</v>
      </c>
      <c r="C94" s="154" t="n">
        <v>815000</v>
      </c>
      <c r="D94" s="154" t="n">
        <f aca="false">500000+200000+115000</f>
        <v>815000</v>
      </c>
      <c r="E94" s="156" t="n">
        <f aca="false">C94-D94</f>
        <v>0</v>
      </c>
    </row>
    <row r="95" customFormat="false" ht="15" hidden="false" customHeight="false" outlineLevel="0" collapsed="false">
      <c r="A95" s="152" t="n">
        <v>35</v>
      </c>
      <c r="B95" s="163" t="s">
        <v>765</v>
      </c>
      <c r="C95" s="154" t="n">
        <v>225000</v>
      </c>
      <c r="D95" s="154" t="n">
        <f aca="false">225000</f>
        <v>225000</v>
      </c>
      <c r="E95" s="156" t="n">
        <f aca="false">C95-D95</f>
        <v>0</v>
      </c>
    </row>
    <row r="96" customFormat="false" ht="15" hidden="false" customHeight="false" outlineLevel="0" collapsed="false">
      <c r="A96" s="152" t="n">
        <v>36</v>
      </c>
      <c r="B96" s="163" t="s">
        <v>766</v>
      </c>
      <c r="C96" s="154" t="n">
        <v>815000</v>
      </c>
      <c r="D96" s="154" t="n">
        <v>815000</v>
      </c>
      <c r="E96" s="156" t="n">
        <f aca="false">C96-D96</f>
        <v>0</v>
      </c>
    </row>
    <row r="97" customFormat="false" ht="15" hidden="false" customHeight="false" outlineLevel="0" collapsed="false">
      <c r="A97" s="152" t="n">
        <v>37</v>
      </c>
      <c r="B97" s="163" t="s">
        <v>767</v>
      </c>
      <c r="C97" s="154" t="n">
        <v>815000</v>
      </c>
      <c r="D97" s="154" t="n">
        <v>815000</v>
      </c>
      <c r="E97" s="156" t="n">
        <f aca="false">C97-D97</f>
        <v>0</v>
      </c>
    </row>
    <row r="98" customFormat="false" ht="15" hidden="false" customHeight="false" outlineLevel="0" collapsed="false">
      <c r="A98" s="152" t="n">
        <v>38</v>
      </c>
      <c r="B98" s="163" t="s">
        <v>768</v>
      </c>
      <c r="C98" s="154" t="n">
        <v>815000</v>
      </c>
      <c r="D98" s="154" t="n">
        <v>815000</v>
      </c>
      <c r="E98" s="156" t="n">
        <f aca="false">C98-D98</f>
        <v>0</v>
      </c>
    </row>
    <row r="99" customFormat="false" ht="15" hidden="false" customHeight="false" outlineLevel="0" collapsed="false">
      <c r="A99" s="152" t="n">
        <v>39</v>
      </c>
      <c r="B99" s="163" t="s">
        <v>769</v>
      </c>
      <c r="C99" s="154" t="n">
        <v>815000</v>
      </c>
      <c r="D99" s="154"/>
      <c r="E99" s="156" t="n">
        <f aca="false">C99-D99</f>
        <v>815000</v>
      </c>
    </row>
    <row r="100" customFormat="false" ht="15" hidden="false" customHeight="false" outlineLevel="0" collapsed="false">
      <c r="A100" s="152" t="n">
        <v>40</v>
      </c>
      <c r="B100" s="163" t="s">
        <v>770</v>
      </c>
      <c r="C100" s="154" t="n">
        <v>815000</v>
      </c>
      <c r="D100" s="154" t="n">
        <f aca="false">200000</f>
        <v>200000</v>
      </c>
      <c r="E100" s="156" t="n">
        <f aca="false">C100-D100</f>
        <v>615000</v>
      </c>
    </row>
    <row r="101" customFormat="false" ht="15" hidden="false" customHeight="false" outlineLevel="0" collapsed="false">
      <c r="A101" s="152" t="n">
        <v>41</v>
      </c>
      <c r="B101" s="163" t="s">
        <v>771</v>
      </c>
      <c r="C101" s="154" t="n">
        <v>815000</v>
      </c>
      <c r="D101" s="154" t="n">
        <f aca="false">50000+30000+35000+115000+50000+50000+30000+70000+90000+20000+130000+145000</f>
        <v>815000</v>
      </c>
      <c r="E101" s="156" t="n">
        <f aca="false">C101-D101</f>
        <v>0</v>
      </c>
    </row>
    <row r="102" customFormat="false" ht="16.5" hidden="false" customHeight="true" outlineLevel="0" collapsed="false">
      <c r="A102" s="152" t="n">
        <v>42</v>
      </c>
      <c r="B102" s="163" t="s">
        <v>772</v>
      </c>
      <c r="C102" s="154" t="n">
        <v>815000</v>
      </c>
      <c r="D102" s="166"/>
      <c r="E102" s="156" t="n">
        <f aca="false">C102-D102</f>
        <v>815000</v>
      </c>
    </row>
    <row r="103" customFormat="false" ht="19.7" hidden="false" customHeight="false" outlineLevel="0" collapsed="false">
      <c r="A103" s="158"/>
      <c r="B103" s="159" t="s">
        <v>22</v>
      </c>
      <c r="C103" s="167" t="n">
        <f aca="false">SUM(C61:C101)</f>
        <v>32010000</v>
      </c>
      <c r="D103" s="161" t="n">
        <f aca="false">SUM(D61:D101)</f>
        <v>23835000</v>
      </c>
      <c r="E103" s="162" t="n">
        <f aca="false">SUM(E61:E101)</f>
        <v>8175000</v>
      </c>
    </row>
    <row r="108" customFormat="false" ht="15" hidden="false" customHeight="false" outlineLevel="0" collapsed="false">
      <c r="B108" s="146" t="s">
        <v>773</v>
      </c>
    </row>
    <row r="109" customFormat="false" ht="17.35" hidden="false" customHeight="false" outlineLevel="0" collapsed="false">
      <c r="A109" s="2"/>
    </row>
    <row r="110" customFormat="false" ht="17.25" hidden="false" customHeight="false" outlineLevel="0" collapsed="false">
      <c r="B110" s="3" t="s">
        <v>774</v>
      </c>
    </row>
    <row r="112" customFormat="false" ht="15" hidden="false" customHeight="false" outlineLevel="0" collapsed="false">
      <c r="B112" s="148" t="s">
        <v>514</v>
      </c>
    </row>
    <row r="114" customFormat="false" ht="15" hidden="false" customHeight="false" outlineLevel="0" collapsed="false">
      <c r="A114" s="149" t="s">
        <v>5</v>
      </c>
      <c r="B114" s="150" t="s">
        <v>6</v>
      </c>
      <c r="C114" s="8" t="s">
        <v>7</v>
      </c>
      <c r="D114" s="151" t="s">
        <v>8</v>
      </c>
      <c r="E114" s="93" t="s">
        <v>9</v>
      </c>
    </row>
    <row r="115" customFormat="false" ht="15" hidden="false" customHeight="false" outlineLevel="0" collapsed="false">
      <c r="A115" s="152" t="n">
        <v>1</v>
      </c>
      <c r="B115" s="157" t="s">
        <v>775</v>
      </c>
      <c r="C115" s="154" t="n">
        <v>815000</v>
      </c>
      <c r="D115" s="154" t="n">
        <f aca="false">100000+115000+100000+100000+400000</f>
        <v>815000</v>
      </c>
      <c r="E115" s="156" t="n">
        <f aca="false">C115-D115</f>
        <v>0</v>
      </c>
    </row>
    <row r="116" customFormat="false" ht="15" hidden="false" customHeight="false" outlineLevel="0" collapsed="false">
      <c r="A116" s="152" t="n">
        <v>2</v>
      </c>
      <c r="B116" s="157" t="s">
        <v>776</v>
      </c>
      <c r="C116" s="154" t="n">
        <v>815000</v>
      </c>
      <c r="D116" s="154" t="n">
        <f aca="false">500000+315000</f>
        <v>815000</v>
      </c>
      <c r="E116" s="156" t="n">
        <f aca="false">C116-D116</f>
        <v>0</v>
      </c>
    </row>
    <row r="117" customFormat="false" ht="15" hidden="false" customHeight="false" outlineLevel="0" collapsed="false">
      <c r="A117" s="152" t="n">
        <v>3</v>
      </c>
      <c r="B117" s="157" t="s">
        <v>777</v>
      </c>
      <c r="C117" s="154" t="n">
        <v>815000</v>
      </c>
      <c r="D117" s="154" t="n">
        <f aca="false">200000+100000+200000+100000</f>
        <v>600000</v>
      </c>
      <c r="E117" s="156" t="n">
        <f aca="false">C117-D117</f>
        <v>215000</v>
      </c>
    </row>
    <row r="118" customFormat="false" ht="15" hidden="false" customHeight="false" outlineLevel="0" collapsed="false">
      <c r="A118" s="152" t="n">
        <v>4</v>
      </c>
      <c r="B118" s="157" t="s">
        <v>778</v>
      </c>
      <c r="C118" s="154" t="n">
        <v>815000</v>
      </c>
      <c r="D118" s="154" t="n">
        <f aca="false">100000+100000+415000+200000</f>
        <v>815000</v>
      </c>
      <c r="E118" s="156" t="n">
        <f aca="false">C118-D118</f>
        <v>0</v>
      </c>
    </row>
    <row r="119" customFormat="false" ht="15" hidden="false" customHeight="false" outlineLevel="0" collapsed="false">
      <c r="A119" s="152" t="n">
        <v>5</v>
      </c>
      <c r="B119" s="157" t="s">
        <v>779</v>
      </c>
      <c r="C119" s="154" t="n">
        <v>815000</v>
      </c>
      <c r="D119" s="154" t="n">
        <f aca="false">250000+200000+115000+250000</f>
        <v>815000</v>
      </c>
      <c r="E119" s="156" t="n">
        <f aca="false">C119-D119</f>
        <v>0</v>
      </c>
    </row>
    <row r="120" customFormat="false" ht="15" hidden="false" customHeight="false" outlineLevel="0" collapsed="false">
      <c r="A120" s="152" t="n">
        <v>6</v>
      </c>
      <c r="B120" s="157" t="s">
        <v>780</v>
      </c>
      <c r="C120" s="154" t="n">
        <v>815000</v>
      </c>
      <c r="D120" s="154" t="n">
        <f aca="false">500000+315000</f>
        <v>815000</v>
      </c>
      <c r="E120" s="156" t="n">
        <f aca="false">C120-D120</f>
        <v>0</v>
      </c>
    </row>
    <row r="121" customFormat="false" ht="15" hidden="false" customHeight="false" outlineLevel="0" collapsed="false">
      <c r="A121" s="152" t="n">
        <v>7</v>
      </c>
      <c r="B121" s="157" t="s">
        <v>781</v>
      </c>
      <c r="C121" s="154" t="n">
        <v>815000</v>
      </c>
      <c r="D121" s="154" t="n">
        <f aca="false">615000+200000</f>
        <v>815000</v>
      </c>
      <c r="E121" s="156" t="n">
        <f aca="false">C121-D121</f>
        <v>0</v>
      </c>
    </row>
    <row r="122" customFormat="false" ht="15" hidden="false" customHeight="false" outlineLevel="0" collapsed="false">
      <c r="A122" s="152" t="n">
        <v>8</v>
      </c>
      <c r="B122" s="168" t="s">
        <v>782</v>
      </c>
      <c r="C122" s="169" t="n">
        <v>815000</v>
      </c>
      <c r="D122" s="169" t="n">
        <f aca="false">115000+90000+50000+85000+100000+150000+95000+100000</f>
        <v>785000</v>
      </c>
      <c r="E122" s="170" t="n">
        <f aca="false">C122-D122</f>
        <v>30000</v>
      </c>
    </row>
    <row r="123" customFormat="false" ht="15" hidden="false" customHeight="false" outlineLevel="0" collapsed="false">
      <c r="A123" s="152" t="n">
        <v>9</v>
      </c>
      <c r="B123" s="157" t="s">
        <v>783</v>
      </c>
      <c r="C123" s="154" t="n">
        <v>815000</v>
      </c>
      <c r="D123" s="154" t="n">
        <f aca="false">400000+100000+100000+215000</f>
        <v>815000</v>
      </c>
      <c r="E123" s="156" t="n">
        <f aca="false">C123-D123</f>
        <v>0</v>
      </c>
    </row>
    <row r="124" customFormat="false" ht="15" hidden="false" customHeight="false" outlineLevel="0" collapsed="false">
      <c r="A124" s="152" t="n">
        <v>10</v>
      </c>
      <c r="B124" s="157" t="s">
        <v>784</v>
      </c>
      <c r="C124" s="154" t="n">
        <v>815000</v>
      </c>
      <c r="D124" s="154" t="n">
        <f aca="false">315000+500000</f>
        <v>815000</v>
      </c>
      <c r="E124" s="156" t="n">
        <f aca="false">C124-D124</f>
        <v>0</v>
      </c>
    </row>
    <row r="125" customFormat="false" ht="15" hidden="false" customHeight="false" outlineLevel="0" collapsed="false">
      <c r="A125" s="152" t="n">
        <v>11</v>
      </c>
      <c r="B125" s="157" t="s">
        <v>785</v>
      </c>
      <c r="C125" s="154" t="n">
        <v>815000</v>
      </c>
      <c r="D125" s="154" t="n">
        <f aca="false">400000+415000</f>
        <v>815000</v>
      </c>
      <c r="E125" s="156" t="n">
        <f aca="false">C125-D125</f>
        <v>0</v>
      </c>
    </row>
    <row r="126" customFormat="false" ht="15" hidden="false" customHeight="false" outlineLevel="0" collapsed="false">
      <c r="A126" s="152" t="n">
        <v>12</v>
      </c>
      <c r="B126" s="157" t="s">
        <v>786</v>
      </c>
      <c r="C126" s="154" t="n">
        <v>815000</v>
      </c>
      <c r="D126" s="154" t="n">
        <f aca="false">200000+400000+100000+115000</f>
        <v>815000</v>
      </c>
      <c r="E126" s="156" t="n">
        <f aca="false">C126-D126</f>
        <v>0</v>
      </c>
    </row>
    <row r="127" customFormat="false" ht="15" hidden="false" customHeight="false" outlineLevel="0" collapsed="false">
      <c r="A127" s="152" t="n">
        <v>13</v>
      </c>
      <c r="B127" s="163" t="s">
        <v>787</v>
      </c>
      <c r="C127" s="154" t="n">
        <v>815000</v>
      </c>
      <c r="D127" s="154" t="n">
        <f aca="false">315000+500000</f>
        <v>815000</v>
      </c>
      <c r="E127" s="156" t="n">
        <f aca="false">C127-D127</f>
        <v>0</v>
      </c>
    </row>
    <row r="128" customFormat="false" ht="15" hidden="false" customHeight="false" outlineLevel="0" collapsed="false">
      <c r="A128" s="152" t="n">
        <v>14</v>
      </c>
      <c r="B128" s="157" t="s">
        <v>788</v>
      </c>
      <c r="C128" s="154" t="n">
        <v>815000</v>
      </c>
      <c r="D128" s="154" t="n">
        <f aca="false">500000+100000+215000</f>
        <v>815000</v>
      </c>
      <c r="E128" s="156" t="n">
        <f aca="false">C128-D128</f>
        <v>0</v>
      </c>
    </row>
    <row r="129" customFormat="false" ht="15" hidden="false" customHeight="false" outlineLevel="0" collapsed="false">
      <c r="A129" s="152" t="n">
        <v>15</v>
      </c>
      <c r="B129" s="157" t="s">
        <v>789</v>
      </c>
      <c r="C129" s="154" t="n">
        <v>815000</v>
      </c>
      <c r="D129" s="154" t="n">
        <f aca="false">200000+100000+200000+315000</f>
        <v>815000</v>
      </c>
      <c r="E129" s="156" t="n">
        <f aca="false">C129-D129</f>
        <v>0</v>
      </c>
    </row>
    <row r="130" customFormat="false" ht="15" hidden="false" customHeight="false" outlineLevel="0" collapsed="false">
      <c r="A130" s="152" t="n">
        <v>16</v>
      </c>
      <c r="B130" s="157" t="s">
        <v>790</v>
      </c>
      <c r="C130" s="154" t="n">
        <v>815000</v>
      </c>
      <c r="D130" s="154" t="n">
        <f aca="false">200000+300000+315000</f>
        <v>815000</v>
      </c>
      <c r="E130" s="156" t="n">
        <f aca="false">C130-D130</f>
        <v>0</v>
      </c>
    </row>
    <row r="131" customFormat="false" ht="15" hidden="false" customHeight="false" outlineLevel="0" collapsed="false">
      <c r="A131" s="152" t="n">
        <v>17</v>
      </c>
      <c r="B131" s="157" t="s">
        <v>791</v>
      </c>
      <c r="C131" s="154" t="n">
        <v>815000</v>
      </c>
      <c r="D131" s="154" t="n">
        <f aca="false">100000+100000+100000+200000+100000+115000+100000</f>
        <v>815000</v>
      </c>
      <c r="E131" s="156" t="n">
        <f aca="false">C131-D131</f>
        <v>0</v>
      </c>
    </row>
    <row r="132" customFormat="false" ht="15" hidden="false" customHeight="false" outlineLevel="0" collapsed="false">
      <c r="A132" s="152" t="n">
        <v>18</v>
      </c>
      <c r="B132" s="157" t="s">
        <v>792</v>
      </c>
      <c r="C132" s="154" t="n">
        <v>815000</v>
      </c>
      <c r="D132" s="154" t="n">
        <f aca="false">615000+200000</f>
        <v>815000</v>
      </c>
      <c r="E132" s="156" t="n">
        <f aca="false">C132-D132</f>
        <v>0</v>
      </c>
    </row>
    <row r="133" customFormat="false" ht="15" hidden="false" customHeight="false" outlineLevel="0" collapsed="false">
      <c r="A133" s="152" t="n">
        <v>19</v>
      </c>
      <c r="B133" s="171" t="s">
        <v>793</v>
      </c>
      <c r="C133" s="154" t="n">
        <v>815000</v>
      </c>
      <c r="D133" s="154" t="n">
        <f aca="false">200000+80000+535000</f>
        <v>815000</v>
      </c>
      <c r="E133" s="156" t="n">
        <f aca="false">C133-D133</f>
        <v>0</v>
      </c>
    </row>
    <row r="134" customFormat="false" ht="15" hidden="false" customHeight="false" outlineLevel="0" collapsed="false">
      <c r="A134" s="152" t="n">
        <v>20</v>
      </c>
      <c r="B134" s="157" t="s">
        <v>794</v>
      </c>
      <c r="C134" s="154" t="n">
        <v>815000</v>
      </c>
      <c r="D134" s="154" t="n">
        <f aca="false">300000+200000+265000+50000</f>
        <v>815000</v>
      </c>
      <c r="E134" s="156" t="n">
        <f aca="false">C134-D134</f>
        <v>0</v>
      </c>
    </row>
    <row r="135" customFormat="false" ht="15" hidden="false" customHeight="false" outlineLevel="0" collapsed="false">
      <c r="A135" s="152" t="n">
        <v>21</v>
      </c>
      <c r="B135" s="157" t="s">
        <v>795</v>
      </c>
      <c r="C135" s="154" t="n">
        <v>815000</v>
      </c>
      <c r="D135" s="154" t="n">
        <f aca="false">500000+100000+215000</f>
        <v>815000</v>
      </c>
      <c r="E135" s="156" t="n">
        <f aca="false">C135-D135</f>
        <v>0</v>
      </c>
    </row>
    <row r="136" customFormat="false" ht="19.7" hidden="false" customHeight="false" outlineLevel="0" collapsed="false">
      <c r="A136" s="158"/>
      <c r="B136" s="159" t="s">
        <v>22</v>
      </c>
      <c r="C136" s="167" t="n">
        <f aca="false">SUM(C115:C135)</f>
        <v>17115000</v>
      </c>
      <c r="D136" s="161" t="n">
        <f aca="false">SUM(D115:D135)</f>
        <v>16870000</v>
      </c>
      <c r="E136" s="162" t="n">
        <f aca="false">SUM(E115:E135)</f>
        <v>245000</v>
      </c>
    </row>
    <row r="142" customFormat="false" ht="17.35" hidden="false" customHeight="false" outlineLevel="0" collapsed="false">
      <c r="A142" s="2"/>
      <c r="B142" s="2" t="s">
        <v>730</v>
      </c>
    </row>
    <row r="144" customFormat="false" ht="17.25" hidden="false" customHeight="false" outlineLevel="0" collapsed="false">
      <c r="B144" s="3" t="s">
        <v>796</v>
      </c>
    </row>
    <row r="146" customFormat="false" ht="17.35" hidden="false" customHeight="false" outlineLevel="0" collapsed="false">
      <c r="B146" s="172"/>
    </row>
    <row r="147" customFormat="false" ht="15" hidden="false" customHeight="false" outlineLevel="0" collapsed="false">
      <c r="B147" s="4" t="s">
        <v>797</v>
      </c>
    </row>
    <row r="149" customFormat="false" ht="15" hidden="false" customHeight="false" outlineLevel="0" collapsed="false">
      <c r="A149" s="149" t="s">
        <v>5</v>
      </c>
      <c r="B149" s="150" t="s">
        <v>6</v>
      </c>
      <c r="C149" s="8" t="s">
        <v>7</v>
      </c>
      <c r="D149" s="151" t="s">
        <v>8</v>
      </c>
      <c r="E149" s="93" t="s">
        <v>9</v>
      </c>
    </row>
    <row r="150" customFormat="false" ht="15" hidden="false" customHeight="false" outlineLevel="0" collapsed="false">
      <c r="A150" s="152" t="n">
        <v>1</v>
      </c>
      <c r="B150" s="171" t="s">
        <v>798</v>
      </c>
      <c r="C150" s="154" t="n">
        <v>425000</v>
      </c>
      <c r="D150" s="154" t="n">
        <f aca="false">425000</f>
        <v>425000</v>
      </c>
      <c r="E150" s="156" t="n">
        <f aca="false">C150-D150</f>
        <v>0</v>
      </c>
    </row>
    <row r="151" customFormat="false" ht="15" hidden="false" customHeight="false" outlineLevel="0" collapsed="false">
      <c r="A151" s="152" t="n">
        <v>2</v>
      </c>
      <c r="B151" s="171" t="s">
        <v>799</v>
      </c>
      <c r="C151" s="154" t="n">
        <v>425000</v>
      </c>
      <c r="D151" s="154" t="n">
        <f aca="false">425000</f>
        <v>425000</v>
      </c>
      <c r="E151" s="156" t="n">
        <f aca="false">C151-D151</f>
        <v>0</v>
      </c>
    </row>
    <row r="152" customFormat="false" ht="15" hidden="false" customHeight="false" outlineLevel="0" collapsed="false">
      <c r="A152" s="152" t="n">
        <v>3</v>
      </c>
      <c r="B152" s="171" t="s">
        <v>800</v>
      </c>
      <c r="C152" s="154" t="n">
        <v>425000</v>
      </c>
      <c r="D152" s="154" t="n">
        <f aca="false">425000</f>
        <v>425000</v>
      </c>
      <c r="E152" s="156" t="n">
        <f aca="false">C152-D152</f>
        <v>0</v>
      </c>
    </row>
    <row r="153" customFormat="false" ht="15" hidden="false" customHeight="false" outlineLevel="0" collapsed="false">
      <c r="A153" s="152" t="n">
        <v>4</v>
      </c>
      <c r="B153" s="171" t="s">
        <v>801</v>
      </c>
      <c r="C153" s="154" t="n">
        <v>425000</v>
      </c>
      <c r="D153" s="154" t="n">
        <v>425000</v>
      </c>
      <c r="E153" s="156" t="n">
        <f aca="false">C153-D153</f>
        <v>0</v>
      </c>
    </row>
    <row r="154" customFormat="false" ht="15" hidden="false" customHeight="false" outlineLevel="0" collapsed="false">
      <c r="A154" s="152" t="n">
        <v>5</v>
      </c>
      <c r="B154" s="171" t="s">
        <v>802</v>
      </c>
      <c r="C154" s="154" t="n">
        <v>425000</v>
      </c>
      <c r="D154" s="154" t="n">
        <f aca="false">425000</f>
        <v>425000</v>
      </c>
      <c r="E154" s="156" t="n">
        <f aca="false">C154-D154</f>
        <v>0</v>
      </c>
    </row>
    <row r="155" customFormat="false" ht="15" hidden="false" customHeight="false" outlineLevel="0" collapsed="false">
      <c r="A155" s="152" t="n">
        <v>6</v>
      </c>
      <c r="B155" s="171" t="s">
        <v>803</v>
      </c>
      <c r="C155" s="154" t="n">
        <v>425000</v>
      </c>
      <c r="D155" s="154" t="n">
        <v>425000</v>
      </c>
      <c r="E155" s="156" t="n">
        <f aca="false">C155-D155</f>
        <v>0</v>
      </c>
    </row>
    <row r="156" customFormat="false" ht="15" hidden="false" customHeight="false" outlineLevel="0" collapsed="false">
      <c r="A156" s="152" t="n">
        <v>7</v>
      </c>
      <c r="B156" s="171" t="s">
        <v>804</v>
      </c>
      <c r="C156" s="154" t="n">
        <v>425000</v>
      </c>
      <c r="D156" s="154" t="n">
        <v>425000</v>
      </c>
      <c r="E156" s="156" t="n">
        <f aca="false">C156-D156</f>
        <v>0</v>
      </c>
    </row>
    <row r="157" customFormat="false" ht="15" hidden="false" customHeight="false" outlineLevel="0" collapsed="false">
      <c r="A157" s="152" t="n">
        <v>8</v>
      </c>
      <c r="B157" s="171" t="s">
        <v>805</v>
      </c>
      <c r="C157" s="154" t="n">
        <v>425000</v>
      </c>
      <c r="D157" s="154" t="n">
        <f aca="false">300000+125000</f>
        <v>425000</v>
      </c>
      <c r="E157" s="156" t="n">
        <f aca="false">C157-D157</f>
        <v>0</v>
      </c>
    </row>
    <row r="158" customFormat="false" ht="15" hidden="false" customHeight="false" outlineLevel="0" collapsed="false">
      <c r="A158" s="152" t="n">
        <v>9</v>
      </c>
      <c r="B158" s="171" t="s">
        <v>806</v>
      </c>
      <c r="C158" s="154" t="n">
        <v>425000</v>
      </c>
      <c r="D158" s="154" t="n">
        <v>425000</v>
      </c>
      <c r="E158" s="156" t="n">
        <f aca="false">C158-D158</f>
        <v>0</v>
      </c>
    </row>
    <row r="159" customFormat="false" ht="15" hidden="false" customHeight="false" outlineLevel="0" collapsed="false">
      <c r="A159" s="152" t="n">
        <v>10</v>
      </c>
      <c r="B159" s="171" t="s">
        <v>807</v>
      </c>
      <c r="C159" s="154" t="n">
        <v>425000</v>
      </c>
      <c r="D159" s="154" t="n">
        <f aca="false">100000+325000</f>
        <v>425000</v>
      </c>
      <c r="E159" s="156" t="n">
        <f aca="false">C159-D159</f>
        <v>0</v>
      </c>
    </row>
    <row r="160" customFormat="false" ht="15" hidden="false" customHeight="false" outlineLevel="0" collapsed="false">
      <c r="A160" s="152" t="n">
        <v>11</v>
      </c>
      <c r="B160" s="171" t="s">
        <v>808</v>
      </c>
      <c r="C160" s="154" t="n">
        <v>425000</v>
      </c>
      <c r="D160" s="154" t="n">
        <f aca="false">100000+100000+100000+25000+100000</f>
        <v>425000</v>
      </c>
      <c r="E160" s="156" t="n">
        <f aca="false">C160-D160</f>
        <v>0</v>
      </c>
    </row>
    <row r="161" customFormat="false" ht="15" hidden="false" customHeight="false" outlineLevel="0" collapsed="false">
      <c r="A161" s="152" t="n">
        <v>12</v>
      </c>
      <c r="B161" s="171" t="s">
        <v>809</v>
      </c>
      <c r="C161" s="154" t="n">
        <v>425000</v>
      </c>
      <c r="D161" s="154" t="n">
        <f aca="false">250000+175000</f>
        <v>425000</v>
      </c>
      <c r="E161" s="156" t="n">
        <f aca="false">C161-D161</f>
        <v>0</v>
      </c>
    </row>
    <row r="162" customFormat="false" ht="15" hidden="false" customHeight="false" outlineLevel="0" collapsed="false">
      <c r="A162" s="152" t="n">
        <v>13</v>
      </c>
      <c r="B162" s="171" t="s">
        <v>810</v>
      </c>
      <c r="C162" s="154" t="n">
        <v>425000</v>
      </c>
      <c r="D162" s="154" t="n">
        <v>425000</v>
      </c>
      <c r="E162" s="156" t="n">
        <f aca="false">C162-D162</f>
        <v>0</v>
      </c>
    </row>
    <row r="163" customFormat="false" ht="15" hidden="false" customHeight="false" outlineLevel="0" collapsed="false">
      <c r="A163" s="152" t="n">
        <v>14</v>
      </c>
      <c r="B163" s="171" t="s">
        <v>811</v>
      </c>
      <c r="C163" s="154" t="n">
        <v>425000</v>
      </c>
      <c r="D163" s="154" t="n">
        <v>425000</v>
      </c>
      <c r="E163" s="156" t="n">
        <f aca="false">C163-D163</f>
        <v>0</v>
      </c>
    </row>
    <row r="164" customFormat="false" ht="15" hidden="false" customHeight="false" outlineLevel="0" collapsed="false">
      <c r="A164" s="152" t="n">
        <v>15</v>
      </c>
      <c r="B164" s="171" t="s">
        <v>812</v>
      </c>
      <c r="C164" s="154" t="n">
        <v>425000</v>
      </c>
      <c r="D164" s="154" t="n">
        <f aca="false">200000+115000+110000</f>
        <v>425000</v>
      </c>
      <c r="E164" s="156" t="n">
        <f aca="false">C164-D164</f>
        <v>0</v>
      </c>
    </row>
    <row r="165" customFormat="false" ht="15" hidden="false" customHeight="false" outlineLevel="0" collapsed="false">
      <c r="A165" s="152" t="n">
        <v>16</v>
      </c>
      <c r="B165" s="171" t="s">
        <v>813</v>
      </c>
      <c r="C165" s="154" t="n">
        <v>425000</v>
      </c>
      <c r="D165" s="154" t="n">
        <f aca="false">425000</f>
        <v>425000</v>
      </c>
      <c r="E165" s="156" t="n">
        <f aca="false">C165-D165</f>
        <v>0</v>
      </c>
    </row>
    <row r="166" customFormat="false" ht="15" hidden="false" customHeight="false" outlineLevel="0" collapsed="false">
      <c r="A166" s="152" t="n">
        <v>17</v>
      </c>
      <c r="B166" s="171" t="s">
        <v>814</v>
      </c>
      <c r="C166" s="154" t="n">
        <v>425000</v>
      </c>
      <c r="D166" s="154" t="n">
        <f aca="false">100000+225000+100000</f>
        <v>425000</v>
      </c>
      <c r="E166" s="156" t="n">
        <f aca="false">C166-D166</f>
        <v>0</v>
      </c>
    </row>
    <row r="167" customFormat="false" ht="15" hidden="false" customHeight="false" outlineLevel="0" collapsed="false">
      <c r="A167" s="152" t="n">
        <v>18</v>
      </c>
      <c r="B167" s="171" t="s">
        <v>815</v>
      </c>
      <c r="C167" s="154" t="n">
        <v>425000</v>
      </c>
      <c r="D167" s="154" t="n">
        <f aca="false">225000+50000+150000</f>
        <v>425000</v>
      </c>
      <c r="E167" s="156" t="n">
        <f aca="false">C167-D167</f>
        <v>0</v>
      </c>
    </row>
    <row r="168" customFormat="false" ht="15" hidden="false" customHeight="false" outlineLevel="0" collapsed="false">
      <c r="A168" s="152" t="n">
        <v>19</v>
      </c>
      <c r="B168" s="171" t="s">
        <v>816</v>
      </c>
      <c r="C168" s="154" t="n">
        <v>425000</v>
      </c>
      <c r="D168" s="154" t="n">
        <f aca="false">425000</f>
        <v>425000</v>
      </c>
      <c r="E168" s="156" t="n">
        <f aca="false">C168-D168</f>
        <v>0</v>
      </c>
    </row>
    <row r="169" customFormat="false" ht="15" hidden="false" customHeight="false" outlineLevel="0" collapsed="false">
      <c r="A169" s="152" t="n">
        <v>20</v>
      </c>
      <c r="B169" s="171" t="s">
        <v>817</v>
      </c>
      <c r="C169" s="154" t="n">
        <v>425000</v>
      </c>
      <c r="D169" s="154" t="n">
        <v>425000</v>
      </c>
      <c r="E169" s="156" t="n">
        <f aca="false">C169-D169</f>
        <v>0</v>
      </c>
    </row>
    <row r="170" customFormat="false" ht="15" hidden="false" customHeight="false" outlineLevel="0" collapsed="false">
      <c r="A170" s="152" t="n">
        <v>21</v>
      </c>
      <c r="B170" s="171" t="s">
        <v>818</v>
      </c>
      <c r="C170" s="154" t="n">
        <v>425000</v>
      </c>
      <c r="D170" s="154" t="n">
        <v>425000</v>
      </c>
      <c r="E170" s="156" t="n">
        <f aca="false">C170-D170</f>
        <v>0</v>
      </c>
    </row>
    <row r="171" customFormat="false" ht="15" hidden="false" customHeight="false" outlineLevel="0" collapsed="false">
      <c r="A171" s="152" t="n">
        <v>22</v>
      </c>
      <c r="B171" s="171" t="s">
        <v>819</v>
      </c>
      <c r="C171" s="154" t="n">
        <v>425000</v>
      </c>
      <c r="D171" s="154" t="n">
        <f aca="false">125000+200000+100000</f>
        <v>425000</v>
      </c>
      <c r="E171" s="156" t="n">
        <f aca="false">C171-D171</f>
        <v>0</v>
      </c>
    </row>
    <row r="172" customFormat="false" ht="15" hidden="false" customHeight="false" outlineLevel="0" collapsed="false">
      <c r="A172" s="152" t="n">
        <v>23</v>
      </c>
      <c r="B172" s="171" t="s">
        <v>820</v>
      </c>
      <c r="C172" s="154" t="n">
        <v>425000</v>
      </c>
      <c r="D172" s="154" t="n">
        <v>425000</v>
      </c>
      <c r="E172" s="156" t="n">
        <f aca="false">C172-D172</f>
        <v>0</v>
      </c>
    </row>
    <row r="173" customFormat="false" ht="15" hidden="false" customHeight="false" outlineLevel="0" collapsed="false">
      <c r="A173" s="152" t="n">
        <v>24</v>
      </c>
      <c r="B173" s="171" t="s">
        <v>821</v>
      </c>
      <c r="C173" s="154" t="n">
        <v>425000</v>
      </c>
      <c r="D173" s="154" t="n">
        <v>425000</v>
      </c>
      <c r="E173" s="156" t="n">
        <f aca="false">C173-D173</f>
        <v>0</v>
      </c>
    </row>
    <row r="174" customFormat="false" ht="15" hidden="false" customHeight="false" outlineLevel="0" collapsed="false">
      <c r="A174" s="152" t="n">
        <v>25</v>
      </c>
      <c r="B174" s="171" t="s">
        <v>822</v>
      </c>
      <c r="C174" s="154" t="n">
        <v>425000</v>
      </c>
      <c r="D174" s="154" t="n">
        <f aca="false">425000</f>
        <v>425000</v>
      </c>
      <c r="E174" s="156" t="n">
        <f aca="false">C174-D174</f>
        <v>0</v>
      </c>
    </row>
    <row r="175" customFormat="false" ht="15" hidden="false" customHeight="false" outlineLevel="0" collapsed="false">
      <c r="A175" s="152" t="n">
        <v>26</v>
      </c>
      <c r="B175" s="171" t="s">
        <v>823</v>
      </c>
      <c r="C175" s="154" t="n">
        <v>425000</v>
      </c>
      <c r="D175" s="154" t="n">
        <v>425000</v>
      </c>
      <c r="E175" s="156" t="n">
        <f aca="false">C175-D175</f>
        <v>0</v>
      </c>
    </row>
    <row r="176" customFormat="false" ht="15" hidden="false" customHeight="false" outlineLevel="0" collapsed="false">
      <c r="A176" s="152" t="n">
        <v>27</v>
      </c>
      <c r="B176" s="171" t="s">
        <v>824</v>
      </c>
      <c r="C176" s="154" t="n">
        <v>425000</v>
      </c>
      <c r="D176" s="154" t="n">
        <v>425000</v>
      </c>
      <c r="E176" s="156" t="n">
        <f aca="false">C176-D176</f>
        <v>0</v>
      </c>
    </row>
    <row r="177" customFormat="false" ht="15" hidden="false" customHeight="false" outlineLevel="0" collapsed="false">
      <c r="A177" s="152" t="n">
        <v>28</v>
      </c>
      <c r="B177" s="171" t="s">
        <v>825</v>
      </c>
      <c r="C177" s="154" t="n">
        <v>425000</v>
      </c>
      <c r="D177" s="154" t="n">
        <v>425000</v>
      </c>
      <c r="E177" s="156" t="n">
        <f aca="false">C177-D177</f>
        <v>0</v>
      </c>
    </row>
    <row r="178" customFormat="false" ht="15" hidden="false" customHeight="false" outlineLevel="0" collapsed="false">
      <c r="A178" s="152" t="n">
        <v>29</v>
      </c>
      <c r="B178" s="171" t="s">
        <v>826</v>
      </c>
      <c r="C178" s="154" t="n">
        <v>425000</v>
      </c>
      <c r="D178" s="154" t="n">
        <f aca="false">425000</f>
        <v>425000</v>
      </c>
      <c r="E178" s="156" t="n">
        <f aca="false">C178-D178</f>
        <v>0</v>
      </c>
    </row>
    <row r="179" customFormat="false" ht="15" hidden="false" customHeight="false" outlineLevel="0" collapsed="false">
      <c r="A179" s="152" t="n">
        <v>30</v>
      </c>
      <c r="B179" s="171" t="s">
        <v>827</v>
      </c>
      <c r="C179" s="154" t="n">
        <v>425000</v>
      </c>
      <c r="D179" s="154" t="n">
        <v>425000</v>
      </c>
      <c r="E179" s="156" t="n">
        <f aca="false">C179-D179</f>
        <v>0</v>
      </c>
    </row>
    <row r="180" customFormat="false" ht="15" hidden="false" customHeight="false" outlineLevel="0" collapsed="false">
      <c r="A180" s="152" t="n">
        <v>31</v>
      </c>
      <c r="B180" s="171" t="s">
        <v>828</v>
      </c>
      <c r="C180" s="154" t="n">
        <v>425000</v>
      </c>
      <c r="D180" s="154" t="n">
        <v>425000</v>
      </c>
      <c r="E180" s="156" t="n">
        <f aca="false">C180-D180</f>
        <v>0</v>
      </c>
    </row>
    <row r="181" customFormat="false" ht="15" hidden="false" customHeight="false" outlineLevel="0" collapsed="false">
      <c r="A181" s="152" t="n">
        <v>32</v>
      </c>
      <c r="B181" s="171" t="s">
        <v>829</v>
      </c>
      <c r="C181" s="154" t="n">
        <v>425000</v>
      </c>
      <c r="D181" s="154" t="n">
        <f aca="false">200000</f>
        <v>200000</v>
      </c>
      <c r="E181" s="156" t="n">
        <f aca="false">C181-D181</f>
        <v>225000</v>
      </c>
    </row>
    <row r="182" customFormat="false" ht="15" hidden="false" customHeight="false" outlineLevel="0" collapsed="false">
      <c r="A182" s="152" t="n">
        <v>33</v>
      </c>
      <c r="B182" s="171" t="s">
        <v>830</v>
      </c>
      <c r="C182" s="154" t="n">
        <v>425000</v>
      </c>
      <c r="D182" s="154" t="n">
        <v>425000</v>
      </c>
      <c r="E182" s="156" t="n">
        <f aca="false">C182-D182</f>
        <v>0</v>
      </c>
    </row>
    <row r="183" customFormat="false" ht="15" hidden="false" customHeight="false" outlineLevel="0" collapsed="false">
      <c r="A183" s="152" t="n">
        <v>34</v>
      </c>
      <c r="B183" s="171" t="s">
        <v>831</v>
      </c>
      <c r="C183" s="154" t="n">
        <v>425000</v>
      </c>
      <c r="D183" s="154" t="n">
        <v>225000</v>
      </c>
      <c r="E183" s="156" t="n">
        <f aca="false">C183-D183</f>
        <v>200000</v>
      </c>
    </row>
    <row r="184" customFormat="false" ht="15" hidden="false" customHeight="false" outlineLevel="0" collapsed="false">
      <c r="A184" s="152" t="n">
        <v>35</v>
      </c>
      <c r="B184" s="171" t="s">
        <v>832</v>
      </c>
      <c r="C184" s="154" t="n">
        <v>425000</v>
      </c>
      <c r="D184" s="154" t="n">
        <v>425000</v>
      </c>
      <c r="E184" s="156" t="n">
        <f aca="false">C184-D184</f>
        <v>0</v>
      </c>
    </row>
    <row r="185" customFormat="false" ht="15" hidden="false" customHeight="false" outlineLevel="0" collapsed="false">
      <c r="A185" s="152" t="n">
        <v>36</v>
      </c>
      <c r="B185" s="171" t="s">
        <v>833</v>
      </c>
      <c r="C185" s="154" t="n">
        <v>425000</v>
      </c>
      <c r="D185" s="154" t="n">
        <f aca="false">325000+100000</f>
        <v>425000</v>
      </c>
      <c r="E185" s="156" t="n">
        <f aca="false">C185-D185</f>
        <v>0</v>
      </c>
    </row>
    <row r="186" customFormat="false" ht="15" hidden="false" customHeight="false" outlineLevel="0" collapsed="false">
      <c r="A186" s="152" t="n">
        <v>37</v>
      </c>
      <c r="B186" s="171" t="s">
        <v>834</v>
      </c>
      <c r="C186" s="154" t="n">
        <v>425000</v>
      </c>
      <c r="D186" s="154" t="n">
        <f aca="false">300000+125000</f>
        <v>425000</v>
      </c>
      <c r="E186" s="156" t="n">
        <f aca="false">C186-D186</f>
        <v>0</v>
      </c>
    </row>
    <row r="187" customFormat="false" ht="15" hidden="false" customHeight="false" outlineLevel="0" collapsed="false">
      <c r="A187" s="152" t="n">
        <v>38</v>
      </c>
      <c r="B187" s="171" t="s">
        <v>835</v>
      </c>
      <c r="C187" s="154" t="n">
        <v>425000</v>
      </c>
      <c r="D187" s="154" t="n">
        <v>425000</v>
      </c>
      <c r="E187" s="156" t="n">
        <f aca="false">C187-D187</f>
        <v>0</v>
      </c>
    </row>
    <row r="188" customFormat="false" ht="15" hidden="false" customHeight="false" outlineLevel="0" collapsed="false">
      <c r="A188" s="152" t="n">
        <v>39</v>
      </c>
      <c r="B188" s="171" t="s">
        <v>836</v>
      </c>
      <c r="C188" s="154" t="n">
        <v>425000</v>
      </c>
      <c r="D188" s="154" t="n">
        <f aca="false">200000</f>
        <v>200000</v>
      </c>
      <c r="E188" s="156" t="n">
        <f aca="false">C188-D188</f>
        <v>225000</v>
      </c>
    </row>
    <row r="189" customFormat="false" ht="19.7" hidden="false" customHeight="false" outlineLevel="0" collapsed="false">
      <c r="A189" s="158"/>
      <c r="B189" s="159" t="s">
        <v>22</v>
      </c>
      <c r="C189" s="167" t="n">
        <f aca="false">SUM(C150:C188)</f>
        <v>16575000</v>
      </c>
      <c r="D189" s="161" t="n">
        <f aca="false">SUM(D150:D188)</f>
        <v>15925000</v>
      </c>
      <c r="E189" s="162" t="n">
        <f aca="false">SUM(E150:E188)</f>
        <v>650000</v>
      </c>
    </row>
    <row r="194" customFormat="false" ht="17.35" hidden="false" customHeight="false" outlineLevel="0" collapsed="false">
      <c r="A194" s="2"/>
      <c r="B194" s="173" t="s">
        <v>837</v>
      </c>
    </row>
    <row r="196" customFormat="false" ht="17.25" hidden="false" customHeight="false" outlineLevel="0" collapsed="false">
      <c r="B196" s="3" t="s">
        <v>838</v>
      </c>
    </row>
    <row r="198" customFormat="false" ht="17.35" hidden="false" customHeight="false" outlineLevel="0" collapsed="false">
      <c r="B198" s="172"/>
    </row>
    <row r="199" customFormat="false" ht="15" hidden="false" customHeight="false" outlineLevel="0" collapsed="false">
      <c r="B199" s="4" t="s">
        <v>839</v>
      </c>
    </row>
    <row r="201" customFormat="false" ht="15" hidden="false" customHeight="false" outlineLevel="0" collapsed="false">
      <c r="A201" s="149" t="s">
        <v>5</v>
      </c>
      <c r="B201" s="150" t="s">
        <v>6</v>
      </c>
      <c r="C201" s="8" t="s">
        <v>7</v>
      </c>
      <c r="D201" s="151" t="s">
        <v>8</v>
      </c>
      <c r="E201" s="93" t="s">
        <v>9</v>
      </c>
    </row>
    <row r="202" customFormat="false" ht="15" hidden="false" customHeight="false" outlineLevel="0" collapsed="false">
      <c r="A202" s="152" t="n">
        <v>1</v>
      </c>
      <c r="B202" s="157" t="s">
        <v>840</v>
      </c>
      <c r="C202" s="154" t="n">
        <v>416500</v>
      </c>
      <c r="D202" s="155" t="n">
        <v>416500</v>
      </c>
      <c r="E202" s="156" t="n">
        <f aca="false">C202-D202</f>
        <v>0</v>
      </c>
    </row>
    <row r="203" customFormat="false" ht="15" hidden="false" customHeight="false" outlineLevel="0" collapsed="false">
      <c r="A203" s="152" t="n">
        <v>2</v>
      </c>
      <c r="B203" s="157" t="s">
        <v>841</v>
      </c>
      <c r="C203" s="154" t="n">
        <v>416500</v>
      </c>
      <c r="D203" s="155" t="n">
        <v>416500</v>
      </c>
      <c r="E203" s="156" t="n">
        <f aca="false">C203-D203</f>
        <v>0</v>
      </c>
    </row>
    <row r="204" customFormat="false" ht="15" hidden="false" customHeight="false" outlineLevel="0" collapsed="false">
      <c r="A204" s="152" t="n">
        <v>3</v>
      </c>
      <c r="B204" s="157" t="s">
        <v>842</v>
      </c>
      <c r="C204" s="154" t="n">
        <v>416500</v>
      </c>
      <c r="D204" s="155" t="n">
        <v>416500</v>
      </c>
      <c r="E204" s="156" t="n">
        <f aca="false">C204-D204</f>
        <v>0</v>
      </c>
    </row>
    <row r="205" customFormat="false" ht="15" hidden="false" customHeight="false" outlineLevel="0" collapsed="false">
      <c r="A205" s="152" t="n">
        <v>4</v>
      </c>
      <c r="B205" s="157" t="s">
        <v>843</v>
      </c>
      <c r="C205" s="154" t="n">
        <v>416500</v>
      </c>
      <c r="D205" s="155" t="s">
        <v>844</v>
      </c>
      <c r="E205" s="156" t="e">
        <f aca="false">C205-D205</f>
        <v>#VALUE!</v>
      </c>
    </row>
    <row r="206" customFormat="false" ht="15" hidden="false" customHeight="false" outlineLevel="0" collapsed="false">
      <c r="A206" s="152" t="n">
        <v>5</v>
      </c>
      <c r="B206" s="157" t="s">
        <v>845</v>
      </c>
      <c r="C206" s="154" t="n">
        <v>416500</v>
      </c>
      <c r="D206" s="155" t="n">
        <v>416500</v>
      </c>
      <c r="E206" s="156" t="n">
        <f aca="false">C206-D206</f>
        <v>0</v>
      </c>
    </row>
    <row r="207" customFormat="false" ht="15" hidden="false" customHeight="false" outlineLevel="0" collapsed="false">
      <c r="A207" s="152" t="n">
        <v>6</v>
      </c>
      <c r="B207" s="157" t="s">
        <v>846</v>
      </c>
      <c r="C207" s="154" t="n">
        <v>416500</v>
      </c>
      <c r="D207" s="155" t="n">
        <v>416500</v>
      </c>
      <c r="E207" s="156" t="n">
        <f aca="false">C207-D207</f>
        <v>0</v>
      </c>
    </row>
    <row r="208" customFormat="false" ht="15" hidden="false" customHeight="false" outlineLevel="0" collapsed="false">
      <c r="A208" s="152" t="n">
        <v>7</v>
      </c>
      <c r="B208" s="157" t="s">
        <v>847</v>
      </c>
      <c r="C208" s="154" t="n">
        <v>416500</v>
      </c>
      <c r="D208" s="155" t="n">
        <v>416500</v>
      </c>
      <c r="E208" s="156" t="n">
        <f aca="false">C208-D208</f>
        <v>0</v>
      </c>
    </row>
    <row r="209" customFormat="false" ht="15" hidden="false" customHeight="false" outlineLevel="0" collapsed="false">
      <c r="A209" s="152" t="n">
        <v>8</v>
      </c>
      <c r="B209" s="157" t="s">
        <v>848</v>
      </c>
      <c r="C209" s="154" t="n">
        <v>416500</v>
      </c>
      <c r="D209" s="155"/>
      <c r="E209" s="156" t="n">
        <f aca="false">C209-D209</f>
        <v>416500</v>
      </c>
    </row>
    <row r="210" customFormat="false" ht="15" hidden="false" customHeight="false" outlineLevel="0" collapsed="false">
      <c r="A210" s="152" t="n">
        <v>9</v>
      </c>
      <c r="B210" s="157" t="s">
        <v>849</v>
      </c>
      <c r="C210" s="154" t="n">
        <v>416500</v>
      </c>
      <c r="D210" s="155" t="n">
        <v>416500</v>
      </c>
      <c r="E210" s="156" t="n">
        <f aca="false">C210-D210</f>
        <v>0</v>
      </c>
    </row>
    <row r="211" customFormat="false" ht="15" hidden="false" customHeight="false" outlineLevel="0" collapsed="false">
      <c r="A211" s="152" t="n">
        <v>10</v>
      </c>
      <c r="B211" s="157" t="s">
        <v>850</v>
      </c>
      <c r="C211" s="154" t="n">
        <v>416500</v>
      </c>
      <c r="D211" s="155"/>
      <c r="E211" s="156" t="n">
        <f aca="false">C211-D211</f>
        <v>416500</v>
      </c>
    </row>
    <row r="212" customFormat="false" ht="15" hidden="false" customHeight="false" outlineLevel="0" collapsed="false">
      <c r="A212" s="152" t="n">
        <v>11</v>
      </c>
      <c r="B212" s="157" t="s">
        <v>851</v>
      </c>
      <c r="C212" s="154" t="n">
        <v>416500</v>
      </c>
      <c r="D212" s="155" t="n">
        <v>416500</v>
      </c>
      <c r="E212" s="156" t="n">
        <f aca="false">C212-D212</f>
        <v>0</v>
      </c>
    </row>
    <row r="213" customFormat="false" ht="15" hidden="false" customHeight="false" outlineLevel="0" collapsed="false">
      <c r="A213" s="152" t="n">
        <v>12</v>
      </c>
      <c r="B213" s="157" t="s">
        <v>852</v>
      </c>
      <c r="C213" s="154" t="n">
        <v>416500</v>
      </c>
      <c r="D213" s="155" t="n">
        <v>416500</v>
      </c>
      <c r="E213" s="156" t="n">
        <f aca="false">C213-D213</f>
        <v>0</v>
      </c>
    </row>
    <row r="214" customFormat="false" ht="15" hidden="false" customHeight="false" outlineLevel="0" collapsed="false">
      <c r="A214" s="152" t="n">
        <v>13</v>
      </c>
      <c r="B214" s="157" t="s">
        <v>853</v>
      </c>
      <c r="C214" s="154" t="n">
        <v>416500</v>
      </c>
      <c r="D214" s="155" t="n">
        <v>416500</v>
      </c>
      <c r="E214" s="156" t="n">
        <f aca="false">C214-D214</f>
        <v>0</v>
      </c>
    </row>
    <row r="215" customFormat="false" ht="15" hidden="false" customHeight="false" outlineLevel="0" collapsed="false">
      <c r="A215" s="152" t="n">
        <v>14</v>
      </c>
      <c r="B215" s="157" t="s">
        <v>854</v>
      </c>
      <c r="C215" s="154" t="n">
        <v>416500</v>
      </c>
      <c r="D215" s="155"/>
      <c r="E215" s="156" t="n">
        <f aca="false">C215-D215</f>
        <v>416500</v>
      </c>
    </row>
    <row r="216" customFormat="false" ht="15" hidden="false" customHeight="false" outlineLevel="0" collapsed="false">
      <c r="A216" s="152" t="n">
        <v>15</v>
      </c>
      <c r="B216" s="157" t="s">
        <v>855</v>
      </c>
      <c r="C216" s="154" t="n">
        <v>416500</v>
      </c>
      <c r="D216" s="155" t="n">
        <v>416500</v>
      </c>
      <c r="E216" s="156" t="n">
        <f aca="false">C216-D216</f>
        <v>0</v>
      </c>
    </row>
    <row r="217" customFormat="false" ht="15" hidden="false" customHeight="false" outlineLevel="0" collapsed="false">
      <c r="A217" s="152" t="n">
        <v>16</v>
      </c>
      <c r="B217" s="157" t="s">
        <v>856</v>
      </c>
      <c r="C217" s="154" t="n">
        <v>416500</v>
      </c>
      <c r="D217" s="155"/>
      <c r="E217" s="156" t="n">
        <f aca="false">C217-D217</f>
        <v>416500</v>
      </c>
    </row>
    <row r="218" customFormat="false" ht="15" hidden="false" customHeight="false" outlineLevel="0" collapsed="false">
      <c r="A218" s="152" t="n">
        <v>17</v>
      </c>
      <c r="B218" s="157" t="s">
        <v>857</v>
      </c>
      <c r="C218" s="154" t="n">
        <v>416500</v>
      </c>
      <c r="D218" s="155" t="n">
        <f aca="false">316500+100000</f>
        <v>416500</v>
      </c>
      <c r="E218" s="156" t="n">
        <f aca="false">C218-D218</f>
        <v>0</v>
      </c>
    </row>
    <row r="219" customFormat="false" ht="15" hidden="false" customHeight="false" outlineLevel="0" collapsed="false">
      <c r="A219" s="152" t="n">
        <v>18</v>
      </c>
      <c r="B219" s="157" t="s">
        <v>858</v>
      </c>
      <c r="C219" s="154" t="n">
        <v>416500</v>
      </c>
      <c r="D219" s="155" t="n">
        <v>416500</v>
      </c>
      <c r="E219" s="156" t="n">
        <f aca="false">C219-D219</f>
        <v>0</v>
      </c>
    </row>
    <row r="220" customFormat="false" ht="15" hidden="false" customHeight="false" outlineLevel="0" collapsed="false">
      <c r="A220" s="152" t="n">
        <v>19</v>
      </c>
      <c r="B220" s="157" t="s">
        <v>859</v>
      </c>
      <c r="C220" s="154" t="n">
        <v>416500</v>
      </c>
      <c r="D220" s="155"/>
      <c r="E220" s="156" t="n">
        <f aca="false">C220-D220</f>
        <v>416500</v>
      </c>
    </row>
    <row r="221" customFormat="false" ht="15" hidden="false" customHeight="false" outlineLevel="0" collapsed="false">
      <c r="A221" s="152" t="n">
        <v>20</v>
      </c>
      <c r="B221" s="157" t="s">
        <v>860</v>
      </c>
      <c r="C221" s="154" t="n">
        <v>416500</v>
      </c>
      <c r="D221" s="155"/>
      <c r="E221" s="156" t="n">
        <f aca="false">C221-D221</f>
        <v>416500</v>
      </c>
    </row>
    <row r="222" customFormat="false" ht="15" hidden="false" customHeight="false" outlineLevel="0" collapsed="false">
      <c r="A222" s="152" t="n">
        <v>21</v>
      </c>
      <c r="B222" s="157" t="s">
        <v>861</v>
      </c>
      <c r="C222" s="154" t="n">
        <v>416500</v>
      </c>
      <c r="D222" s="155" t="n">
        <v>416500</v>
      </c>
      <c r="E222" s="156" t="n">
        <f aca="false">C222-D222</f>
        <v>0</v>
      </c>
    </row>
    <row r="223" customFormat="false" ht="15" hidden="false" customHeight="false" outlineLevel="0" collapsed="false">
      <c r="A223" s="152" t="n">
        <v>22</v>
      </c>
      <c r="B223" s="157" t="s">
        <v>862</v>
      </c>
      <c r="C223" s="154" t="n">
        <v>416500</v>
      </c>
      <c r="D223" s="155" t="n">
        <v>416500</v>
      </c>
      <c r="E223" s="156" t="n">
        <f aca="false">C223-D223</f>
        <v>0</v>
      </c>
    </row>
    <row r="224" customFormat="false" ht="15" hidden="false" customHeight="false" outlineLevel="0" collapsed="false">
      <c r="A224" s="152" t="n">
        <v>23</v>
      </c>
      <c r="B224" s="157" t="s">
        <v>863</v>
      </c>
      <c r="C224" s="154" t="n">
        <v>416500</v>
      </c>
      <c r="D224" s="155" t="n">
        <v>416500</v>
      </c>
      <c r="E224" s="156" t="n">
        <f aca="false">C224-D224</f>
        <v>0</v>
      </c>
    </row>
    <row r="225" customFormat="false" ht="15" hidden="false" customHeight="false" outlineLevel="0" collapsed="false">
      <c r="A225" s="152" t="n">
        <v>24</v>
      </c>
      <c r="B225" s="157" t="s">
        <v>864</v>
      </c>
      <c r="C225" s="154" t="n">
        <v>416500</v>
      </c>
      <c r="D225" s="155" t="n">
        <v>416500</v>
      </c>
      <c r="E225" s="156" t="n">
        <f aca="false">C225-D225</f>
        <v>0</v>
      </c>
    </row>
    <row r="226" customFormat="false" ht="15" hidden="false" customHeight="false" outlineLevel="0" collapsed="false">
      <c r="A226" s="152" t="n">
        <v>25</v>
      </c>
      <c r="B226" s="157" t="s">
        <v>865</v>
      </c>
      <c r="C226" s="154" t="n">
        <v>416500</v>
      </c>
      <c r="D226" s="155"/>
      <c r="E226" s="156" t="n">
        <f aca="false">C226-D226</f>
        <v>416500</v>
      </c>
    </row>
    <row r="227" customFormat="false" ht="15" hidden="false" customHeight="false" outlineLevel="0" collapsed="false">
      <c r="A227" s="152" t="n">
        <v>26</v>
      </c>
      <c r="B227" s="157" t="s">
        <v>866</v>
      </c>
      <c r="C227" s="154" t="n">
        <v>416500</v>
      </c>
      <c r="D227" s="155" t="n">
        <v>416500</v>
      </c>
      <c r="E227" s="156" t="n">
        <f aca="false">C227-D227</f>
        <v>0</v>
      </c>
    </row>
    <row r="228" customFormat="false" ht="19.7" hidden="false" customHeight="false" outlineLevel="0" collapsed="false">
      <c r="A228" s="158"/>
      <c r="B228" s="159" t="s">
        <v>22</v>
      </c>
      <c r="C228" s="167" t="n">
        <f aca="false">SUM(C202:C227)</f>
        <v>10829000</v>
      </c>
      <c r="D228" s="161" t="n">
        <f aca="false">SUM(D202:D227)</f>
        <v>7497000</v>
      </c>
      <c r="E228" s="162" t="e">
        <f aca="false">SUM(E202:E227)</f>
        <v>#VALUE!</v>
      </c>
    </row>
    <row r="234" customFormat="false" ht="17.35" hidden="false" customHeight="false" outlineLevel="0" collapsed="false">
      <c r="A234" s="2"/>
      <c r="B234" s="173" t="s">
        <v>837</v>
      </c>
    </row>
    <row r="236" customFormat="false" ht="17.25" hidden="false" customHeight="false" outlineLevel="0" collapsed="false">
      <c r="B236" s="3" t="s">
        <v>838</v>
      </c>
    </row>
    <row r="237" customFormat="false" ht="6" hidden="false" customHeight="true" outlineLevel="0" collapsed="false"/>
    <row r="238" customFormat="false" ht="17.35" hidden="true" customHeight="false" outlineLevel="0" collapsed="false">
      <c r="B238" s="172"/>
    </row>
    <row r="239" customFormat="false" ht="15" hidden="false" customHeight="false" outlineLevel="0" collapsed="false">
      <c r="B239" s="4" t="s">
        <v>867</v>
      </c>
    </row>
    <row r="241" customFormat="false" ht="15" hidden="false" customHeight="false" outlineLevel="0" collapsed="false">
      <c r="A241" s="149" t="s">
        <v>5</v>
      </c>
      <c r="B241" s="174" t="s">
        <v>6</v>
      </c>
      <c r="C241" s="8" t="s">
        <v>7</v>
      </c>
      <c r="D241" s="151" t="s">
        <v>8</v>
      </c>
      <c r="E241" s="93" t="s">
        <v>9</v>
      </c>
    </row>
    <row r="242" customFormat="false" ht="15" hidden="false" customHeight="false" outlineLevel="0" collapsed="false">
      <c r="A242" s="152" t="n">
        <v>1</v>
      </c>
      <c r="B242" s="163" t="s">
        <v>868</v>
      </c>
      <c r="C242" s="154" t="n">
        <v>416500</v>
      </c>
      <c r="D242" s="154" t="n">
        <v>416500</v>
      </c>
      <c r="E242" s="156" t="n">
        <f aca="false">C242-D242</f>
        <v>0</v>
      </c>
    </row>
    <row r="243" customFormat="false" ht="15" hidden="false" customHeight="false" outlineLevel="0" collapsed="false">
      <c r="A243" s="152" t="n">
        <v>2</v>
      </c>
      <c r="B243" s="171" t="s">
        <v>869</v>
      </c>
      <c r="C243" s="154" t="n">
        <v>416500</v>
      </c>
      <c r="D243" s="155" t="n">
        <f aca="false">175000+216500+25000</f>
        <v>416500</v>
      </c>
      <c r="E243" s="156" t="n">
        <f aca="false">C243-D243</f>
        <v>0</v>
      </c>
    </row>
    <row r="244" customFormat="false" ht="15" hidden="false" customHeight="false" outlineLevel="0" collapsed="false">
      <c r="A244" s="152" t="n">
        <v>3</v>
      </c>
      <c r="B244" s="171" t="s">
        <v>870</v>
      </c>
      <c r="C244" s="154" t="n">
        <v>416500</v>
      </c>
      <c r="D244" s="155" t="n">
        <v>416500</v>
      </c>
      <c r="E244" s="156" t="n">
        <f aca="false">C244-D244</f>
        <v>0</v>
      </c>
    </row>
    <row r="245" customFormat="false" ht="15" hidden="false" customHeight="false" outlineLevel="0" collapsed="false">
      <c r="A245" s="152" t="n">
        <v>4</v>
      </c>
      <c r="B245" s="163" t="s">
        <v>871</v>
      </c>
      <c r="C245" s="154" t="n">
        <v>416500</v>
      </c>
      <c r="D245" s="154" t="n">
        <v>416500</v>
      </c>
      <c r="E245" s="156" t="n">
        <f aca="false">C245-D245</f>
        <v>0</v>
      </c>
    </row>
    <row r="246" customFormat="false" ht="15" hidden="false" customHeight="false" outlineLevel="0" collapsed="false">
      <c r="A246" s="152" t="n">
        <v>5</v>
      </c>
      <c r="B246" s="163" t="s">
        <v>872</v>
      </c>
      <c r="C246" s="154" t="n">
        <v>416500</v>
      </c>
      <c r="D246" s="154" t="n">
        <f aca="false">50000+120000+100000+80000+65500+34500</f>
        <v>450000</v>
      </c>
      <c r="E246" s="156" t="n">
        <f aca="false">C246-D246</f>
        <v>-33500</v>
      </c>
    </row>
    <row r="247" customFormat="false" ht="15" hidden="false" customHeight="false" outlineLevel="0" collapsed="false">
      <c r="A247" s="152" t="n">
        <v>6</v>
      </c>
      <c r="B247" s="171" t="s">
        <v>873</v>
      </c>
      <c r="C247" s="154" t="n">
        <v>416500</v>
      </c>
      <c r="D247" s="155"/>
      <c r="E247" s="156" t="n">
        <f aca="false">C247-D247</f>
        <v>416500</v>
      </c>
    </row>
    <row r="248" customFormat="false" ht="15" hidden="false" customHeight="false" outlineLevel="0" collapsed="false">
      <c r="A248" s="152" t="n">
        <v>7</v>
      </c>
      <c r="B248" s="163" t="s">
        <v>874</v>
      </c>
      <c r="C248" s="154" t="n">
        <v>416500</v>
      </c>
      <c r="D248" s="154" t="n">
        <f aca="false">150000+250000+16500</f>
        <v>416500</v>
      </c>
      <c r="E248" s="156" t="n">
        <f aca="false">C248-D248</f>
        <v>0</v>
      </c>
    </row>
    <row r="249" customFormat="false" ht="15" hidden="false" customHeight="false" outlineLevel="0" collapsed="false">
      <c r="A249" s="152" t="n">
        <v>8</v>
      </c>
      <c r="B249" s="163" t="s">
        <v>875</v>
      </c>
      <c r="C249" s="154" t="n">
        <v>416500</v>
      </c>
      <c r="D249" s="154" t="n">
        <f aca="false">240000+156500+20000</f>
        <v>416500</v>
      </c>
      <c r="E249" s="156" t="n">
        <f aca="false">C249-D249</f>
        <v>0</v>
      </c>
    </row>
    <row r="250" customFormat="false" ht="15" hidden="false" customHeight="false" outlineLevel="0" collapsed="false">
      <c r="A250" s="152" t="n">
        <v>9</v>
      </c>
      <c r="B250" s="171" t="s">
        <v>876</v>
      </c>
      <c r="C250" s="154" t="n">
        <v>416500</v>
      </c>
      <c r="D250" s="155" t="n">
        <v>416500</v>
      </c>
      <c r="E250" s="156" t="n">
        <f aca="false">C250-D250</f>
        <v>0</v>
      </c>
    </row>
    <row r="251" customFormat="false" ht="15" hidden="false" customHeight="false" outlineLevel="0" collapsed="false">
      <c r="A251" s="152" t="n">
        <v>10</v>
      </c>
      <c r="B251" s="171" t="s">
        <v>877</v>
      </c>
      <c r="C251" s="154" t="n">
        <v>416500</v>
      </c>
      <c r="D251" s="155" t="n">
        <f aca="false">416500</f>
        <v>416500</v>
      </c>
      <c r="E251" s="156" t="n">
        <f aca="false">C251-D251</f>
        <v>0</v>
      </c>
    </row>
    <row r="252" customFormat="false" ht="15" hidden="false" customHeight="false" outlineLevel="0" collapsed="false">
      <c r="A252" s="152" t="n">
        <v>11</v>
      </c>
      <c r="B252" s="171" t="s">
        <v>878</v>
      </c>
      <c r="C252" s="154" t="n">
        <v>416500</v>
      </c>
      <c r="D252" s="155"/>
      <c r="E252" s="156" t="n">
        <f aca="false">C252-D252</f>
        <v>416500</v>
      </c>
    </row>
    <row r="253" customFormat="false" ht="15" hidden="false" customHeight="false" outlineLevel="0" collapsed="false">
      <c r="A253" s="152" t="n">
        <v>12</v>
      </c>
      <c r="B253" s="163" t="s">
        <v>879</v>
      </c>
      <c r="C253" s="154" t="n">
        <v>416500</v>
      </c>
      <c r="D253" s="154" t="n">
        <v>416500</v>
      </c>
      <c r="E253" s="156" t="n">
        <f aca="false">C253-D253</f>
        <v>0</v>
      </c>
    </row>
    <row r="254" customFormat="false" ht="19.7" hidden="false" customHeight="false" outlineLevel="0" collapsed="false">
      <c r="A254" s="158"/>
      <c r="B254" s="159" t="s">
        <v>22</v>
      </c>
      <c r="C254" s="167" t="n">
        <f aca="false">SUM(C242:C253)</f>
        <v>4998000</v>
      </c>
      <c r="D254" s="161" t="n">
        <f aca="false">SUM(D242:D253)</f>
        <v>4198500</v>
      </c>
      <c r="E254" s="162" t="n">
        <f aca="false">SUM(E242:E253)</f>
        <v>799500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J58"/>
  <sheetViews>
    <sheetView showFormulas="false" showGridLines="true" showRowColHeaders="true" showZeros="true" rightToLeft="false" tabSelected="false" showOutlineSymbols="true" defaultGridColor="true" view="normal" topLeftCell="A1" colorId="64" zoomScale="93" zoomScaleNormal="93" zoomScalePageLayoutView="100" workbookViewId="0">
      <selection pane="topLeft" activeCell="A571" activeCellId="0" sqref="A571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1" width="8.71"/>
    <col collapsed="false" customWidth="true" hidden="false" outlineLevel="0" max="3" min="3" style="1" width="15.57"/>
    <col collapsed="false" customWidth="true" hidden="false" outlineLevel="0" max="4" min="4" style="1" width="18.14"/>
    <col collapsed="false" customWidth="true" hidden="false" outlineLevel="0" max="5" min="5" style="1" width="14.57"/>
    <col collapsed="false" customWidth="true" hidden="false" outlineLevel="0" max="6" min="6" style="1" width="9"/>
  </cols>
  <sheetData>
    <row r="4" customFormat="false" ht="15" hidden="false" customHeight="false" outlineLevel="0" collapsed="false">
      <c r="A4" s="175" t="s">
        <v>880</v>
      </c>
      <c r="B4" s="176"/>
      <c r="C4" s="176"/>
      <c r="D4" s="176"/>
      <c r="E4" s="176"/>
      <c r="F4" s="176"/>
      <c r="G4" s="176"/>
    </row>
    <row r="5" customFormat="false" ht="15" hidden="false" customHeight="false" outlineLevel="0" collapsed="false">
      <c r="A5" s="177" t="s">
        <v>881</v>
      </c>
      <c r="B5" s="178" t="s">
        <v>882</v>
      </c>
      <c r="C5" s="178"/>
      <c r="D5" s="178"/>
      <c r="E5" s="179"/>
      <c r="F5" s="176"/>
      <c r="G5" s="176"/>
    </row>
    <row r="6" customFormat="false" ht="12.75" hidden="false" customHeight="true" outlineLevel="0" collapsed="false"/>
    <row r="7" customFormat="false" ht="29.25" hidden="false" customHeight="true" outlineLevel="0" collapsed="false">
      <c r="A7" s="180" t="s">
        <v>883</v>
      </c>
      <c r="B7" s="181" t="s">
        <v>884</v>
      </c>
      <c r="C7" s="180" t="s">
        <v>885</v>
      </c>
      <c r="D7" s="182" t="s">
        <v>886</v>
      </c>
      <c r="E7" s="183" t="s">
        <v>887</v>
      </c>
      <c r="F7" s="184" t="s">
        <v>888</v>
      </c>
    </row>
    <row r="8" customFormat="false" ht="6.75" hidden="false" customHeight="true" outlineLevel="0" collapsed="false">
      <c r="A8" s="185"/>
      <c r="B8" s="186"/>
      <c r="C8" s="187"/>
      <c r="D8" s="187"/>
      <c r="E8" s="187"/>
      <c r="F8" s="188"/>
    </row>
    <row r="9" customFormat="false" ht="15" hidden="false" customHeight="false" outlineLevel="0" collapsed="false">
      <c r="A9" s="189" t="s">
        <v>889</v>
      </c>
      <c r="B9" s="190" t="n">
        <v>29</v>
      </c>
      <c r="C9" s="191" t="n">
        <f aca="false">'LICENCE PRO. 1ère ANNEE'!C66</f>
        <v>12078500</v>
      </c>
      <c r="D9" s="191" t="n">
        <f aca="false">'LICENCE PRO. 1ère ANNEE'!D66</f>
        <v>10078000</v>
      </c>
      <c r="E9" s="192" t="n">
        <f aca="false">'LICENCE PRO. 1ère ANNEE'!E66</f>
        <v>2000500</v>
      </c>
      <c r="F9" s="193"/>
    </row>
    <row r="10" customFormat="false" ht="15" hidden="false" customHeight="false" outlineLevel="0" collapsed="false">
      <c r="A10" s="189" t="s">
        <v>890</v>
      </c>
      <c r="B10" s="190" t="n">
        <v>20</v>
      </c>
      <c r="C10" s="191" t="n">
        <f aca="false">'LICENCE PRO. 2è-3è-4è ANNEE'!C186</f>
        <v>6247500</v>
      </c>
      <c r="D10" s="191" t="n">
        <f aca="false">'LICENCE PRO. 2è-3è-4è ANNEE'!D186</f>
        <v>4176000</v>
      </c>
      <c r="E10" s="192" t="n">
        <f aca="false">C10-D10</f>
        <v>2071500</v>
      </c>
      <c r="F10" s="193"/>
    </row>
    <row r="11" customFormat="false" ht="15" hidden="false" customHeight="false" outlineLevel="0" collapsed="false">
      <c r="A11" s="189" t="s">
        <v>891</v>
      </c>
      <c r="B11" s="190" t="n">
        <v>34</v>
      </c>
      <c r="C11" s="191" t="n">
        <f aca="false">'LICENCE PRO. 2è-3è-4è ANNEE'!C230</f>
        <v>14169500</v>
      </c>
      <c r="D11" s="191" t="n">
        <f aca="false">'LICENCE PRO. 2è-3è-4è ANNEE'!D230</f>
        <v>9564500</v>
      </c>
      <c r="E11" s="192" t="n">
        <f aca="false">C11-D11</f>
        <v>4605000</v>
      </c>
      <c r="F11" s="193"/>
    </row>
    <row r="12" customFormat="false" ht="15" hidden="false" customHeight="false" outlineLevel="0" collapsed="false">
      <c r="A12" s="189" t="s">
        <v>892</v>
      </c>
      <c r="B12" s="190" t="n">
        <v>23</v>
      </c>
      <c r="C12" s="191" t="n">
        <f aca="false">'LICENCE PRO. 2è-3è-4è ANNEE'!C263</f>
        <v>9579500</v>
      </c>
      <c r="D12" s="191" t="n">
        <f aca="false">'LICENCE PRO. 2è-3è-4è ANNEE'!D263</f>
        <v>3838500</v>
      </c>
      <c r="E12" s="192" t="n">
        <f aca="false">C12-D12</f>
        <v>5741000</v>
      </c>
      <c r="F12" s="193"/>
    </row>
    <row r="13" customFormat="false" ht="6.75" hidden="false" customHeight="true" outlineLevel="0" collapsed="false">
      <c r="A13" s="194"/>
      <c r="B13" s="195"/>
      <c r="C13" s="196"/>
      <c r="D13" s="196"/>
      <c r="E13" s="196"/>
      <c r="F13" s="197"/>
    </row>
    <row r="14" customFormat="false" ht="15" hidden="false" customHeight="false" outlineLevel="0" collapsed="false">
      <c r="A14" s="189" t="s">
        <v>893</v>
      </c>
      <c r="B14" s="190" t="n">
        <v>20</v>
      </c>
      <c r="C14" s="191" t="n">
        <f aca="false">'LICENCE PRO. 1ère ANNEE'!C97</f>
        <v>8330000</v>
      </c>
      <c r="D14" s="191" t="n">
        <f aca="false">'LICENCE PRO. 1ère ANNEE'!D97</f>
        <v>3742000</v>
      </c>
      <c r="E14" s="191" t="n">
        <f aca="false">C14-D14</f>
        <v>4588000</v>
      </c>
      <c r="F14" s="198"/>
    </row>
    <row r="15" customFormat="false" ht="15" hidden="false" customHeight="false" outlineLevel="0" collapsed="false">
      <c r="A15" s="189" t="s">
        <v>894</v>
      </c>
      <c r="B15" s="190" t="n">
        <v>18</v>
      </c>
      <c r="C15" s="191" t="n">
        <f aca="false">'LICENCE PRO. 2è-3è-4è ANNEE'!C293</f>
        <v>7913500</v>
      </c>
      <c r="D15" s="191" t="n">
        <f aca="false">'LICENCE PRO. 2è-3è-4è ANNEE'!D293</f>
        <v>5668000</v>
      </c>
      <c r="E15" s="191" t="n">
        <f aca="false">C15-D15</f>
        <v>2245500</v>
      </c>
      <c r="F15" s="198"/>
    </row>
    <row r="16" customFormat="false" ht="15" hidden="false" customHeight="false" outlineLevel="0" collapsed="false">
      <c r="A16" s="189" t="s">
        <v>895</v>
      </c>
      <c r="B16" s="190" t="n">
        <v>22</v>
      </c>
      <c r="C16" s="191" t="n">
        <f aca="false">'LICENCE PRO. 2è-3è-4è ANNEE'!C325</f>
        <v>9163000</v>
      </c>
      <c r="D16" s="191" t="n">
        <f aca="false">'LICENCE PRO. 2è-3è-4è ANNEE'!D325</f>
        <v>6296000</v>
      </c>
      <c r="E16" s="191" t="n">
        <f aca="false">C16-D16</f>
        <v>2867000</v>
      </c>
      <c r="F16" s="198"/>
    </row>
    <row r="17" customFormat="false" ht="15" hidden="false" customHeight="false" outlineLevel="0" collapsed="false">
      <c r="A17" s="189" t="s">
        <v>896</v>
      </c>
      <c r="B17" s="190" t="n">
        <v>21</v>
      </c>
      <c r="C17" s="191" t="n">
        <f aca="false">'LICENCE PRO. 2è-3è-4è ANNEE'!C357</f>
        <v>8746500</v>
      </c>
      <c r="D17" s="191" t="n">
        <f aca="false">'LICENCE PRO. 2è-3è-4è ANNEE'!D357</f>
        <v>4988000</v>
      </c>
      <c r="E17" s="191" t="n">
        <f aca="false">C17-D17</f>
        <v>3758500</v>
      </c>
      <c r="F17" s="198"/>
    </row>
    <row r="18" customFormat="false" ht="6.75" hidden="false" customHeight="true" outlineLevel="0" collapsed="false">
      <c r="A18" s="199"/>
      <c r="B18" s="199"/>
      <c r="C18" s="200"/>
      <c r="D18" s="200"/>
      <c r="E18" s="200"/>
      <c r="F18" s="201"/>
    </row>
    <row r="19" customFormat="false" ht="15" hidden="false" customHeight="false" outlineLevel="0" collapsed="false">
      <c r="A19" s="190" t="s">
        <v>897</v>
      </c>
      <c r="B19" s="190" t="n">
        <v>22</v>
      </c>
      <c r="C19" s="191" t="n">
        <f aca="false">'LICENCE PRO. 1ère ANNEE'!C128</f>
        <v>9163000</v>
      </c>
      <c r="D19" s="191" t="n">
        <f aca="false">'LICENCE PRO. 1ère ANNEE'!D128</f>
        <v>8587500</v>
      </c>
      <c r="E19" s="191" t="n">
        <f aca="false">C19-D19</f>
        <v>575500</v>
      </c>
      <c r="F19" s="193"/>
    </row>
    <row r="20" customFormat="false" ht="15" hidden="false" customHeight="false" outlineLevel="0" collapsed="false">
      <c r="A20" s="190" t="s">
        <v>898</v>
      </c>
      <c r="B20" s="190" t="n">
        <v>11</v>
      </c>
      <c r="C20" s="191" t="n">
        <f aca="false">'LICENCE PRO. 2è-3è-4è ANNEE'!C379</f>
        <v>4581500</v>
      </c>
      <c r="D20" s="191" t="n">
        <f aca="false">'LICENCE PRO. 2è-3è-4è ANNEE'!D379</f>
        <v>4164000</v>
      </c>
      <c r="E20" s="191" t="n">
        <f aca="false">C20-D20</f>
        <v>417500</v>
      </c>
      <c r="F20" s="193"/>
    </row>
    <row r="21" customFormat="false" ht="15" hidden="false" customHeight="false" outlineLevel="0" collapsed="false">
      <c r="A21" s="190" t="s">
        <v>899</v>
      </c>
      <c r="B21" s="190" t="n">
        <v>17</v>
      </c>
      <c r="C21" s="191" t="n">
        <f aca="false">'LICENCE PRO. 2è-3è-4è ANNEE'!C407</f>
        <v>7080500</v>
      </c>
      <c r="D21" s="191" t="n">
        <f aca="false">'LICENCE PRO. 2è-3è-4è ANNEE'!D407</f>
        <v>6522000</v>
      </c>
      <c r="E21" s="191" t="n">
        <f aca="false">C21-D21</f>
        <v>558500</v>
      </c>
      <c r="F21" s="193"/>
    </row>
    <row r="22" customFormat="false" ht="15" hidden="false" customHeight="false" outlineLevel="0" collapsed="false">
      <c r="A22" s="190" t="s">
        <v>900</v>
      </c>
      <c r="B22" s="190" t="n">
        <v>16</v>
      </c>
      <c r="C22" s="191" t="n">
        <f aca="false">'LICENCE PRO. 2è-3è-4è ANNEE'!C433</f>
        <v>6664000</v>
      </c>
      <c r="D22" s="191" t="n">
        <f aca="false">'LICENCE PRO. 2è-3è-4è ANNEE'!D433</f>
        <v>5415000</v>
      </c>
      <c r="E22" s="191" t="n">
        <f aca="false">C22-D22</f>
        <v>1249000</v>
      </c>
      <c r="F22" s="193"/>
    </row>
    <row r="23" customFormat="false" ht="6.75" hidden="false" customHeight="true" outlineLevel="0" collapsed="false">
      <c r="A23" s="202"/>
      <c r="B23" s="203"/>
      <c r="C23" s="204"/>
      <c r="D23" s="204"/>
      <c r="E23" s="204"/>
      <c r="F23" s="205"/>
    </row>
    <row r="24" customFormat="false" ht="0.75" hidden="false" customHeight="true" outlineLevel="0" collapsed="false">
      <c r="A24" s="206"/>
      <c r="B24" s="206"/>
      <c r="C24" s="206"/>
      <c r="D24" s="206"/>
      <c r="E24" s="206"/>
      <c r="F24" s="206"/>
    </row>
    <row r="25" customFormat="false" ht="15" hidden="false" customHeight="false" outlineLevel="0" collapsed="false">
      <c r="A25" s="189" t="s">
        <v>901</v>
      </c>
      <c r="B25" s="190" t="n">
        <v>6</v>
      </c>
      <c r="C25" s="191" t="n">
        <f aca="false">'LICENCE PRO. 2è-3è-4è ANNEE'!C672</f>
        <v>2499000</v>
      </c>
      <c r="D25" s="191" t="n">
        <f aca="false">'LICENCE PRO. 2è-3è-4è ANNEE'!D672</f>
        <v>1982500</v>
      </c>
      <c r="E25" s="207" t="n">
        <f aca="false">C25-D25</f>
        <v>516500</v>
      </c>
      <c r="F25" s="198"/>
    </row>
    <row r="26" customFormat="false" ht="15" hidden="false" customHeight="false" outlineLevel="0" collapsed="false">
      <c r="A26" s="189" t="s">
        <v>902</v>
      </c>
      <c r="B26" s="190" t="n">
        <v>10</v>
      </c>
      <c r="C26" s="191" t="n">
        <f aca="false">'LICENCE PRO. 2è-3è-4è ANNEE'!C692</f>
        <v>4165000</v>
      </c>
      <c r="D26" s="191" t="n">
        <f aca="false">'LICENCE PRO. 2è-3è-4è ANNEE'!D692</f>
        <v>616500</v>
      </c>
      <c r="E26" s="207" t="n">
        <f aca="false">C26-D26</f>
        <v>3548500</v>
      </c>
      <c r="F26" s="198"/>
    </row>
    <row r="27" customFormat="false" ht="5.25" hidden="false" customHeight="true" outlineLevel="0" collapsed="false">
      <c r="A27" s="203"/>
      <c r="B27" s="208"/>
      <c r="C27" s="209"/>
      <c r="D27" s="209"/>
      <c r="E27" s="209"/>
      <c r="F27" s="205"/>
    </row>
    <row r="28" customFormat="false" ht="15" hidden="false" customHeight="false" outlineLevel="0" collapsed="false">
      <c r="A28" s="189" t="s">
        <v>903</v>
      </c>
      <c r="B28" s="190" t="n">
        <v>15</v>
      </c>
      <c r="C28" s="191" t="n">
        <f aca="false">'LICENCE PRO. 1ère ANNEE'!C28</f>
        <v>6247500</v>
      </c>
      <c r="D28" s="191" t="n">
        <f aca="false">'LICENCE PRO. 1ère ANNEE'!D28</f>
        <v>5341000</v>
      </c>
      <c r="E28" s="191" t="n">
        <f aca="false">C28-D28</f>
        <v>906500</v>
      </c>
      <c r="F28" s="198"/>
    </row>
    <row r="29" customFormat="false" ht="15" hidden="false" customHeight="false" outlineLevel="0" collapsed="false">
      <c r="A29" s="189" t="s">
        <v>904</v>
      </c>
      <c r="B29" s="190" t="n">
        <v>13</v>
      </c>
      <c r="C29" s="191" t="n">
        <f aca="false">'LICENCE PRO. 2è-3è-4è ANNEE'!C72</f>
        <v>5414500</v>
      </c>
      <c r="D29" s="191" t="n">
        <f aca="false">'LICENCE PRO. 2è-3è-4è ANNEE'!D72</f>
        <v>2835500</v>
      </c>
      <c r="E29" s="191" t="n">
        <f aca="false">C29-D29</f>
        <v>2579000</v>
      </c>
      <c r="F29" s="198"/>
    </row>
    <row r="30" customFormat="false" ht="15" hidden="false" customHeight="false" outlineLevel="0" collapsed="false">
      <c r="A30" s="189" t="s">
        <v>905</v>
      </c>
      <c r="B30" s="190" t="n">
        <v>22</v>
      </c>
      <c r="C30" s="191" t="n">
        <f aca="false">'LICENCE PRO. 2è-3è-4è ANNEE'!C103</f>
        <v>9163000</v>
      </c>
      <c r="D30" s="191" t="n">
        <f aca="false">'LICENCE PRO. 2è-3è-4è ANNEE'!D103</f>
        <v>6086500</v>
      </c>
      <c r="E30" s="191" t="n">
        <f aca="false">C30-D30</f>
        <v>3076500</v>
      </c>
      <c r="F30" s="198"/>
    </row>
    <row r="31" customFormat="false" ht="15" hidden="false" customHeight="false" outlineLevel="0" collapsed="false">
      <c r="A31" s="189" t="s">
        <v>906</v>
      </c>
      <c r="B31" s="190" t="n">
        <v>44</v>
      </c>
      <c r="C31" s="191" t="n">
        <f aca="false">'LICENCE PRO. 2è-3è-4è ANNEE'!C156</f>
        <v>18326000</v>
      </c>
      <c r="D31" s="191" t="n">
        <f aca="false">'LICENCE PRO. 2è-3è-4è ANNEE'!D156</f>
        <v>7823000</v>
      </c>
      <c r="E31" s="191" t="n">
        <f aca="false">C31-D31</f>
        <v>10503000</v>
      </c>
      <c r="F31" s="198"/>
    </row>
    <row r="32" customFormat="false" ht="8.25" hidden="false" customHeight="true" outlineLevel="0" collapsed="false">
      <c r="A32" s="203"/>
      <c r="B32" s="208"/>
      <c r="C32" s="209"/>
      <c r="D32" s="209"/>
      <c r="E32" s="210"/>
      <c r="F32" s="211"/>
    </row>
    <row r="33" customFormat="false" ht="15" hidden="false" customHeight="false" outlineLevel="0" collapsed="false">
      <c r="A33" s="189" t="s">
        <v>907</v>
      </c>
      <c r="B33" s="190" t="n">
        <v>12</v>
      </c>
      <c r="C33" s="191" t="n">
        <f aca="false">'LICENCE PRO. 2è-3è-4è ANNEE'!C23</f>
        <v>4998000</v>
      </c>
      <c r="D33" s="191" t="n">
        <f aca="false">'LICENCE PRO. 2è-3è-4è ANNEE'!D23</f>
        <v>3119000</v>
      </c>
      <c r="E33" s="207" t="n">
        <f aca="false">C33-D33</f>
        <v>1879000</v>
      </c>
      <c r="F33" s="198"/>
    </row>
    <row r="34" customFormat="false" ht="15" hidden="false" customHeight="false" outlineLevel="0" collapsed="false">
      <c r="A34" s="189" t="s">
        <v>908</v>
      </c>
      <c r="B34" s="212" t="n">
        <v>13</v>
      </c>
      <c r="C34" s="191" t="n">
        <f aca="false">'LICENCE PRO. 2è-3è-4è ANNEE'!C49</f>
        <v>5414500</v>
      </c>
      <c r="D34" s="191" t="n">
        <f aca="false">'LICENCE PRO. 2è-3è-4è ANNEE'!D49</f>
        <v>2082500</v>
      </c>
      <c r="E34" s="207" t="n">
        <f aca="false">C34-D34</f>
        <v>3332000</v>
      </c>
      <c r="F34" s="213"/>
    </row>
    <row r="35" customFormat="false" ht="9" hidden="false" customHeight="true" outlineLevel="0" collapsed="false">
      <c r="A35" s="214"/>
      <c r="B35" s="215"/>
      <c r="C35" s="216"/>
      <c r="D35" s="216"/>
      <c r="E35" s="216"/>
      <c r="F35" s="217"/>
    </row>
    <row r="36" customFormat="false" ht="12.75" hidden="false" customHeight="true" outlineLevel="0" collapsed="false">
      <c r="A36" s="218" t="s">
        <v>909</v>
      </c>
      <c r="B36" s="219" t="n">
        <v>60</v>
      </c>
      <c r="C36" s="207" t="n">
        <f aca="false">'LICENCE PRO. 1ère ANNEE'!C220</f>
        <v>24990000</v>
      </c>
      <c r="D36" s="207" t="n">
        <f aca="false">'LICENCE PRO. 1ère ANNEE'!D220</f>
        <v>22654000</v>
      </c>
      <c r="E36" s="207" t="n">
        <f aca="false">C36-D36</f>
        <v>2336000</v>
      </c>
      <c r="F36" s="220"/>
    </row>
    <row r="37" customFormat="false" ht="15" hidden="false" customHeight="false" outlineLevel="0" collapsed="false">
      <c r="A37" s="218" t="s">
        <v>910</v>
      </c>
      <c r="B37" s="221" t="n">
        <v>35</v>
      </c>
      <c r="C37" s="207" t="n">
        <f aca="false">'LICENCE PRO. 2è-3è-4è ANNEE'!C508</f>
        <v>14577500</v>
      </c>
      <c r="D37" s="207" t="n">
        <f aca="false">'LICENCE PRO. 2è-3è-4è ANNEE'!D508</f>
        <v>14029450</v>
      </c>
      <c r="E37" s="207" t="n">
        <f aca="false">C37-D37</f>
        <v>548050</v>
      </c>
      <c r="F37" s="220"/>
    </row>
    <row r="38" customFormat="false" ht="15" hidden="false" customHeight="false" outlineLevel="0" collapsed="false">
      <c r="A38" s="222" t="s">
        <v>911</v>
      </c>
      <c r="B38" s="221" t="n">
        <v>59</v>
      </c>
      <c r="C38" s="207" t="n">
        <f aca="false">'LICENCE PRO. 2è-3è-4è ANNEE'!C577</f>
        <v>24573500</v>
      </c>
      <c r="D38" s="207" t="n">
        <f aca="false">'LICENCE PRO. 2è-3è-4è ANNEE'!D577</f>
        <v>23247000</v>
      </c>
      <c r="E38" s="207" t="n">
        <f aca="false">C38-D38</f>
        <v>1326500</v>
      </c>
      <c r="F38" s="220"/>
    </row>
    <row r="39" customFormat="false" ht="15" hidden="false" customHeight="false" outlineLevel="0" collapsed="false">
      <c r="A39" s="222" t="s">
        <v>912</v>
      </c>
      <c r="B39" s="223" t="n">
        <v>25</v>
      </c>
      <c r="C39" s="191" t="n">
        <f aca="false">'LICENCE PRO. 2è-3è-4è ANNEE'!C613</f>
        <v>10412500</v>
      </c>
      <c r="D39" s="191" t="n">
        <f aca="false">'LICENCE PRO. 2è-3è-4è ANNEE'!D613</f>
        <v>9679500</v>
      </c>
      <c r="E39" s="207" t="n">
        <f aca="false">C39-D39</f>
        <v>733000</v>
      </c>
      <c r="F39" s="198"/>
    </row>
    <row r="40" customFormat="false" ht="6" hidden="false" customHeight="true" outlineLevel="0" collapsed="false">
      <c r="A40" s="224"/>
      <c r="B40" s="225"/>
      <c r="C40" s="226"/>
      <c r="D40" s="226"/>
      <c r="E40" s="226"/>
      <c r="F40" s="227"/>
    </row>
    <row r="41" customFormat="false" ht="15" hidden="false" customHeight="false" outlineLevel="0" collapsed="false">
      <c r="A41" s="222" t="s">
        <v>913</v>
      </c>
      <c r="B41" s="223" t="n">
        <v>14</v>
      </c>
      <c r="C41" s="191" t="n">
        <f aca="false">'LICENCE PRO. 2è-3è-4è ANNEE'!C462</f>
        <v>5629500</v>
      </c>
      <c r="D41" s="191" t="n">
        <f aca="false">'LICENCE PRO. 2è-3è-4è ANNEE'!D462</f>
        <v>4296000</v>
      </c>
      <c r="E41" s="191" t="n">
        <f aca="false">C41-D41</f>
        <v>1333500</v>
      </c>
      <c r="F41" s="198"/>
      <c r="J41" s="228"/>
    </row>
    <row r="42" customFormat="false" ht="15" hidden="false" customHeight="false" outlineLevel="0" collapsed="false">
      <c r="A42" s="222" t="s">
        <v>914</v>
      </c>
      <c r="B42" s="223" t="n">
        <v>33</v>
      </c>
      <c r="C42" s="191" t="n">
        <f aca="false">'LICENCE PRO. 2è-3è-4è ANNEE'!C656</f>
        <v>13553000</v>
      </c>
      <c r="D42" s="191" t="n">
        <f aca="false">'LICENCE PRO. 2è-3è-4è ANNEE'!D656</f>
        <v>11474500</v>
      </c>
      <c r="E42" s="191" t="n">
        <f aca="false">C42-D42</f>
        <v>2078500</v>
      </c>
      <c r="F42" s="198"/>
    </row>
    <row r="43" customFormat="false" ht="5.25" hidden="false" customHeight="true" outlineLevel="0" collapsed="false">
      <c r="A43" s="229"/>
      <c r="B43" s="230"/>
      <c r="C43" s="231"/>
      <c r="D43" s="231"/>
      <c r="E43" s="231"/>
      <c r="F43" s="232"/>
    </row>
    <row r="44" customFormat="false" ht="15" hidden="false" customHeight="false" outlineLevel="0" collapsed="false">
      <c r="A44" s="218" t="s">
        <v>915</v>
      </c>
      <c r="B44" s="221" t="n">
        <v>14</v>
      </c>
      <c r="C44" s="207" t="n">
        <f aca="false">'LICENCE PRO. 1ère ANNEE'!C151</f>
        <v>5831000</v>
      </c>
      <c r="D44" s="207" t="n">
        <f aca="false">'LICENCE PRO. 1ère ANNEE'!D151</f>
        <v>3208500</v>
      </c>
      <c r="E44" s="207" t="n">
        <f aca="false">C44-D44</f>
        <v>2622500</v>
      </c>
      <c r="F44" s="220"/>
    </row>
    <row r="45" customFormat="false" ht="15" hidden="false" customHeight="false" outlineLevel="0" collapsed="false">
      <c r="A45" s="218" t="s">
        <v>916</v>
      </c>
      <c r="B45" s="221" t="n">
        <v>10</v>
      </c>
      <c r="C45" s="207" t="n">
        <f aca="false">'LICENCE PRO. 2è-3è-4è ANNEE'!C714</f>
        <v>4165000</v>
      </c>
      <c r="D45" s="207" t="n">
        <f aca="false">'LICENCE PRO. 2è-3è-4è ANNEE'!D714</f>
        <v>999500</v>
      </c>
      <c r="E45" s="207" t="n">
        <f aca="false">C45-D45</f>
        <v>3165500</v>
      </c>
      <c r="F45" s="220"/>
      <c r="J45" s="1" t="n">
        <v>696133</v>
      </c>
    </row>
    <row r="46" customFormat="false" ht="17.25" hidden="false" customHeight="true" outlineLevel="0" collapsed="false">
      <c r="A46" s="218" t="s">
        <v>917</v>
      </c>
      <c r="B46" s="221" t="n">
        <v>9</v>
      </c>
      <c r="C46" s="207" t="n">
        <f aca="false">'LICENCE PRO. 2è-3è-4è ANNEE'!C735</f>
        <v>3748500</v>
      </c>
      <c r="D46" s="207" t="n">
        <f aca="false">'LICENCE PRO. 2è-3è-4è ANNEE'!D735</f>
        <v>2402500</v>
      </c>
      <c r="E46" s="207" t="n">
        <f aca="false">C46-D46</f>
        <v>1346000</v>
      </c>
      <c r="F46" s="220"/>
      <c r="J46" s="1" t="n">
        <v>575067</v>
      </c>
    </row>
    <row r="47" customFormat="false" ht="18.75" hidden="false" customHeight="true" outlineLevel="0" collapsed="false">
      <c r="A47" s="224"/>
      <c r="B47" s="233"/>
      <c r="C47" s="226"/>
      <c r="D47" s="226"/>
      <c r="E47" s="226"/>
      <c r="F47" s="227"/>
      <c r="J47" s="1" t="n">
        <v>544800</v>
      </c>
    </row>
    <row r="48" customFormat="false" ht="18.75" hidden="false" customHeight="true" outlineLevel="0" collapsed="false">
      <c r="A48" s="234" t="s">
        <v>918</v>
      </c>
      <c r="B48" s="235" t="n">
        <f aca="false">B9+B10+B11+B12+B14+B15+B16+B17+B19+B20+B21+B22+B25+B26+B28+B29+B30+B31+B33+B34+B36+B37+B38+B39+B41+B42+B44+B45+B46</f>
        <v>647</v>
      </c>
      <c r="C48" s="235" t="n">
        <f aca="false">C9+C10+C11+C12+C14+C15+C16+C17+C19+C20+C21+C22+C25+C26+C28+C29+C30+C31+C33+C34+C36+C37+C39+C41+C42+C44+C45+C46</f>
        <v>242851500</v>
      </c>
      <c r="D48" s="236" t="n">
        <f aca="false">SUM(D9:D47)</f>
        <v>194916950</v>
      </c>
      <c r="E48" s="235" t="n">
        <f aca="false">SUM(E9:E47)</f>
        <v>72508050</v>
      </c>
      <c r="F48" s="237" t="n">
        <f aca="false">D48/C48</f>
        <v>0.802617854944277</v>
      </c>
      <c r="J48" s="1" t="n">
        <v>363200</v>
      </c>
    </row>
    <row r="49" customFormat="false" ht="15" hidden="false" customHeight="false" outlineLevel="0" collapsed="false">
      <c r="A49" s="238"/>
      <c r="B49" s="238"/>
      <c r="C49" s="239"/>
      <c r="D49" s="239"/>
      <c r="E49" s="239"/>
      <c r="F49" s="240"/>
      <c r="J49" s="1" t="n">
        <v>242133</v>
      </c>
    </row>
    <row r="50" customFormat="false" ht="15" hidden="false" customHeight="false" outlineLevel="0" collapsed="false">
      <c r="J50" s="1" t="n">
        <v>605333</v>
      </c>
    </row>
    <row r="52" customFormat="false" ht="15" hidden="false" customHeight="false" outlineLevel="0" collapsed="false">
      <c r="J52" s="1" t="n">
        <f aca="false">SUM(J45:J51)</f>
        <v>3026666</v>
      </c>
    </row>
    <row r="58" customFormat="false" ht="15" hidden="false" customHeight="false" outlineLevel="0" collapsed="false">
      <c r="G58" s="228"/>
      <c r="I58" s="228"/>
    </row>
  </sheetData>
  <mergeCells count="2">
    <mergeCell ref="B5:D5"/>
    <mergeCell ref="A24:F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301"/>
  <sheetViews>
    <sheetView showFormulas="false" showGridLines="true" showRowColHeaders="true" showZeros="true" rightToLeft="false" tabSelected="false" showOutlineSymbols="true" defaultGridColor="true" view="normal" topLeftCell="A234" colorId="64" zoomScale="93" zoomScaleNormal="93" zoomScalePageLayoutView="100" workbookViewId="0">
      <selection pane="topLeft" activeCell="D11" activeCellId="0" sqref="D11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30.85"/>
    <col collapsed="false" customWidth="true" hidden="false" outlineLevel="0" max="3" min="3" style="1" width="26.43"/>
    <col collapsed="false" customWidth="true" hidden="false" outlineLevel="0" max="4" min="4" style="1" width="12.71"/>
    <col collapsed="false" customWidth="true" hidden="false" outlineLevel="0" max="5" min="5" style="1" width="11.14"/>
    <col collapsed="false" customWidth="true" hidden="false" outlineLevel="0" max="6" min="6" style="1" width="13.71"/>
  </cols>
  <sheetData>
    <row r="3" customFormat="false" ht="15" hidden="false" customHeight="false" outlineLevel="0" collapsed="false">
      <c r="D3" s="24"/>
      <c r="E3" s="24"/>
    </row>
    <row r="5" customFormat="false" ht="26.8" hidden="false" customHeight="false" outlineLevel="0" collapsed="false">
      <c r="A5" s="241"/>
      <c r="B5" s="242" t="s">
        <v>919</v>
      </c>
      <c r="C5" s="243"/>
      <c r="D5" s="241"/>
      <c r="E5" s="241"/>
    </row>
    <row r="7" customFormat="false" ht="17.35" hidden="false" customHeight="false" outlineLevel="0" collapsed="false">
      <c r="A7" s="241"/>
      <c r="B7" s="244" t="s">
        <v>920</v>
      </c>
      <c r="C7" s="241"/>
      <c r="D7" s="241"/>
      <c r="E7" s="241"/>
    </row>
    <row r="8" customFormat="false" ht="17.35" hidden="false" customHeight="false" outlineLevel="0" collapsed="false">
      <c r="A8" s="241"/>
      <c r="B8" s="244"/>
      <c r="C8" s="244"/>
      <c r="D8" s="241"/>
      <c r="E8" s="241"/>
    </row>
    <row r="9" customFormat="false" ht="15" hidden="false" customHeight="false" outlineLevel="0" collapsed="false">
      <c r="A9" s="241"/>
      <c r="B9" s="241"/>
      <c r="C9" s="241"/>
      <c r="D9" s="241"/>
      <c r="E9" s="241"/>
    </row>
    <row r="10" customFormat="false" ht="37.3" hidden="false" customHeight="false" outlineLevel="0" collapsed="false">
      <c r="A10" s="245" t="s">
        <v>921</v>
      </c>
      <c r="B10" s="246" t="s">
        <v>922</v>
      </c>
      <c r="C10" s="245" t="s">
        <v>923</v>
      </c>
      <c r="D10" s="246" t="s">
        <v>924</v>
      </c>
      <c r="E10" s="247" t="s">
        <v>925</v>
      </c>
      <c r="F10" s="248" t="s">
        <v>926</v>
      </c>
    </row>
    <row r="11" customFormat="false" ht="15" hidden="false" customHeight="false" outlineLevel="0" collapsed="false">
      <c r="A11" s="249"/>
      <c r="B11" s="250" t="s">
        <v>927</v>
      </c>
      <c r="C11" s="251"/>
      <c r="D11" s="252" t="n">
        <v>326502590</v>
      </c>
      <c r="E11" s="253"/>
      <c r="F11" s="154" t="n">
        <f aca="false">D11</f>
        <v>326502590</v>
      </c>
    </row>
    <row r="12" customFormat="false" ht="35.05" hidden="false" customHeight="false" outlineLevel="0" collapsed="false">
      <c r="A12" s="254" t="n">
        <v>42743</v>
      </c>
      <c r="B12" s="255" t="s">
        <v>928</v>
      </c>
      <c r="C12" s="256" t="s">
        <v>929</v>
      </c>
      <c r="D12" s="257"/>
      <c r="E12" s="258" t="n">
        <v>910000</v>
      </c>
      <c r="F12" s="154" t="n">
        <f aca="false">F11-E12</f>
        <v>325592590</v>
      </c>
    </row>
    <row r="13" customFormat="false" ht="23.85" hidden="false" customHeight="false" outlineLevel="0" collapsed="false">
      <c r="A13" s="254" t="n">
        <v>42743</v>
      </c>
      <c r="B13" s="259" t="s">
        <v>930</v>
      </c>
      <c r="C13" s="256" t="s">
        <v>929</v>
      </c>
      <c r="D13" s="257"/>
      <c r="E13" s="258" t="n">
        <v>405000</v>
      </c>
      <c r="F13" s="154" t="n">
        <f aca="false">F12-E13</f>
        <v>325187590</v>
      </c>
    </row>
    <row r="14" customFormat="false" ht="57.45" hidden="false" customHeight="false" outlineLevel="0" collapsed="false">
      <c r="A14" s="254" t="n">
        <v>43108</v>
      </c>
      <c r="B14" s="260" t="s">
        <v>931</v>
      </c>
      <c r="C14" s="256" t="s">
        <v>932</v>
      </c>
      <c r="D14" s="257"/>
      <c r="E14" s="258" t="n">
        <v>120000</v>
      </c>
      <c r="F14" s="154" t="n">
        <f aca="false">F13-E14</f>
        <v>325067590</v>
      </c>
    </row>
    <row r="15" customFormat="false" ht="35.05" hidden="false" customHeight="false" outlineLevel="0" collapsed="false">
      <c r="A15" s="254" t="n">
        <v>43108</v>
      </c>
      <c r="B15" s="255" t="s">
        <v>933</v>
      </c>
      <c r="C15" s="256" t="s">
        <v>929</v>
      </c>
      <c r="D15" s="257"/>
      <c r="E15" s="258" t="n">
        <v>1340000</v>
      </c>
      <c r="F15" s="154" t="n">
        <f aca="false">F14-E15</f>
        <v>323727590</v>
      </c>
    </row>
    <row r="16" customFormat="false" ht="35.05" hidden="false" customHeight="false" outlineLevel="0" collapsed="false">
      <c r="A16" s="254" t="n">
        <v>43108</v>
      </c>
      <c r="B16" s="255" t="s">
        <v>934</v>
      </c>
      <c r="C16" s="256" t="s">
        <v>929</v>
      </c>
      <c r="D16" s="257"/>
      <c r="E16" s="258" t="n">
        <v>5495980</v>
      </c>
      <c r="F16" s="154" t="n">
        <f aca="false">F15-E16</f>
        <v>318231610</v>
      </c>
    </row>
    <row r="17" customFormat="false" ht="15" hidden="false" customHeight="false" outlineLevel="0" collapsed="false">
      <c r="A17" s="254" t="n">
        <v>43115</v>
      </c>
      <c r="B17" s="261" t="s">
        <v>935</v>
      </c>
      <c r="C17" s="256" t="s">
        <v>936</v>
      </c>
      <c r="D17" s="257"/>
      <c r="E17" s="258" t="n">
        <v>108600</v>
      </c>
      <c r="F17" s="154" t="n">
        <f aca="false">F16-E17</f>
        <v>318123010</v>
      </c>
    </row>
    <row r="18" customFormat="false" ht="15" hidden="false" customHeight="false" outlineLevel="0" collapsed="false">
      <c r="A18" s="254" t="n">
        <v>43117</v>
      </c>
      <c r="B18" s="261" t="s">
        <v>937</v>
      </c>
      <c r="C18" s="256" t="s">
        <v>929</v>
      </c>
      <c r="D18" s="257"/>
      <c r="E18" s="258" t="n">
        <v>674332</v>
      </c>
      <c r="F18" s="154" t="n">
        <f aca="false">F17-E18</f>
        <v>317448678</v>
      </c>
    </row>
    <row r="19" customFormat="false" ht="57.45" hidden="false" customHeight="false" outlineLevel="0" collapsed="false">
      <c r="A19" s="254" t="n">
        <v>43117</v>
      </c>
      <c r="B19" s="262" t="s">
        <v>938</v>
      </c>
      <c r="C19" s="256" t="s">
        <v>929</v>
      </c>
      <c r="D19" s="257"/>
      <c r="E19" s="258" t="n">
        <v>12815154</v>
      </c>
      <c r="F19" s="154" t="n">
        <f aca="false">F18-E19</f>
        <v>304633524</v>
      </c>
    </row>
    <row r="20" customFormat="false" ht="46.25" hidden="false" customHeight="false" outlineLevel="0" collapsed="false">
      <c r="A20" s="254" t="n">
        <v>43118</v>
      </c>
      <c r="B20" s="262" t="s">
        <v>939</v>
      </c>
      <c r="C20" s="256" t="s">
        <v>940</v>
      </c>
      <c r="D20" s="257"/>
      <c r="E20" s="258" t="n">
        <v>150000</v>
      </c>
      <c r="F20" s="154" t="n">
        <f aca="false">F19-E20</f>
        <v>304483524</v>
      </c>
    </row>
    <row r="21" customFormat="false" ht="15" hidden="false" customHeight="false" outlineLevel="0" collapsed="false">
      <c r="A21" s="254" t="n">
        <v>43118</v>
      </c>
      <c r="B21" s="263" t="s">
        <v>941</v>
      </c>
      <c r="C21" s="256" t="s">
        <v>942</v>
      </c>
      <c r="D21" s="257"/>
      <c r="E21" s="258" t="n">
        <v>3937500</v>
      </c>
      <c r="F21" s="154" t="n">
        <f aca="false">F20-E21</f>
        <v>300546024</v>
      </c>
    </row>
    <row r="22" customFormat="false" ht="35.05" hidden="false" customHeight="false" outlineLevel="0" collapsed="false">
      <c r="A22" s="254" t="n">
        <v>43118</v>
      </c>
      <c r="B22" s="262" t="s">
        <v>943</v>
      </c>
      <c r="C22" s="256" t="s">
        <v>944</v>
      </c>
      <c r="D22" s="257"/>
      <c r="E22" s="258" t="n">
        <v>600000</v>
      </c>
      <c r="F22" s="154" t="n">
        <f aca="false">F21-E22</f>
        <v>299946024</v>
      </c>
    </row>
    <row r="23" customFormat="false" ht="15" hidden="false" customHeight="false" outlineLevel="0" collapsed="false">
      <c r="A23" s="254" t="n">
        <v>43125</v>
      </c>
      <c r="B23" s="261" t="s">
        <v>945</v>
      </c>
      <c r="C23" s="256" t="s">
        <v>929</v>
      </c>
      <c r="D23" s="257"/>
      <c r="E23" s="258" t="n">
        <v>1040000</v>
      </c>
      <c r="F23" s="154" t="n">
        <f aca="false">F22-E23</f>
        <v>298906024</v>
      </c>
    </row>
    <row r="24" customFormat="false" ht="15" hidden="false" customHeight="false" outlineLevel="0" collapsed="false">
      <c r="A24" s="254" t="n">
        <v>43125</v>
      </c>
      <c r="B24" s="261" t="s">
        <v>946</v>
      </c>
      <c r="C24" s="256" t="s">
        <v>929</v>
      </c>
      <c r="D24" s="257"/>
      <c r="E24" s="258" t="n">
        <v>1771000</v>
      </c>
      <c r="F24" s="154" t="n">
        <f aca="false">F23-E24</f>
        <v>297135024</v>
      </c>
    </row>
    <row r="25" customFormat="false" ht="46.25" hidden="false" customHeight="false" outlineLevel="0" collapsed="false">
      <c r="A25" s="254" t="n">
        <v>43126</v>
      </c>
      <c r="B25" s="262" t="s">
        <v>947</v>
      </c>
      <c r="C25" s="256" t="s">
        <v>948</v>
      </c>
      <c r="D25" s="257"/>
      <c r="E25" s="258" t="n">
        <v>200000</v>
      </c>
      <c r="F25" s="154" t="n">
        <f aca="false">F24-E25</f>
        <v>296935024</v>
      </c>
    </row>
    <row r="26" customFormat="false" ht="46.25" hidden="false" customHeight="false" outlineLevel="0" collapsed="false">
      <c r="A26" s="254" t="n">
        <v>43130</v>
      </c>
      <c r="B26" s="262" t="s">
        <v>949</v>
      </c>
      <c r="C26" s="256" t="s">
        <v>950</v>
      </c>
      <c r="D26" s="257"/>
      <c r="E26" s="258" t="n">
        <v>500000</v>
      </c>
      <c r="F26" s="154" t="n">
        <f aca="false">F25-E26</f>
        <v>296435024</v>
      </c>
    </row>
    <row r="27" customFormat="false" ht="35.05" hidden="false" customHeight="false" outlineLevel="0" collapsed="false">
      <c r="A27" s="254" t="n">
        <v>43130</v>
      </c>
      <c r="B27" s="255" t="s">
        <v>951</v>
      </c>
      <c r="C27" s="256" t="s">
        <v>952</v>
      </c>
      <c r="D27" s="257"/>
      <c r="E27" s="258" t="n">
        <v>5000000</v>
      </c>
      <c r="F27" s="154" t="n">
        <f aca="false">F26-E27</f>
        <v>291435024</v>
      </c>
    </row>
    <row r="28" customFormat="false" ht="46.25" hidden="false" customHeight="false" outlineLevel="0" collapsed="false">
      <c r="A28" s="254" t="n">
        <v>43130</v>
      </c>
      <c r="B28" s="262" t="s">
        <v>953</v>
      </c>
      <c r="C28" s="264" t="s">
        <v>954</v>
      </c>
      <c r="D28" s="257"/>
      <c r="E28" s="258" t="n">
        <v>150000</v>
      </c>
      <c r="F28" s="154" t="n">
        <f aca="false">F27-E28</f>
        <v>291285024</v>
      </c>
    </row>
    <row r="29" customFormat="false" ht="15" hidden="false" customHeight="false" outlineLevel="0" collapsed="false">
      <c r="A29" s="254" t="s">
        <v>955</v>
      </c>
      <c r="B29" s="265" t="s">
        <v>956</v>
      </c>
      <c r="C29" s="266" t="s">
        <v>957</v>
      </c>
      <c r="D29" s="267" t="n">
        <v>1400000</v>
      </c>
      <c r="E29" s="258"/>
      <c r="F29" s="154" t="n">
        <f aca="false">F28+D29</f>
        <v>292685024</v>
      </c>
    </row>
    <row r="30" customFormat="false" ht="15" hidden="false" customHeight="false" outlineLevel="0" collapsed="false">
      <c r="A30" s="254" t="s">
        <v>958</v>
      </c>
      <c r="B30" s="265" t="s">
        <v>959</v>
      </c>
      <c r="C30" s="266" t="s">
        <v>957</v>
      </c>
      <c r="D30" s="267" t="n">
        <v>11474200</v>
      </c>
      <c r="E30" s="258"/>
      <c r="F30" s="154" t="n">
        <f aca="false">F29+D30</f>
        <v>304159224</v>
      </c>
    </row>
    <row r="31" customFormat="false" ht="15" hidden="false" customHeight="false" outlineLevel="0" collapsed="false">
      <c r="A31" s="254" t="n">
        <v>43133</v>
      </c>
      <c r="B31" s="268" t="s">
        <v>960</v>
      </c>
      <c r="C31" s="264" t="s">
        <v>961</v>
      </c>
      <c r="D31" s="257"/>
      <c r="E31" s="258" t="n">
        <v>68055</v>
      </c>
      <c r="F31" s="154" t="n">
        <f aca="false">F30-E31</f>
        <v>304091169</v>
      </c>
    </row>
    <row r="32" customFormat="false" ht="15" hidden="false" customHeight="false" outlineLevel="0" collapsed="false">
      <c r="A32" s="254" t="n">
        <v>43133</v>
      </c>
      <c r="B32" s="268" t="s">
        <v>962</v>
      </c>
      <c r="C32" s="264" t="s">
        <v>963</v>
      </c>
      <c r="D32" s="269"/>
      <c r="E32" s="258" t="n">
        <v>5500</v>
      </c>
      <c r="F32" s="154" t="n">
        <f aca="false">F31-E32</f>
        <v>304085669</v>
      </c>
    </row>
    <row r="33" customFormat="false" ht="15" hidden="false" customHeight="false" outlineLevel="0" collapsed="false">
      <c r="A33" s="254" t="n">
        <v>43133</v>
      </c>
      <c r="B33" s="268" t="s">
        <v>964</v>
      </c>
      <c r="C33" s="264" t="s">
        <v>965</v>
      </c>
      <c r="D33" s="270"/>
      <c r="E33" s="258" t="n">
        <v>50220</v>
      </c>
      <c r="F33" s="154" t="n">
        <f aca="false">F32-E33</f>
        <v>304035449</v>
      </c>
    </row>
    <row r="34" customFormat="false" ht="15" hidden="false" customHeight="false" outlineLevel="0" collapsed="false">
      <c r="A34" s="254" t="n">
        <v>43133</v>
      </c>
      <c r="B34" s="268" t="s">
        <v>962</v>
      </c>
      <c r="C34" s="256" t="s">
        <v>963</v>
      </c>
      <c r="D34" s="271"/>
      <c r="E34" s="258" t="n">
        <v>5500</v>
      </c>
      <c r="F34" s="154" t="n">
        <f aca="false">F33-E34</f>
        <v>304029949</v>
      </c>
    </row>
    <row r="35" customFormat="false" ht="15" hidden="false" customHeight="false" outlineLevel="0" collapsed="false">
      <c r="A35" s="254" t="n">
        <v>43133</v>
      </c>
      <c r="B35" s="272" t="s">
        <v>966</v>
      </c>
      <c r="C35" s="256" t="s">
        <v>929</v>
      </c>
      <c r="D35" s="271"/>
      <c r="E35" s="258" t="n">
        <v>405000</v>
      </c>
      <c r="F35" s="154" t="n">
        <f aca="false">F34-E35</f>
        <v>303624949</v>
      </c>
    </row>
    <row r="36" customFormat="false" ht="35.05" hidden="false" customHeight="false" outlineLevel="0" collapsed="false">
      <c r="A36" s="273" t="n">
        <v>43139</v>
      </c>
      <c r="B36" s="255" t="s">
        <v>967</v>
      </c>
      <c r="C36" s="256" t="s">
        <v>968</v>
      </c>
      <c r="D36" s="271"/>
      <c r="E36" s="258" t="n">
        <v>500000</v>
      </c>
      <c r="F36" s="154" t="n">
        <f aca="false">F35-E36</f>
        <v>303124949</v>
      </c>
    </row>
    <row r="37" customFormat="false" ht="46.25" hidden="false" customHeight="false" outlineLevel="0" collapsed="false">
      <c r="A37" s="273" t="n">
        <v>43144</v>
      </c>
      <c r="B37" s="255" t="s">
        <v>969</v>
      </c>
      <c r="C37" s="256" t="n">
        <v>842954</v>
      </c>
      <c r="D37" s="271"/>
      <c r="E37" s="258" t="n">
        <v>1566747</v>
      </c>
      <c r="F37" s="154" t="n">
        <f aca="false">F36-E37</f>
        <v>301558202</v>
      </c>
    </row>
    <row r="38" customFormat="false" ht="46.25" hidden="false" customHeight="false" outlineLevel="0" collapsed="false">
      <c r="A38" s="273" t="n">
        <v>43144</v>
      </c>
      <c r="B38" s="262" t="s">
        <v>970</v>
      </c>
      <c r="C38" s="256" t="n">
        <v>842955</v>
      </c>
      <c r="D38" s="271"/>
      <c r="E38" s="258" t="n">
        <v>2796920</v>
      </c>
      <c r="F38" s="154" t="n">
        <f aca="false">F37-E38</f>
        <v>298761282</v>
      </c>
    </row>
    <row r="39" customFormat="false" ht="46.25" hidden="false" customHeight="false" outlineLevel="0" collapsed="false">
      <c r="A39" s="273" t="n">
        <v>43144</v>
      </c>
      <c r="B39" s="274" t="s">
        <v>971</v>
      </c>
      <c r="C39" s="256" t="s">
        <v>929</v>
      </c>
      <c r="D39" s="271"/>
      <c r="E39" s="258" t="n">
        <v>2688000</v>
      </c>
      <c r="F39" s="154" t="n">
        <f aca="false">F38-E39</f>
        <v>296073282</v>
      </c>
    </row>
    <row r="40" customFormat="false" ht="35.05" hidden="false" customHeight="false" outlineLevel="0" collapsed="false">
      <c r="A40" s="273" t="n">
        <v>43147</v>
      </c>
      <c r="B40" s="262" t="s">
        <v>972</v>
      </c>
      <c r="C40" s="256" t="s">
        <v>929</v>
      </c>
      <c r="D40" s="270"/>
      <c r="E40" s="258" t="n">
        <v>855000</v>
      </c>
      <c r="F40" s="154" t="n">
        <f aca="false">F39-E40</f>
        <v>295218282</v>
      </c>
    </row>
    <row r="41" customFormat="false" ht="35.05" hidden="false" customHeight="false" outlineLevel="0" collapsed="false">
      <c r="A41" s="273" t="n">
        <v>43147</v>
      </c>
      <c r="B41" s="255" t="s">
        <v>973</v>
      </c>
      <c r="C41" s="256" t="s">
        <v>929</v>
      </c>
      <c r="D41" s="257"/>
      <c r="E41" s="258" t="n">
        <v>660000</v>
      </c>
      <c r="F41" s="154" t="n">
        <f aca="false">F40-E41</f>
        <v>294558282</v>
      </c>
    </row>
    <row r="42" customFormat="false" ht="46.25" hidden="false" customHeight="false" outlineLevel="0" collapsed="false">
      <c r="A42" s="273" t="n">
        <v>43147</v>
      </c>
      <c r="B42" s="255" t="s">
        <v>974</v>
      </c>
      <c r="C42" s="256" t="s">
        <v>929</v>
      </c>
      <c r="D42" s="257"/>
      <c r="E42" s="258" t="n">
        <v>660000</v>
      </c>
      <c r="F42" s="154" t="n">
        <f aca="false">F41-E42</f>
        <v>293898282</v>
      </c>
    </row>
    <row r="43" customFormat="false" ht="35.05" hidden="false" customHeight="false" outlineLevel="0" collapsed="false">
      <c r="A43" s="273" t="n">
        <v>43147</v>
      </c>
      <c r="B43" s="255" t="s">
        <v>975</v>
      </c>
      <c r="C43" s="256" t="s">
        <v>929</v>
      </c>
      <c r="D43" s="257"/>
      <c r="E43" s="258" t="n">
        <v>740000</v>
      </c>
      <c r="F43" s="154" t="n">
        <f aca="false">F42-E43</f>
        <v>293158282</v>
      </c>
    </row>
    <row r="44" customFormat="false" ht="35.05" hidden="false" customHeight="false" outlineLevel="0" collapsed="false">
      <c r="A44" s="273" t="n">
        <v>43147</v>
      </c>
      <c r="B44" s="262" t="s">
        <v>976</v>
      </c>
      <c r="C44" s="256" t="s">
        <v>929</v>
      </c>
      <c r="D44" s="257"/>
      <c r="E44" s="258" t="n">
        <v>1280000</v>
      </c>
      <c r="F44" s="154" t="n">
        <f aca="false">F43-E44</f>
        <v>291878282</v>
      </c>
    </row>
    <row r="45" customFormat="false" ht="35.05" hidden="false" customHeight="false" outlineLevel="0" collapsed="false">
      <c r="A45" s="273" t="n">
        <v>43147</v>
      </c>
      <c r="B45" s="262" t="s">
        <v>977</v>
      </c>
      <c r="C45" s="256" t="s">
        <v>929</v>
      </c>
      <c r="D45" s="257"/>
      <c r="E45" s="258" t="n">
        <v>1280000</v>
      </c>
      <c r="F45" s="154" t="n">
        <f aca="false">F44-E45</f>
        <v>290598282</v>
      </c>
    </row>
    <row r="46" customFormat="false" ht="35.05" hidden="false" customHeight="false" outlineLevel="0" collapsed="false">
      <c r="A46" s="273" t="n">
        <v>43150</v>
      </c>
      <c r="B46" s="255" t="s">
        <v>978</v>
      </c>
      <c r="C46" s="256" t="s">
        <v>979</v>
      </c>
      <c r="D46" s="257"/>
      <c r="E46" s="258" t="n">
        <v>608000</v>
      </c>
      <c r="F46" s="154" t="n">
        <f aca="false">F45-E46</f>
        <v>289990282</v>
      </c>
    </row>
    <row r="47" customFormat="false" ht="15" hidden="false" customHeight="false" outlineLevel="0" collapsed="false">
      <c r="A47" s="273" t="n">
        <v>43151</v>
      </c>
      <c r="B47" s="263" t="s">
        <v>980</v>
      </c>
      <c r="C47" s="256" t="s">
        <v>981</v>
      </c>
      <c r="D47" s="257"/>
      <c r="E47" s="258" t="n">
        <v>200000</v>
      </c>
      <c r="F47" s="154" t="n">
        <f aca="false">F46-E47</f>
        <v>289790282</v>
      </c>
    </row>
    <row r="48" customFormat="false" ht="15" hidden="false" customHeight="false" outlineLevel="0" collapsed="false">
      <c r="A48" s="273" t="n">
        <v>43154</v>
      </c>
      <c r="B48" s="261" t="s">
        <v>982</v>
      </c>
      <c r="C48" s="256" t="s">
        <v>929</v>
      </c>
      <c r="D48" s="257"/>
      <c r="E48" s="258" t="n">
        <v>674332</v>
      </c>
      <c r="F48" s="154" t="n">
        <f aca="false">F47-E48</f>
        <v>289115950</v>
      </c>
    </row>
    <row r="49" customFormat="false" ht="35.05" hidden="false" customHeight="false" outlineLevel="0" collapsed="false">
      <c r="A49" s="273" t="n">
        <v>43154</v>
      </c>
      <c r="B49" s="255" t="s">
        <v>983</v>
      </c>
      <c r="C49" s="256" t="s">
        <v>929</v>
      </c>
      <c r="D49" s="257"/>
      <c r="E49" s="258" t="n">
        <v>850000</v>
      </c>
      <c r="F49" s="154" t="n">
        <f aca="false">F48-E49</f>
        <v>288265950</v>
      </c>
      <c r="G49" s="1" t="s">
        <v>984</v>
      </c>
    </row>
    <row r="50" customFormat="false" ht="35.05" hidden="false" customHeight="false" outlineLevel="0" collapsed="false">
      <c r="A50" s="273" t="n">
        <v>43154</v>
      </c>
      <c r="B50" s="262" t="s">
        <v>985</v>
      </c>
      <c r="C50" s="256" t="s">
        <v>929</v>
      </c>
      <c r="D50" s="257"/>
      <c r="E50" s="258" t="n">
        <v>330000</v>
      </c>
      <c r="F50" s="154" t="n">
        <f aca="false">F49-E50</f>
        <v>287935950</v>
      </c>
    </row>
    <row r="51" customFormat="false" ht="46.25" hidden="false" customHeight="false" outlineLevel="0" collapsed="false">
      <c r="A51" s="273" t="n">
        <v>43155</v>
      </c>
      <c r="B51" s="262" t="s">
        <v>986</v>
      </c>
      <c r="C51" s="256" t="s">
        <v>929</v>
      </c>
      <c r="D51" s="257"/>
      <c r="E51" s="258" t="n">
        <v>2480000</v>
      </c>
      <c r="F51" s="154" t="n">
        <f aca="false">F50-E51</f>
        <v>285455950</v>
      </c>
    </row>
    <row r="52" customFormat="false" ht="46.25" hidden="false" customHeight="false" outlineLevel="0" collapsed="false">
      <c r="A52" s="273" t="n">
        <v>43155</v>
      </c>
      <c r="B52" s="262" t="s">
        <v>987</v>
      </c>
      <c r="C52" s="256" t="s">
        <v>929</v>
      </c>
      <c r="D52" s="257"/>
      <c r="E52" s="258" t="n">
        <v>1824000</v>
      </c>
      <c r="F52" s="154" t="n">
        <f aca="false">F51-E52</f>
        <v>283631950</v>
      </c>
    </row>
    <row r="53" customFormat="false" ht="46.25" hidden="false" customHeight="false" outlineLevel="0" collapsed="false">
      <c r="A53" s="273" t="n">
        <v>43157</v>
      </c>
      <c r="B53" s="274" t="s">
        <v>988</v>
      </c>
      <c r="C53" s="256" t="s">
        <v>929</v>
      </c>
      <c r="D53" s="257"/>
      <c r="E53" s="258" t="n">
        <v>560000</v>
      </c>
      <c r="F53" s="154" t="n">
        <f aca="false">F52-E53</f>
        <v>283071950</v>
      </c>
    </row>
    <row r="54" customFormat="false" ht="35.05" hidden="false" customHeight="false" outlineLevel="0" collapsed="false">
      <c r="A54" s="273" t="n">
        <v>43158</v>
      </c>
      <c r="B54" s="262" t="s">
        <v>989</v>
      </c>
      <c r="C54" s="264" t="s">
        <v>990</v>
      </c>
      <c r="D54" s="257"/>
      <c r="E54" s="258" t="n">
        <v>68250</v>
      </c>
      <c r="F54" s="154" t="n">
        <f aca="false">F53-E54</f>
        <v>283003700</v>
      </c>
    </row>
    <row r="55" customFormat="false" ht="35.05" hidden="false" customHeight="false" outlineLevel="0" collapsed="false">
      <c r="A55" s="273" t="n">
        <v>43158</v>
      </c>
      <c r="B55" s="262" t="s">
        <v>991</v>
      </c>
      <c r="C55" s="264" t="s">
        <v>992</v>
      </c>
      <c r="D55" s="257"/>
      <c r="E55" s="258" t="n">
        <v>99650</v>
      </c>
      <c r="F55" s="154" t="n">
        <f aca="false">F54-E55</f>
        <v>282904050</v>
      </c>
    </row>
    <row r="56" customFormat="false" ht="35.05" hidden="false" customHeight="false" outlineLevel="0" collapsed="false">
      <c r="A56" s="273" t="n">
        <v>43159</v>
      </c>
      <c r="B56" s="262" t="s">
        <v>993</v>
      </c>
      <c r="C56" s="256" t="s">
        <v>929</v>
      </c>
      <c r="D56" s="257"/>
      <c r="E56" s="258" t="n">
        <v>964000</v>
      </c>
      <c r="F56" s="154" t="n">
        <f aca="false">F55-E56</f>
        <v>281940050</v>
      </c>
    </row>
    <row r="57" customFormat="false" ht="46.25" hidden="false" customHeight="false" outlineLevel="0" collapsed="false">
      <c r="A57" s="273" t="s">
        <v>994</v>
      </c>
      <c r="B57" s="262" t="s">
        <v>995</v>
      </c>
      <c r="C57" s="264" t="s">
        <v>996</v>
      </c>
      <c r="D57" s="257"/>
      <c r="E57" s="258" t="n">
        <v>797500</v>
      </c>
      <c r="F57" s="154" t="n">
        <f aca="false">F56-E57</f>
        <v>281142550</v>
      </c>
    </row>
    <row r="58" customFormat="false" ht="46.25" hidden="false" customHeight="false" outlineLevel="0" collapsed="false">
      <c r="A58" s="273" t="n">
        <v>43159</v>
      </c>
      <c r="B58" s="262" t="s">
        <v>997</v>
      </c>
      <c r="C58" s="264" t="s">
        <v>998</v>
      </c>
      <c r="D58" s="257"/>
      <c r="E58" s="258" t="n">
        <v>70112</v>
      </c>
      <c r="F58" s="154" t="n">
        <f aca="false">F57-E58</f>
        <v>281072438</v>
      </c>
    </row>
    <row r="59" customFormat="false" ht="15" hidden="false" customHeight="false" outlineLevel="0" collapsed="false">
      <c r="A59" s="273" t="n">
        <v>43159</v>
      </c>
      <c r="B59" s="265" t="s">
        <v>956</v>
      </c>
      <c r="C59" s="266" t="s">
        <v>957</v>
      </c>
      <c r="D59" s="267" t="n">
        <v>1870000</v>
      </c>
      <c r="E59" s="258"/>
      <c r="F59" s="154" t="n">
        <f aca="false">F58+D59</f>
        <v>282942438</v>
      </c>
    </row>
    <row r="60" customFormat="false" ht="15" hidden="false" customHeight="false" outlineLevel="0" collapsed="false">
      <c r="A60" s="273" t="n">
        <v>43159</v>
      </c>
      <c r="B60" s="265" t="s">
        <v>999</v>
      </c>
      <c r="C60" s="266" t="s">
        <v>957</v>
      </c>
      <c r="D60" s="267" t="n">
        <f aca="false">5080000+15613000</f>
        <v>20693000</v>
      </c>
      <c r="E60" s="258"/>
      <c r="F60" s="154" t="n">
        <f aca="false">F59+D60</f>
        <v>303635438</v>
      </c>
    </row>
    <row r="61" customFormat="false" ht="23.85" hidden="false" customHeight="false" outlineLevel="0" collapsed="false">
      <c r="A61" s="273" t="n">
        <v>43161</v>
      </c>
      <c r="B61" s="259" t="s">
        <v>1000</v>
      </c>
      <c r="C61" s="256" t="s">
        <v>929</v>
      </c>
      <c r="D61" s="257"/>
      <c r="E61" s="258" t="n">
        <v>405000</v>
      </c>
      <c r="F61" s="154" t="n">
        <f aca="false">F60-E61</f>
        <v>303230438</v>
      </c>
    </row>
    <row r="62" customFormat="false" ht="15" hidden="false" customHeight="false" outlineLevel="0" collapsed="false">
      <c r="A62" s="273" t="n">
        <v>42796</v>
      </c>
      <c r="B62" s="268" t="s">
        <v>1001</v>
      </c>
      <c r="C62" s="264" t="s">
        <v>1002</v>
      </c>
      <c r="D62" s="257"/>
      <c r="E62" s="258" t="n">
        <v>72589</v>
      </c>
      <c r="F62" s="154" t="n">
        <f aca="false">F61-E62</f>
        <v>303157849</v>
      </c>
    </row>
    <row r="63" customFormat="false" ht="15" hidden="false" customHeight="false" outlineLevel="0" collapsed="false">
      <c r="A63" s="273" t="n">
        <v>42796</v>
      </c>
      <c r="B63" s="268" t="s">
        <v>962</v>
      </c>
      <c r="C63" s="264" t="s">
        <v>963</v>
      </c>
      <c r="D63" s="257"/>
      <c r="E63" s="258" t="n">
        <v>5500</v>
      </c>
      <c r="F63" s="154" t="n">
        <f aca="false">F62-E63</f>
        <v>303152349</v>
      </c>
    </row>
    <row r="64" customFormat="false" ht="57.45" hidden="false" customHeight="false" outlineLevel="0" collapsed="false">
      <c r="A64" s="273" t="n">
        <v>42796</v>
      </c>
      <c r="B64" s="260" t="s">
        <v>1003</v>
      </c>
      <c r="C64" s="264" t="s">
        <v>1004</v>
      </c>
      <c r="D64" s="257"/>
      <c r="E64" s="258" t="n">
        <v>240000</v>
      </c>
      <c r="F64" s="154" t="n">
        <f aca="false">F63-E64</f>
        <v>302912349</v>
      </c>
    </row>
    <row r="65" customFormat="false" ht="35.05" hidden="false" customHeight="false" outlineLevel="0" collapsed="false">
      <c r="A65" s="273" t="n">
        <v>42796</v>
      </c>
      <c r="B65" s="255" t="s">
        <v>1005</v>
      </c>
      <c r="C65" s="264" t="s">
        <v>1006</v>
      </c>
      <c r="D65" s="275"/>
      <c r="E65" s="276" t="n">
        <v>15807088</v>
      </c>
      <c r="F65" s="154" t="n">
        <f aca="false">F64-E65</f>
        <v>287105261</v>
      </c>
    </row>
    <row r="66" customFormat="false" ht="35.05" hidden="false" customHeight="false" outlineLevel="0" collapsed="false">
      <c r="A66" s="273" t="n">
        <v>43161</v>
      </c>
      <c r="B66" s="255" t="s">
        <v>1007</v>
      </c>
      <c r="C66" s="256" t="s">
        <v>929</v>
      </c>
      <c r="D66" s="270"/>
      <c r="E66" s="270" t="n">
        <v>112500</v>
      </c>
      <c r="F66" s="154" t="n">
        <f aca="false">F65-E66</f>
        <v>286992761</v>
      </c>
    </row>
    <row r="67" customFormat="false" ht="35.05" hidden="false" customHeight="false" outlineLevel="0" collapsed="false">
      <c r="A67" s="273" t="n">
        <v>43170</v>
      </c>
      <c r="B67" s="274" t="s">
        <v>1008</v>
      </c>
      <c r="C67" s="256" t="s">
        <v>929</v>
      </c>
      <c r="D67" s="257"/>
      <c r="E67" s="258" t="n">
        <v>2926000</v>
      </c>
      <c r="F67" s="154" t="n">
        <f aca="false">F66-E67</f>
        <v>284066761</v>
      </c>
    </row>
    <row r="68" customFormat="false" ht="46.25" hidden="false" customHeight="false" outlineLevel="0" collapsed="false">
      <c r="A68" s="273" t="n">
        <v>43170</v>
      </c>
      <c r="B68" s="274" t="s">
        <v>1009</v>
      </c>
      <c r="C68" s="256" t="s">
        <v>929</v>
      </c>
      <c r="D68" s="257"/>
      <c r="E68" s="258" t="n">
        <v>280000</v>
      </c>
      <c r="F68" s="154" t="n">
        <f aca="false">F67-E68</f>
        <v>283786761</v>
      </c>
    </row>
    <row r="69" customFormat="false" ht="15" hidden="false" customHeight="false" outlineLevel="0" collapsed="false">
      <c r="A69" s="277" t="n">
        <v>43170</v>
      </c>
      <c r="B69" s="263" t="s">
        <v>1010</v>
      </c>
      <c r="C69" s="264" t="s">
        <v>1011</v>
      </c>
      <c r="D69" s="257"/>
      <c r="E69" s="278" t="n">
        <v>2535254</v>
      </c>
      <c r="F69" s="154" t="n">
        <f aca="false">F68-E69</f>
        <v>281251507</v>
      </c>
    </row>
    <row r="70" customFormat="false" ht="15" hidden="false" customHeight="false" outlineLevel="0" collapsed="false">
      <c r="A70" s="277" t="n">
        <v>43170</v>
      </c>
      <c r="B70" s="263" t="s">
        <v>1012</v>
      </c>
      <c r="C70" s="264" t="s">
        <v>1013</v>
      </c>
      <c r="D70" s="270"/>
      <c r="E70" s="276" t="n">
        <v>1794950</v>
      </c>
      <c r="F70" s="154" t="n">
        <f aca="false">F69-E70</f>
        <v>279456557</v>
      </c>
    </row>
    <row r="71" customFormat="false" ht="15" hidden="false" customHeight="false" outlineLevel="0" collapsed="false">
      <c r="A71" s="277" t="n">
        <v>43173</v>
      </c>
      <c r="B71" s="261" t="s">
        <v>937</v>
      </c>
      <c r="C71" s="256" t="s">
        <v>929</v>
      </c>
      <c r="D71" s="257"/>
      <c r="E71" s="270" t="n">
        <v>674332</v>
      </c>
      <c r="F71" s="154" t="n">
        <f aca="false">F70-E71</f>
        <v>278782225</v>
      </c>
    </row>
    <row r="72" customFormat="false" ht="15" hidden="false" customHeight="false" outlineLevel="0" collapsed="false">
      <c r="A72" s="277" t="n">
        <v>43174</v>
      </c>
      <c r="B72" s="268" t="s">
        <v>1014</v>
      </c>
      <c r="C72" s="264" t="s">
        <v>1015</v>
      </c>
      <c r="D72" s="257"/>
      <c r="E72" s="276" t="n">
        <v>469796</v>
      </c>
      <c r="F72" s="154" t="n">
        <f aca="false">F71-E72</f>
        <v>278312429</v>
      </c>
    </row>
    <row r="73" customFormat="false" ht="15" hidden="false" customHeight="false" outlineLevel="0" collapsed="false">
      <c r="A73" s="277" t="n">
        <v>43174</v>
      </c>
      <c r="B73" s="268" t="s">
        <v>962</v>
      </c>
      <c r="C73" s="256" t="s">
        <v>963</v>
      </c>
      <c r="D73" s="257"/>
      <c r="E73" s="276" t="n">
        <v>5500</v>
      </c>
      <c r="F73" s="154" t="n">
        <f aca="false">F72-E73</f>
        <v>278306929</v>
      </c>
    </row>
    <row r="74" customFormat="false" ht="35.05" hidden="false" customHeight="false" outlineLevel="0" collapsed="false">
      <c r="A74" s="277" t="n">
        <v>43180</v>
      </c>
      <c r="B74" s="255" t="s">
        <v>1016</v>
      </c>
      <c r="C74" s="264" t="s">
        <v>929</v>
      </c>
      <c r="D74" s="257"/>
      <c r="E74" s="276" t="n">
        <v>8510000</v>
      </c>
      <c r="F74" s="154" t="n">
        <f aca="false">F73-E74</f>
        <v>269796929</v>
      </c>
    </row>
    <row r="75" customFormat="false" ht="35.05" hidden="false" customHeight="false" outlineLevel="0" collapsed="false">
      <c r="A75" s="277" t="n">
        <v>43180</v>
      </c>
      <c r="B75" s="255" t="s">
        <v>1017</v>
      </c>
      <c r="C75" s="264" t="s">
        <v>929</v>
      </c>
      <c r="D75" s="257"/>
      <c r="E75" s="276" t="n">
        <v>387375</v>
      </c>
      <c r="F75" s="154" t="n">
        <f aca="false">F74-E75</f>
        <v>269409554</v>
      </c>
    </row>
    <row r="76" customFormat="false" ht="35.05" hidden="false" customHeight="false" outlineLevel="0" collapsed="false">
      <c r="A76" s="277" t="n">
        <v>43180</v>
      </c>
      <c r="B76" s="255" t="s">
        <v>1018</v>
      </c>
      <c r="C76" s="264" t="s">
        <v>929</v>
      </c>
      <c r="D76" s="257"/>
      <c r="E76" s="276" t="n">
        <v>841750</v>
      </c>
      <c r="F76" s="154" t="n">
        <f aca="false">F75-E76</f>
        <v>268567804</v>
      </c>
    </row>
    <row r="77" customFormat="false" ht="35.05" hidden="false" customHeight="false" outlineLevel="0" collapsed="false">
      <c r="A77" s="277" t="n">
        <v>43180</v>
      </c>
      <c r="B77" s="255" t="s">
        <v>1019</v>
      </c>
      <c r="C77" s="264" t="s">
        <v>929</v>
      </c>
      <c r="D77" s="257"/>
      <c r="E77" s="276" t="n">
        <v>955656</v>
      </c>
      <c r="F77" s="154" t="n">
        <f aca="false">F76-E77</f>
        <v>267612148</v>
      </c>
    </row>
    <row r="78" customFormat="false" ht="46.25" hidden="false" customHeight="false" outlineLevel="0" collapsed="false">
      <c r="A78" s="277" t="n">
        <v>43180</v>
      </c>
      <c r="B78" s="274" t="s">
        <v>1020</v>
      </c>
      <c r="C78" s="256" t="s">
        <v>929</v>
      </c>
      <c r="D78" s="279"/>
      <c r="E78" s="276" t="n">
        <v>2953500</v>
      </c>
      <c r="F78" s="154" t="n">
        <f aca="false">F77-E78</f>
        <v>264658648</v>
      </c>
    </row>
    <row r="79" customFormat="false" ht="35.05" hidden="false" customHeight="false" outlineLevel="0" collapsed="false">
      <c r="A79" s="277" t="n">
        <v>43181</v>
      </c>
      <c r="B79" s="262" t="s">
        <v>1021</v>
      </c>
      <c r="C79" s="256" t="s">
        <v>929</v>
      </c>
      <c r="D79" s="280"/>
      <c r="E79" s="276" t="n">
        <v>266000</v>
      </c>
      <c r="F79" s="154" t="n">
        <f aca="false">F78-E79</f>
        <v>264392648</v>
      </c>
    </row>
    <row r="80" customFormat="false" ht="57.45" hidden="false" customHeight="false" outlineLevel="0" collapsed="false">
      <c r="A80" s="277" t="n">
        <v>43181</v>
      </c>
      <c r="B80" s="255" t="s">
        <v>1022</v>
      </c>
      <c r="C80" s="256" t="s">
        <v>1023</v>
      </c>
      <c r="D80" s="275"/>
      <c r="E80" s="276" t="n">
        <v>257200</v>
      </c>
      <c r="F80" s="154" t="n">
        <f aca="false">F79-E80</f>
        <v>264135448</v>
      </c>
    </row>
    <row r="81" customFormat="false" ht="15" hidden="false" customHeight="false" outlineLevel="0" collapsed="false">
      <c r="A81" s="277" t="n">
        <v>43190</v>
      </c>
      <c r="B81" s="265" t="s">
        <v>956</v>
      </c>
      <c r="C81" s="266" t="s">
        <v>957</v>
      </c>
      <c r="D81" s="267" t="n">
        <f aca="false">20000*24</f>
        <v>480000</v>
      </c>
      <c r="E81" s="276"/>
      <c r="F81" s="154" t="n">
        <f aca="false">F80+D81</f>
        <v>264615448</v>
      </c>
    </row>
    <row r="82" customFormat="false" ht="15" hidden="false" customHeight="false" outlineLevel="0" collapsed="false">
      <c r="A82" s="277" t="n">
        <v>43190</v>
      </c>
      <c r="B82" s="265" t="s">
        <v>1024</v>
      </c>
      <c r="C82" s="266" t="s">
        <v>957</v>
      </c>
      <c r="D82" s="267" t="n">
        <f aca="false">350000+515000+88765975-949500</f>
        <v>88681475</v>
      </c>
      <c r="E82" s="276"/>
      <c r="F82" s="154" t="n">
        <f aca="false">F81+D82</f>
        <v>353296923</v>
      </c>
    </row>
    <row r="83" customFormat="false" ht="35.05" hidden="false" customHeight="false" outlineLevel="0" collapsed="false">
      <c r="A83" s="277" t="n">
        <v>43192</v>
      </c>
      <c r="B83" s="255" t="s">
        <v>1007</v>
      </c>
      <c r="C83" s="256" t="s">
        <v>929</v>
      </c>
      <c r="D83" s="270"/>
      <c r="E83" s="270" t="n">
        <v>58500</v>
      </c>
      <c r="F83" s="154" t="n">
        <f aca="false">F82-E83</f>
        <v>353238423</v>
      </c>
    </row>
    <row r="84" customFormat="false" ht="23.85" hidden="false" customHeight="false" outlineLevel="0" collapsed="false">
      <c r="A84" s="277" t="n">
        <v>43192</v>
      </c>
      <c r="B84" s="259" t="s">
        <v>1025</v>
      </c>
      <c r="C84" s="256" t="s">
        <v>929</v>
      </c>
      <c r="D84" s="257"/>
      <c r="E84" s="258" t="n">
        <v>405000</v>
      </c>
      <c r="F84" s="154" t="n">
        <f aca="false">F83-E84</f>
        <v>352833423</v>
      </c>
    </row>
    <row r="85" customFormat="false" ht="46.25" hidden="false" customHeight="false" outlineLevel="0" collapsed="false">
      <c r="A85" s="277" t="n">
        <v>43192</v>
      </c>
      <c r="B85" s="255" t="s">
        <v>1026</v>
      </c>
      <c r="C85" s="256" t="s">
        <v>1027</v>
      </c>
      <c r="D85" s="275"/>
      <c r="E85" s="276" t="n">
        <v>100000</v>
      </c>
      <c r="F85" s="154" t="n">
        <f aca="false">F84-E85</f>
        <v>352733423</v>
      </c>
    </row>
    <row r="86" customFormat="false" ht="46.25" hidden="false" customHeight="false" outlineLevel="0" collapsed="false">
      <c r="A86" s="277" t="n">
        <v>43192</v>
      </c>
      <c r="B86" s="255" t="s">
        <v>1026</v>
      </c>
      <c r="C86" s="256" t="s">
        <v>1028</v>
      </c>
      <c r="D86" s="275"/>
      <c r="E86" s="276" t="n">
        <v>100000</v>
      </c>
      <c r="F86" s="154" t="n">
        <f aca="false">F85-E86</f>
        <v>352633423</v>
      </c>
    </row>
    <row r="87" customFormat="false" ht="46.25" hidden="false" customHeight="false" outlineLevel="0" collapsed="false">
      <c r="A87" s="277" t="n">
        <v>43192</v>
      </c>
      <c r="B87" s="262" t="s">
        <v>1029</v>
      </c>
      <c r="C87" s="256" t="s">
        <v>1030</v>
      </c>
      <c r="D87" s="275"/>
      <c r="E87" s="276" t="n">
        <v>2109000</v>
      </c>
      <c r="F87" s="154" t="n">
        <f aca="false">F86-E87</f>
        <v>350524423</v>
      </c>
    </row>
    <row r="88" customFormat="false" ht="35.05" hidden="false" customHeight="false" outlineLevel="0" collapsed="false">
      <c r="A88" s="277" t="n">
        <v>43192</v>
      </c>
      <c r="B88" s="262" t="s">
        <v>1031</v>
      </c>
      <c r="C88" s="256" t="s">
        <v>1032</v>
      </c>
      <c r="D88" s="275"/>
      <c r="E88" s="276" t="n">
        <v>8723000</v>
      </c>
      <c r="F88" s="154" t="n">
        <f aca="false">F87-E88</f>
        <v>341801423</v>
      </c>
    </row>
    <row r="89" customFormat="false" ht="35.05" hidden="false" customHeight="false" outlineLevel="0" collapsed="false">
      <c r="A89" s="277" t="n">
        <v>43192</v>
      </c>
      <c r="B89" s="262" t="s">
        <v>1033</v>
      </c>
      <c r="C89" s="256" t="s">
        <v>1034</v>
      </c>
      <c r="D89" s="281"/>
      <c r="E89" s="276" t="n">
        <v>233000</v>
      </c>
      <c r="F89" s="154" t="n">
        <f aca="false">F88-E89</f>
        <v>341568423</v>
      </c>
    </row>
    <row r="90" customFormat="false" ht="68.65" hidden="false" customHeight="false" outlineLevel="0" collapsed="false">
      <c r="A90" s="282" t="n">
        <v>43192</v>
      </c>
      <c r="B90" s="255" t="s">
        <v>1035</v>
      </c>
      <c r="C90" s="256" t="s">
        <v>1036</v>
      </c>
      <c r="D90" s="281"/>
      <c r="E90" s="276" t="n">
        <v>100000</v>
      </c>
      <c r="F90" s="154" t="n">
        <f aca="false">F89-E90</f>
        <v>341468423</v>
      </c>
    </row>
    <row r="91" customFormat="false" ht="15" hidden="false" customHeight="false" outlineLevel="0" collapsed="false">
      <c r="A91" s="277" t="n">
        <v>43194</v>
      </c>
      <c r="B91" s="261" t="s">
        <v>1037</v>
      </c>
      <c r="C91" s="283" t="s">
        <v>1038</v>
      </c>
      <c r="D91" s="281"/>
      <c r="E91" s="276" t="n">
        <v>300609</v>
      </c>
      <c r="F91" s="154" t="n">
        <f aca="false">F90-E91</f>
        <v>341167814</v>
      </c>
    </row>
    <row r="92" customFormat="false" ht="15" hidden="false" customHeight="false" outlineLevel="0" collapsed="false">
      <c r="A92" s="277" t="n">
        <v>43194</v>
      </c>
      <c r="B92" s="261" t="s">
        <v>1037</v>
      </c>
      <c r="C92" s="283" t="s">
        <v>1039</v>
      </c>
      <c r="D92" s="275"/>
      <c r="E92" s="276" t="n">
        <v>101900</v>
      </c>
      <c r="F92" s="154" t="n">
        <f aca="false">F91-E92</f>
        <v>341065914</v>
      </c>
      <c r="G92" s="228"/>
    </row>
    <row r="93" customFormat="false" ht="15" hidden="false" customHeight="false" outlineLevel="0" collapsed="false">
      <c r="A93" s="277" t="n">
        <v>43195</v>
      </c>
      <c r="B93" s="268" t="s">
        <v>1040</v>
      </c>
      <c r="C93" s="264" t="s">
        <v>1041</v>
      </c>
      <c r="D93" s="281"/>
      <c r="E93" s="284" t="n">
        <v>72589</v>
      </c>
      <c r="F93" s="154" t="n">
        <f aca="false">F92-E93</f>
        <v>340993325</v>
      </c>
    </row>
    <row r="94" customFormat="false" ht="15" hidden="false" customHeight="false" outlineLevel="0" collapsed="false">
      <c r="A94" s="277" t="n">
        <v>43195</v>
      </c>
      <c r="B94" s="268" t="s">
        <v>962</v>
      </c>
      <c r="C94" s="264" t="s">
        <v>963</v>
      </c>
      <c r="D94" s="281"/>
      <c r="E94" s="284" t="n">
        <v>5500</v>
      </c>
      <c r="F94" s="154" t="n">
        <f aca="false">F93-E94</f>
        <v>340987825</v>
      </c>
    </row>
    <row r="95" customFormat="false" ht="15" hidden="false" customHeight="false" outlineLevel="0" collapsed="false">
      <c r="A95" s="277" t="n">
        <v>43195</v>
      </c>
      <c r="B95" s="268" t="s">
        <v>1042</v>
      </c>
      <c r="C95" s="264" t="s">
        <v>957</v>
      </c>
      <c r="D95" s="281" t="n">
        <v>25625</v>
      </c>
      <c r="E95" s="284"/>
      <c r="F95" s="154" t="n">
        <f aca="false">F94+D95</f>
        <v>341013450</v>
      </c>
    </row>
    <row r="96" customFormat="false" ht="46.25" hidden="false" customHeight="false" outlineLevel="0" collapsed="false">
      <c r="A96" s="277" t="n">
        <v>43196</v>
      </c>
      <c r="B96" s="262" t="s">
        <v>1043</v>
      </c>
      <c r="C96" s="256" t="s">
        <v>1044</v>
      </c>
      <c r="D96" s="275"/>
      <c r="E96" s="284" t="n">
        <v>2170300</v>
      </c>
      <c r="F96" s="154" t="n">
        <f aca="false">F95-E96</f>
        <v>338843150</v>
      </c>
    </row>
    <row r="97" customFormat="false" ht="46.25" hidden="false" customHeight="false" outlineLevel="0" collapsed="false">
      <c r="A97" s="277" t="n">
        <v>43196</v>
      </c>
      <c r="B97" s="262" t="s">
        <v>1045</v>
      </c>
      <c r="C97" s="256" t="s">
        <v>1046</v>
      </c>
      <c r="D97" s="275"/>
      <c r="E97" s="284" t="n">
        <v>1267300</v>
      </c>
      <c r="F97" s="154" t="n">
        <f aca="false">F96-E97</f>
        <v>337575850</v>
      </c>
    </row>
    <row r="98" customFormat="false" ht="46.25" hidden="false" customHeight="false" outlineLevel="0" collapsed="false">
      <c r="A98" s="277" t="n">
        <v>43196</v>
      </c>
      <c r="B98" s="262" t="s">
        <v>1047</v>
      </c>
      <c r="C98" s="256" t="s">
        <v>1048</v>
      </c>
      <c r="D98" s="275"/>
      <c r="E98" s="284" t="n">
        <v>1942300</v>
      </c>
      <c r="F98" s="154" t="n">
        <f aca="false">F97-E98</f>
        <v>335633550</v>
      </c>
      <c r="G98" s="228"/>
    </row>
    <row r="99" customFormat="false" ht="23.85" hidden="false" customHeight="false" outlineLevel="0" collapsed="false">
      <c r="A99" s="277" t="n">
        <v>43196</v>
      </c>
      <c r="B99" s="262" t="s">
        <v>1049</v>
      </c>
      <c r="C99" s="256" t="s">
        <v>1050</v>
      </c>
      <c r="D99" s="275"/>
      <c r="E99" s="284" t="n">
        <v>516500</v>
      </c>
      <c r="F99" s="154" t="n">
        <f aca="false">F98-E99</f>
        <v>335117050</v>
      </c>
    </row>
    <row r="100" customFormat="false" ht="35.05" hidden="false" customHeight="false" outlineLevel="0" collapsed="false">
      <c r="A100" s="277" t="n">
        <v>43196</v>
      </c>
      <c r="B100" s="262" t="s">
        <v>1051</v>
      </c>
      <c r="C100" s="256" t="s">
        <v>1052</v>
      </c>
      <c r="D100" s="275"/>
      <c r="E100" s="284" t="n">
        <v>10506577</v>
      </c>
      <c r="F100" s="154" t="n">
        <f aca="false">F99-E100</f>
        <v>324610473</v>
      </c>
    </row>
    <row r="101" customFormat="false" ht="57.45" hidden="false" customHeight="false" outlineLevel="0" collapsed="false">
      <c r="A101" s="277" t="n">
        <v>43196</v>
      </c>
      <c r="B101" s="262" t="s">
        <v>1053</v>
      </c>
      <c r="C101" s="256" t="s">
        <v>1054</v>
      </c>
      <c r="D101" s="275"/>
      <c r="E101" s="284" t="n">
        <v>4602315</v>
      </c>
      <c r="F101" s="154" t="n">
        <f aca="false">F100-E101</f>
        <v>320008158</v>
      </c>
    </row>
    <row r="102" customFormat="false" ht="57.45" hidden="false" customHeight="false" outlineLevel="0" collapsed="false">
      <c r="A102" s="277" t="n">
        <v>43196</v>
      </c>
      <c r="B102" s="262" t="s">
        <v>1055</v>
      </c>
      <c r="C102" s="256" t="s">
        <v>1056</v>
      </c>
      <c r="D102" s="275"/>
      <c r="E102" s="284" t="n">
        <v>3529936</v>
      </c>
      <c r="F102" s="154" t="n">
        <f aca="false">F101-E102</f>
        <v>316478222</v>
      </c>
    </row>
    <row r="103" customFormat="false" ht="35.05" hidden="false" customHeight="false" outlineLevel="0" collapsed="false">
      <c r="A103" s="277" t="n">
        <v>43202</v>
      </c>
      <c r="B103" s="262" t="s">
        <v>1057</v>
      </c>
      <c r="C103" s="256" t="s">
        <v>929</v>
      </c>
      <c r="D103" s="270"/>
      <c r="E103" s="276" t="n">
        <v>1310000</v>
      </c>
      <c r="F103" s="154" t="n">
        <f aca="false">F102-E103</f>
        <v>315168222</v>
      </c>
    </row>
    <row r="104" customFormat="false" ht="23.85" hidden="false" customHeight="false" outlineLevel="0" collapsed="false">
      <c r="A104" s="277" t="n">
        <v>43202</v>
      </c>
      <c r="B104" s="262" t="s">
        <v>1058</v>
      </c>
      <c r="C104" s="256" t="s">
        <v>929</v>
      </c>
      <c r="D104" s="257"/>
      <c r="E104" s="276" t="n">
        <v>6544000</v>
      </c>
      <c r="F104" s="154" t="n">
        <f aca="false">F103-E104</f>
        <v>308624222</v>
      </c>
    </row>
    <row r="105" customFormat="false" ht="57.45" hidden="false" customHeight="false" outlineLevel="0" collapsed="false">
      <c r="A105" s="277" t="n">
        <v>43202</v>
      </c>
      <c r="B105" s="255" t="s">
        <v>1059</v>
      </c>
      <c r="C105" s="256" t="s">
        <v>929</v>
      </c>
      <c r="D105" s="279"/>
      <c r="E105" s="284" t="n">
        <v>7611000</v>
      </c>
      <c r="F105" s="154" t="n">
        <f aca="false">F104-E105</f>
        <v>301013222</v>
      </c>
    </row>
    <row r="106" customFormat="false" ht="57.45" hidden="false" customHeight="false" outlineLevel="0" collapsed="false">
      <c r="A106" s="277" t="n">
        <v>43209</v>
      </c>
      <c r="B106" s="260" t="s">
        <v>1060</v>
      </c>
      <c r="C106" s="264" t="s">
        <v>1061</v>
      </c>
      <c r="D106" s="280"/>
      <c r="E106" s="284" t="n">
        <v>120000</v>
      </c>
      <c r="F106" s="154" t="n">
        <f aca="false">F105-E106</f>
        <v>300893222</v>
      </c>
    </row>
    <row r="107" customFormat="false" ht="46.25" hidden="false" customHeight="false" outlineLevel="0" collapsed="false">
      <c r="A107" s="277" t="n">
        <v>37011</v>
      </c>
      <c r="B107" s="285" t="s">
        <v>1062</v>
      </c>
      <c r="C107" s="264" t="s">
        <v>1063</v>
      </c>
      <c r="D107" s="270"/>
      <c r="E107" s="284" t="n">
        <v>252619</v>
      </c>
      <c r="F107" s="154" t="n">
        <f aca="false">F106-E107</f>
        <v>300640603</v>
      </c>
      <c r="G107" s="286" t="n">
        <v>43227</v>
      </c>
    </row>
    <row r="108" customFormat="false" ht="15" hidden="false" customHeight="false" outlineLevel="0" collapsed="false">
      <c r="A108" s="277" t="n">
        <v>43210</v>
      </c>
      <c r="B108" s="261" t="s">
        <v>1064</v>
      </c>
      <c r="C108" s="256" t="s">
        <v>929</v>
      </c>
      <c r="D108" s="281"/>
      <c r="E108" s="284" t="n">
        <v>685768</v>
      </c>
      <c r="F108" s="154" t="n">
        <f aca="false">F107-E108</f>
        <v>299954835</v>
      </c>
    </row>
    <row r="109" customFormat="false" ht="15" hidden="false" customHeight="false" outlineLevel="0" collapsed="false">
      <c r="A109" s="277" t="n">
        <v>43220</v>
      </c>
      <c r="B109" s="265" t="s">
        <v>956</v>
      </c>
      <c r="C109" s="266" t="s">
        <v>957</v>
      </c>
      <c r="D109" s="287" t="n">
        <f aca="false">8*20000</f>
        <v>160000</v>
      </c>
      <c r="E109" s="284"/>
      <c r="F109" s="154" t="n">
        <f aca="false">F108+D109</f>
        <v>300114835</v>
      </c>
    </row>
    <row r="110" customFormat="false" ht="15" hidden="false" customHeight="false" outlineLevel="0" collapsed="false">
      <c r="A110" s="277" t="n">
        <v>43220</v>
      </c>
      <c r="B110" s="265" t="s">
        <v>1065</v>
      </c>
      <c r="C110" s="266" t="s">
        <v>957</v>
      </c>
      <c r="D110" s="267" t="n">
        <f aca="false">5483625-25625</f>
        <v>5458000</v>
      </c>
      <c r="E110" s="276"/>
      <c r="F110" s="154" t="n">
        <f aca="false">F109+D110</f>
        <v>305572835</v>
      </c>
    </row>
    <row r="111" customFormat="false" ht="46.25" hidden="false" customHeight="false" outlineLevel="0" collapsed="false">
      <c r="A111" s="277" t="n">
        <v>43222</v>
      </c>
      <c r="B111" s="262" t="s">
        <v>1066</v>
      </c>
      <c r="C111" s="264" t="s">
        <v>1067</v>
      </c>
      <c r="D111" s="257"/>
      <c r="E111" s="276" t="n">
        <v>150000</v>
      </c>
      <c r="F111" s="154" t="n">
        <f aca="false">F110-E111</f>
        <v>305422835</v>
      </c>
    </row>
    <row r="112" customFormat="false" ht="35.05" hidden="false" customHeight="false" outlineLevel="0" collapsed="false">
      <c r="A112" s="277" t="n">
        <v>43222</v>
      </c>
      <c r="B112" s="255" t="s">
        <v>1068</v>
      </c>
      <c r="C112" s="256" t="s">
        <v>929</v>
      </c>
      <c r="D112" s="257"/>
      <c r="E112" s="276" t="n">
        <v>500000</v>
      </c>
      <c r="F112" s="154" t="n">
        <f aca="false">F111-E112</f>
        <v>304922835</v>
      </c>
    </row>
    <row r="113" customFormat="false" ht="23.85" hidden="false" customHeight="false" outlineLevel="0" collapsed="false">
      <c r="A113" s="277" t="n">
        <v>43222</v>
      </c>
      <c r="B113" s="259" t="s">
        <v>1069</v>
      </c>
      <c r="C113" s="256" t="s">
        <v>929</v>
      </c>
      <c r="D113" s="257"/>
      <c r="E113" s="276" t="n">
        <v>405000</v>
      </c>
      <c r="F113" s="154" t="n">
        <f aca="false">F112-E113</f>
        <v>304517835</v>
      </c>
    </row>
    <row r="114" customFormat="false" ht="46.25" hidden="false" customHeight="false" outlineLevel="0" collapsed="false">
      <c r="A114" s="277" t="n">
        <v>43222</v>
      </c>
      <c r="B114" s="255" t="s">
        <v>1070</v>
      </c>
      <c r="C114" s="264" t="s">
        <v>1071</v>
      </c>
      <c r="D114" s="257"/>
      <c r="E114" s="276" t="n">
        <v>279000</v>
      </c>
      <c r="F114" s="154" t="n">
        <f aca="false">F113-E114</f>
        <v>304238835</v>
      </c>
    </row>
    <row r="115" customFormat="false" ht="15" hidden="false" customHeight="false" outlineLevel="0" collapsed="false">
      <c r="A115" s="277" t="n">
        <v>43222</v>
      </c>
      <c r="B115" s="262" t="s">
        <v>1072</v>
      </c>
      <c r="C115" s="256" t="s">
        <v>957</v>
      </c>
      <c r="D115" s="257" t="n">
        <v>5000000</v>
      </c>
      <c r="E115" s="276"/>
      <c r="F115" s="154" t="n">
        <f aca="false">F114+D115</f>
        <v>309238835</v>
      </c>
    </row>
    <row r="116" customFormat="false" ht="23.85" hidden="false" customHeight="false" outlineLevel="0" collapsed="false">
      <c r="A116" s="277" t="n">
        <v>43223</v>
      </c>
      <c r="B116" s="262" t="s">
        <v>1073</v>
      </c>
      <c r="C116" s="264" t="s">
        <v>1074</v>
      </c>
      <c r="D116" s="270"/>
      <c r="E116" s="276" t="n">
        <v>145550</v>
      </c>
      <c r="F116" s="154" t="n">
        <f aca="false">F115-E116</f>
        <v>309093285</v>
      </c>
    </row>
    <row r="117" customFormat="false" ht="35.05" hidden="false" customHeight="false" outlineLevel="0" collapsed="false">
      <c r="A117" s="277" t="n">
        <v>43223</v>
      </c>
      <c r="B117" s="262" t="s">
        <v>1075</v>
      </c>
      <c r="C117" s="264" t="s">
        <v>1076</v>
      </c>
      <c r="D117" s="270"/>
      <c r="E117" s="276" t="n">
        <v>800000</v>
      </c>
      <c r="F117" s="154" t="n">
        <f aca="false">F116-E117</f>
        <v>308293285</v>
      </c>
    </row>
    <row r="118" customFormat="false" ht="35.05" hidden="false" customHeight="false" outlineLevel="0" collapsed="false">
      <c r="A118" s="277" t="n">
        <v>43223</v>
      </c>
      <c r="B118" s="262" t="s">
        <v>1077</v>
      </c>
      <c r="C118" s="264" t="s">
        <v>1078</v>
      </c>
      <c r="D118" s="270"/>
      <c r="E118" s="276" t="n">
        <v>5000000</v>
      </c>
      <c r="F118" s="154" t="n">
        <f aca="false">F117-E118</f>
        <v>303293285</v>
      </c>
    </row>
    <row r="119" customFormat="false" ht="35.05" hidden="false" customHeight="false" outlineLevel="0" collapsed="false">
      <c r="A119" s="277" t="n">
        <v>43223</v>
      </c>
      <c r="B119" s="262" t="s">
        <v>1079</v>
      </c>
      <c r="C119" s="256" t="s">
        <v>929</v>
      </c>
      <c r="D119" s="270"/>
      <c r="E119" s="276" t="n">
        <v>54000</v>
      </c>
      <c r="F119" s="154" t="n">
        <f aca="false">F118-E119</f>
        <v>303239285</v>
      </c>
    </row>
    <row r="120" customFormat="false" ht="23.85" hidden="false" customHeight="false" outlineLevel="0" collapsed="false">
      <c r="A120" s="277" t="n">
        <v>43226</v>
      </c>
      <c r="B120" s="262" t="s">
        <v>1080</v>
      </c>
      <c r="C120" s="264" t="s">
        <v>1081</v>
      </c>
      <c r="D120" s="270"/>
      <c r="E120" s="276" t="n">
        <v>307420</v>
      </c>
      <c r="F120" s="154" t="n">
        <f aca="false">F119-E120</f>
        <v>302931865</v>
      </c>
    </row>
    <row r="121" customFormat="false" ht="15" hidden="false" customHeight="false" outlineLevel="0" collapsed="false">
      <c r="A121" s="277" t="n">
        <v>43226</v>
      </c>
      <c r="B121" s="261" t="s">
        <v>1082</v>
      </c>
      <c r="C121" s="264" t="s">
        <v>1083</v>
      </c>
      <c r="D121" s="270"/>
      <c r="E121" s="276" t="n">
        <v>216500</v>
      </c>
      <c r="F121" s="154" t="n">
        <f aca="false">F120-E121</f>
        <v>302715365</v>
      </c>
    </row>
    <row r="122" customFormat="false" ht="15" hidden="false" customHeight="false" outlineLevel="0" collapsed="false">
      <c r="A122" s="277" t="n">
        <v>43229</v>
      </c>
      <c r="B122" s="268" t="s">
        <v>1084</v>
      </c>
      <c r="C122" s="264" t="s">
        <v>1085</v>
      </c>
      <c r="D122" s="281"/>
      <c r="E122" s="284" t="n">
        <v>79103</v>
      </c>
      <c r="F122" s="154" t="n">
        <f aca="false">F121-E122</f>
        <v>302636262</v>
      </c>
    </row>
    <row r="123" customFormat="false" ht="15" hidden="false" customHeight="false" outlineLevel="0" collapsed="false">
      <c r="A123" s="277" t="n">
        <v>43229</v>
      </c>
      <c r="B123" s="268" t="s">
        <v>962</v>
      </c>
      <c r="C123" s="264" t="s">
        <v>963</v>
      </c>
      <c r="D123" s="281"/>
      <c r="E123" s="284" t="n">
        <v>5500</v>
      </c>
      <c r="F123" s="154" t="n">
        <f aca="false">F122-E123</f>
        <v>302630762</v>
      </c>
    </row>
    <row r="124" customFormat="false" ht="57.45" hidden="false" customHeight="false" outlineLevel="0" collapsed="false">
      <c r="A124" s="277" t="n">
        <v>43231</v>
      </c>
      <c r="B124" s="255" t="s">
        <v>1059</v>
      </c>
      <c r="C124" s="256" t="s">
        <v>929</v>
      </c>
      <c r="D124" s="281"/>
      <c r="E124" s="284" t="n">
        <v>4461200</v>
      </c>
      <c r="F124" s="154" t="n">
        <f aca="false">F123-E124</f>
        <v>298169562</v>
      </c>
    </row>
    <row r="125" customFormat="false" ht="35.05" hidden="false" customHeight="false" outlineLevel="0" collapsed="false">
      <c r="A125" s="277" t="n">
        <v>43234</v>
      </c>
      <c r="B125" s="255" t="s">
        <v>1086</v>
      </c>
      <c r="C125" s="264" t="s">
        <v>1087</v>
      </c>
      <c r="D125" s="281"/>
      <c r="E125" s="284" t="n">
        <v>120000</v>
      </c>
      <c r="F125" s="154" t="n">
        <f aca="false">F124-E125</f>
        <v>298049562</v>
      </c>
    </row>
    <row r="126" customFormat="false" ht="15" hidden="false" customHeight="false" outlineLevel="0" collapsed="false">
      <c r="A126" s="277" t="n">
        <v>43234</v>
      </c>
      <c r="B126" s="261" t="s">
        <v>1088</v>
      </c>
      <c r="C126" s="256" t="s">
        <v>929</v>
      </c>
      <c r="D126" s="281"/>
      <c r="E126" s="284" t="n">
        <v>685768</v>
      </c>
      <c r="F126" s="154" t="n">
        <f aca="false">F125-E126</f>
        <v>297363794</v>
      </c>
    </row>
    <row r="127" customFormat="false" ht="35.05" hidden="false" customHeight="false" outlineLevel="0" collapsed="false">
      <c r="A127" s="277" t="n">
        <v>43234</v>
      </c>
      <c r="B127" s="255" t="s">
        <v>1089</v>
      </c>
      <c r="C127" s="256" t="s">
        <v>929</v>
      </c>
      <c r="D127" s="281"/>
      <c r="E127" s="284" t="n">
        <v>784000</v>
      </c>
      <c r="F127" s="154" t="n">
        <f aca="false">F126-E127</f>
        <v>296579794</v>
      </c>
    </row>
    <row r="128" customFormat="false" ht="46.25" hidden="false" customHeight="false" outlineLevel="0" collapsed="false">
      <c r="A128" s="277" t="n">
        <v>43236</v>
      </c>
      <c r="B128" s="255" t="s">
        <v>1090</v>
      </c>
      <c r="C128" s="256" t="s">
        <v>929</v>
      </c>
      <c r="D128" s="281"/>
      <c r="E128" s="284" t="n">
        <v>1175000</v>
      </c>
      <c r="F128" s="154" t="n">
        <f aca="false">F127-E128</f>
        <v>295404794</v>
      </c>
    </row>
    <row r="129" customFormat="false" ht="46.25" hidden="false" customHeight="false" outlineLevel="0" collapsed="false">
      <c r="A129" s="277" t="n">
        <v>43236</v>
      </c>
      <c r="B129" s="255" t="s">
        <v>1091</v>
      </c>
      <c r="C129" s="256" t="s">
        <v>929</v>
      </c>
      <c r="D129" s="281"/>
      <c r="E129" s="284" t="n">
        <v>1400000</v>
      </c>
      <c r="F129" s="154" t="n">
        <f aca="false">F128-E129</f>
        <v>294004794</v>
      </c>
    </row>
    <row r="130" customFormat="false" ht="35.05" hidden="false" customHeight="false" outlineLevel="0" collapsed="false">
      <c r="A130" s="277" t="n">
        <v>43236</v>
      </c>
      <c r="B130" s="262" t="s">
        <v>1092</v>
      </c>
      <c r="C130" s="264" t="s">
        <v>1093</v>
      </c>
      <c r="D130" s="281"/>
      <c r="E130" s="284" t="n">
        <v>4415000</v>
      </c>
      <c r="F130" s="154" t="n">
        <f aca="false">F129-E130</f>
        <v>289589794</v>
      </c>
    </row>
    <row r="131" customFormat="false" ht="23.85" hidden="false" customHeight="false" outlineLevel="0" collapsed="false">
      <c r="A131" s="277" t="n">
        <v>43236</v>
      </c>
      <c r="B131" s="262" t="s">
        <v>1094</v>
      </c>
      <c r="C131" s="264" t="s">
        <v>1095</v>
      </c>
      <c r="D131" s="281"/>
      <c r="E131" s="284" t="n">
        <v>7680000</v>
      </c>
      <c r="F131" s="154" t="n">
        <f aca="false">F130-E131</f>
        <v>281909794</v>
      </c>
    </row>
    <row r="132" customFormat="false" ht="35.05" hidden="false" customHeight="false" outlineLevel="0" collapsed="false">
      <c r="A132" s="277" t="n">
        <v>43236</v>
      </c>
      <c r="B132" s="255" t="s">
        <v>1096</v>
      </c>
      <c r="C132" s="256" t="s">
        <v>929</v>
      </c>
      <c r="D132" s="281"/>
      <c r="E132" s="284" t="n">
        <v>700000</v>
      </c>
      <c r="F132" s="154" t="n">
        <f aca="false">F131-E132</f>
        <v>281209794</v>
      </c>
    </row>
    <row r="133" customFormat="false" ht="57.45" hidden="false" customHeight="false" outlineLevel="0" collapsed="false">
      <c r="A133" s="277" t="n">
        <v>43242</v>
      </c>
      <c r="B133" s="255" t="s">
        <v>1059</v>
      </c>
      <c r="C133" s="256" t="s">
        <v>929</v>
      </c>
      <c r="D133" s="270"/>
      <c r="E133" s="276" t="n">
        <v>456000</v>
      </c>
      <c r="F133" s="154" t="n">
        <f aca="false">F132-E133</f>
        <v>280753794</v>
      </c>
    </row>
    <row r="134" customFormat="false" ht="15" hidden="false" customHeight="false" outlineLevel="0" collapsed="false">
      <c r="A134" s="277" t="n">
        <v>43242</v>
      </c>
      <c r="B134" s="261" t="s">
        <v>1082</v>
      </c>
      <c r="C134" s="264" t="s">
        <v>1097</v>
      </c>
      <c r="D134" s="270"/>
      <c r="E134" s="276" t="n">
        <v>150000</v>
      </c>
      <c r="F134" s="154" t="n">
        <f aca="false">F133-E134</f>
        <v>280603794</v>
      </c>
    </row>
    <row r="135" customFormat="false" ht="46.25" hidden="false" customHeight="false" outlineLevel="0" collapsed="false">
      <c r="A135" s="277" t="n">
        <v>43244</v>
      </c>
      <c r="B135" s="262" t="s">
        <v>1098</v>
      </c>
      <c r="C135" s="264" t="s">
        <v>1099</v>
      </c>
      <c r="D135" s="270"/>
      <c r="E135" s="276" t="n">
        <v>119950</v>
      </c>
      <c r="F135" s="154" t="n">
        <f aca="false">F134-E135</f>
        <v>280483844</v>
      </c>
    </row>
    <row r="136" customFormat="false" ht="46.25" hidden="false" customHeight="false" outlineLevel="0" collapsed="false">
      <c r="A136" s="277" t="n">
        <v>43244</v>
      </c>
      <c r="B136" s="262" t="s">
        <v>1100</v>
      </c>
      <c r="C136" s="264" t="s">
        <v>1101</v>
      </c>
      <c r="D136" s="270"/>
      <c r="E136" s="276" t="n">
        <v>64875</v>
      </c>
      <c r="F136" s="154" t="n">
        <f aca="false">F135-E136</f>
        <v>280418969</v>
      </c>
    </row>
    <row r="137" customFormat="false" ht="15" hidden="false" customHeight="false" outlineLevel="0" collapsed="false">
      <c r="A137" s="277" t="n">
        <v>43251</v>
      </c>
      <c r="B137" s="265" t="s">
        <v>956</v>
      </c>
      <c r="C137" s="266" t="s">
        <v>957</v>
      </c>
      <c r="D137" s="270" t="n">
        <v>60000</v>
      </c>
      <c r="E137" s="276"/>
      <c r="F137" s="154" t="n">
        <f aca="false">F136+D137</f>
        <v>280478969</v>
      </c>
    </row>
    <row r="138" customFormat="false" ht="15" hidden="false" customHeight="false" outlineLevel="0" collapsed="false">
      <c r="A138" s="277" t="n">
        <v>43251</v>
      </c>
      <c r="B138" s="265" t="s">
        <v>1102</v>
      </c>
      <c r="C138" s="266" t="s">
        <v>957</v>
      </c>
      <c r="D138" s="270" t="n">
        <v>8322000</v>
      </c>
      <c r="E138" s="276"/>
      <c r="F138" s="154" t="n">
        <f aca="false">F137+D138</f>
        <v>288800969</v>
      </c>
    </row>
    <row r="139" customFormat="false" ht="23.85" hidden="false" customHeight="false" outlineLevel="0" collapsed="false">
      <c r="A139" s="277" t="n">
        <v>43254</v>
      </c>
      <c r="B139" s="259" t="s">
        <v>1103</v>
      </c>
      <c r="C139" s="256" t="s">
        <v>929</v>
      </c>
      <c r="D139" s="270"/>
      <c r="E139" s="276" t="n">
        <v>405000</v>
      </c>
      <c r="F139" s="154" t="n">
        <f aca="false">F138-E139</f>
        <v>288395969</v>
      </c>
    </row>
    <row r="140" customFormat="false" ht="35.05" hidden="false" customHeight="false" outlineLevel="0" collapsed="false">
      <c r="A140" s="277" t="n">
        <v>43256</v>
      </c>
      <c r="B140" s="262" t="s">
        <v>1079</v>
      </c>
      <c r="C140" s="256" t="s">
        <v>929</v>
      </c>
      <c r="D140" s="270"/>
      <c r="E140" s="276" t="n">
        <v>63000</v>
      </c>
      <c r="F140" s="154" t="n">
        <f aca="false">F139-E140</f>
        <v>288332969</v>
      </c>
    </row>
    <row r="141" customFormat="false" ht="46.25" hidden="false" customHeight="false" outlineLevel="0" collapsed="false">
      <c r="A141" s="277" t="n">
        <v>43256</v>
      </c>
      <c r="B141" s="255" t="s">
        <v>1104</v>
      </c>
      <c r="C141" s="256" t="s">
        <v>929</v>
      </c>
      <c r="D141" s="270"/>
      <c r="E141" s="276" t="n">
        <v>400000</v>
      </c>
      <c r="F141" s="154" t="n">
        <f aca="false">F140-E141</f>
        <v>287932969</v>
      </c>
    </row>
    <row r="142" customFormat="false" ht="35.05" hidden="false" customHeight="false" outlineLevel="0" collapsed="false">
      <c r="A142" s="277" t="n">
        <v>43256</v>
      </c>
      <c r="B142" s="274" t="s">
        <v>1105</v>
      </c>
      <c r="C142" s="256" t="s">
        <v>929</v>
      </c>
      <c r="D142" s="270"/>
      <c r="E142" s="276" t="n">
        <v>1582500</v>
      </c>
      <c r="F142" s="154" t="n">
        <f aca="false">F141-E142</f>
        <v>286350469</v>
      </c>
    </row>
    <row r="143" customFormat="false" ht="46.25" hidden="false" customHeight="false" outlineLevel="0" collapsed="false">
      <c r="A143" s="277" t="n">
        <v>43256</v>
      </c>
      <c r="B143" s="255" t="s">
        <v>1106</v>
      </c>
      <c r="C143" s="256" t="s">
        <v>929</v>
      </c>
      <c r="D143" s="270"/>
      <c r="E143" s="276" t="n">
        <v>2400000</v>
      </c>
      <c r="F143" s="154" t="n">
        <f aca="false">F142-E143</f>
        <v>283950469</v>
      </c>
    </row>
    <row r="144" customFormat="false" ht="35.05" hidden="false" customHeight="false" outlineLevel="0" collapsed="false">
      <c r="A144" s="277" t="n">
        <v>43256</v>
      </c>
      <c r="B144" s="255" t="s">
        <v>1107</v>
      </c>
      <c r="C144" s="264" t="s">
        <v>1108</v>
      </c>
      <c r="D144" s="270"/>
      <c r="E144" s="276" t="n">
        <v>4000000</v>
      </c>
      <c r="F144" s="154" t="n">
        <f aca="false">F143-E144</f>
        <v>279950469</v>
      </c>
    </row>
    <row r="145" customFormat="false" ht="46.25" hidden="false" customHeight="false" outlineLevel="0" collapsed="false">
      <c r="A145" s="277" t="n">
        <v>43256</v>
      </c>
      <c r="B145" s="255" t="s">
        <v>1109</v>
      </c>
      <c r="C145" s="264" t="s">
        <v>1110</v>
      </c>
      <c r="D145" s="270"/>
      <c r="E145" s="276" t="n">
        <v>200000</v>
      </c>
      <c r="F145" s="154" t="n">
        <f aca="false">F144-E145</f>
        <v>279750469</v>
      </c>
    </row>
    <row r="146" customFormat="false" ht="35.05" hidden="false" customHeight="false" outlineLevel="0" collapsed="false">
      <c r="A146" s="277" t="n">
        <v>43264</v>
      </c>
      <c r="B146" s="255" t="s">
        <v>1111</v>
      </c>
      <c r="C146" s="256" t="s">
        <v>929</v>
      </c>
      <c r="D146" s="270"/>
      <c r="E146" s="276" t="n">
        <v>280000</v>
      </c>
      <c r="F146" s="154" t="n">
        <f aca="false">F145-E146</f>
        <v>279470469</v>
      </c>
    </row>
    <row r="147" customFormat="false" ht="15" hidden="false" customHeight="false" outlineLevel="0" collapsed="false">
      <c r="A147" s="277" t="n">
        <v>43265</v>
      </c>
      <c r="B147" s="268" t="s">
        <v>1112</v>
      </c>
      <c r="C147" s="264" t="s">
        <v>1113</v>
      </c>
      <c r="D147" s="281"/>
      <c r="E147" s="284" t="n">
        <v>79103</v>
      </c>
      <c r="F147" s="154" t="n">
        <f aca="false">F146-E147</f>
        <v>279391366</v>
      </c>
    </row>
    <row r="148" customFormat="false" ht="15" hidden="false" customHeight="false" outlineLevel="0" collapsed="false">
      <c r="A148" s="277" t="n">
        <v>43265</v>
      </c>
      <c r="B148" s="268" t="s">
        <v>962</v>
      </c>
      <c r="C148" s="264" t="s">
        <v>963</v>
      </c>
      <c r="D148" s="281"/>
      <c r="E148" s="284" t="n">
        <v>5500</v>
      </c>
      <c r="F148" s="154" t="n">
        <f aca="false">F147-E148</f>
        <v>279385866</v>
      </c>
    </row>
    <row r="149" customFormat="false" ht="35.05" hidden="false" customHeight="false" outlineLevel="0" collapsed="false">
      <c r="A149" s="277" t="n">
        <v>43270</v>
      </c>
      <c r="B149" s="255" t="s">
        <v>1114</v>
      </c>
      <c r="C149" s="256" t="s">
        <v>929</v>
      </c>
      <c r="D149" s="270"/>
      <c r="E149" s="276" t="n">
        <v>1400000</v>
      </c>
      <c r="F149" s="154" t="n">
        <f aca="false">F148-E149</f>
        <v>277985866</v>
      </c>
    </row>
    <row r="150" customFormat="false" ht="15" hidden="false" customHeight="false" outlineLevel="0" collapsed="false">
      <c r="A150" s="277" t="n">
        <v>43269</v>
      </c>
      <c r="B150" s="261" t="s">
        <v>1115</v>
      </c>
      <c r="C150" s="256" t="s">
        <v>929</v>
      </c>
      <c r="D150" s="281"/>
      <c r="E150" s="284" t="n">
        <v>685768</v>
      </c>
      <c r="F150" s="154" t="n">
        <f aca="false">F149-E150</f>
        <v>277300098</v>
      </c>
    </row>
    <row r="151" customFormat="false" ht="35.05" hidden="false" customHeight="false" outlineLevel="0" collapsed="false">
      <c r="A151" s="277" t="n">
        <v>43270</v>
      </c>
      <c r="B151" s="262" t="s">
        <v>1116</v>
      </c>
      <c r="C151" s="264" t="s">
        <v>1117</v>
      </c>
      <c r="D151" s="270"/>
      <c r="E151" s="276" t="n">
        <v>4034400</v>
      </c>
      <c r="F151" s="154" t="n">
        <f aca="false">F150-E151</f>
        <v>273265698</v>
      </c>
    </row>
    <row r="152" customFormat="false" ht="46.25" hidden="false" customHeight="false" outlineLevel="0" collapsed="false">
      <c r="A152" s="277" t="n">
        <v>43270</v>
      </c>
      <c r="B152" s="255" t="s">
        <v>1118</v>
      </c>
      <c r="C152" s="264" t="s">
        <v>1119</v>
      </c>
      <c r="D152" s="257"/>
      <c r="E152" s="276" t="n">
        <v>279000</v>
      </c>
      <c r="F152" s="154" t="n">
        <f aca="false">F151-E152</f>
        <v>272986698</v>
      </c>
    </row>
    <row r="153" customFormat="false" ht="23.85" hidden="false" customHeight="false" outlineLevel="0" collapsed="false">
      <c r="A153" s="277" t="n">
        <v>43271</v>
      </c>
      <c r="B153" s="262" t="s">
        <v>1120</v>
      </c>
      <c r="C153" s="264" t="s">
        <v>1121</v>
      </c>
      <c r="D153" s="270"/>
      <c r="E153" s="276" t="n">
        <v>40000</v>
      </c>
      <c r="F153" s="154" t="n">
        <f aca="false">F152-E153</f>
        <v>272946698</v>
      </c>
    </row>
    <row r="154" customFormat="false" ht="35.05" hidden="false" customHeight="false" outlineLevel="0" collapsed="false">
      <c r="A154" s="277" t="n">
        <v>43271</v>
      </c>
      <c r="B154" s="262" t="s">
        <v>1079</v>
      </c>
      <c r="C154" s="256" t="s">
        <v>929</v>
      </c>
      <c r="D154" s="270"/>
      <c r="E154" s="276" t="n">
        <v>18000</v>
      </c>
      <c r="F154" s="154" t="n">
        <f aca="false">F153-E154</f>
        <v>272928698</v>
      </c>
    </row>
    <row r="155" customFormat="false" ht="46.25" hidden="false" customHeight="false" outlineLevel="0" collapsed="false">
      <c r="A155" s="277" t="n">
        <v>43273</v>
      </c>
      <c r="B155" s="255" t="s">
        <v>1122</v>
      </c>
      <c r="C155" s="264" t="s">
        <v>1123</v>
      </c>
      <c r="D155" s="270"/>
      <c r="E155" s="276" t="n">
        <v>2876475</v>
      </c>
      <c r="F155" s="154" t="n">
        <f aca="false">F154-E155</f>
        <v>270052223</v>
      </c>
    </row>
    <row r="156" customFormat="false" ht="15" hidden="false" customHeight="false" outlineLevel="0" collapsed="false">
      <c r="A156" s="277" t="n">
        <v>43281</v>
      </c>
      <c r="B156" s="265" t="s">
        <v>956</v>
      </c>
      <c r="C156" s="266" t="s">
        <v>957</v>
      </c>
      <c r="D156" s="270" t="n">
        <v>420000</v>
      </c>
      <c r="E156" s="276"/>
      <c r="F156" s="154" t="n">
        <f aca="false">F155+D156</f>
        <v>270472223</v>
      </c>
    </row>
    <row r="157" customFormat="false" ht="15" hidden="false" customHeight="false" outlineLevel="0" collapsed="false">
      <c r="A157" s="277" t="n">
        <v>43281</v>
      </c>
      <c r="B157" s="265" t="s">
        <v>1124</v>
      </c>
      <c r="C157" s="266" t="s">
        <v>957</v>
      </c>
      <c r="D157" s="270" t="n">
        <v>15029950</v>
      </c>
      <c r="E157" s="276"/>
      <c r="F157" s="154" t="n">
        <f aca="false">F156+D157</f>
        <v>285502173</v>
      </c>
    </row>
    <row r="158" customFormat="false" ht="15" hidden="false" customHeight="false" outlineLevel="0" collapsed="false">
      <c r="A158" s="277" t="n">
        <v>39632</v>
      </c>
      <c r="B158" s="261" t="s">
        <v>1037</v>
      </c>
      <c r="C158" s="283" t="s">
        <v>1125</v>
      </c>
      <c r="D158" s="270"/>
      <c r="E158" s="276" t="n">
        <v>114154</v>
      </c>
      <c r="F158" s="154" t="n">
        <f aca="false">F157-E158</f>
        <v>285388019</v>
      </c>
    </row>
    <row r="159" customFormat="false" ht="15" hidden="false" customHeight="false" outlineLevel="0" collapsed="false">
      <c r="A159" s="277" t="n">
        <v>43284</v>
      </c>
      <c r="B159" s="261" t="s">
        <v>1037</v>
      </c>
      <c r="C159" s="283" t="s">
        <v>1126</v>
      </c>
      <c r="D159" s="270"/>
      <c r="E159" s="276" t="n">
        <v>300609</v>
      </c>
      <c r="F159" s="154" t="n">
        <f aca="false">F158-E159</f>
        <v>285087410</v>
      </c>
    </row>
    <row r="160" customFormat="false" ht="23.85" hidden="false" customHeight="false" outlineLevel="0" collapsed="false">
      <c r="A160" s="277" t="n">
        <v>43284</v>
      </c>
      <c r="B160" s="259" t="s">
        <v>1127</v>
      </c>
      <c r="C160" s="256" t="s">
        <v>929</v>
      </c>
      <c r="D160" s="270"/>
      <c r="E160" s="276" t="n">
        <v>405000</v>
      </c>
      <c r="F160" s="154" t="n">
        <f aca="false">F159-E160</f>
        <v>284682410</v>
      </c>
    </row>
    <row r="161" customFormat="false" ht="46.25" hidden="false" customHeight="false" outlineLevel="0" collapsed="false">
      <c r="A161" s="277" t="n">
        <v>43284</v>
      </c>
      <c r="B161" s="255" t="s">
        <v>1128</v>
      </c>
      <c r="C161" s="283" t="s">
        <v>1129</v>
      </c>
      <c r="D161" s="270"/>
      <c r="E161" s="276" t="n">
        <v>100000</v>
      </c>
      <c r="F161" s="154" t="n">
        <f aca="false">F160-E161</f>
        <v>284582410</v>
      </c>
    </row>
    <row r="162" customFormat="false" ht="23.85" hidden="false" customHeight="false" outlineLevel="0" collapsed="false">
      <c r="A162" s="277" t="n">
        <v>43286</v>
      </c>
      <c r="B162" s="262" t="s">
        <v>1130</v>
      </c>
      <c r="C162" s="283" t="s">
        <v>1131</v>
      </c>
      <c r="D162" s="275"/>
      <c r="E162" s="284" t="n">
        <v>840000</v>
      </c>
      <c r="F162" s="154" t="n">
        <f aca="false">F161-E162</f>
        <v>283742410</v>
      </c>
    </row>
    <row r="163" customFormat="false" ht="35.05" hidden="false" customHeight="false" outlineLevel="0" collapsed="false">
      <c r="A163" s="277" t="n">
        <v>43286</v>
      </c>
      <c r="B163" s="274" t="s">
        <v>1132</v>
      </c>
      <c r="C163" s="256" t="s">
        <v>929</v>
      </c>
      <c r="D163" s="275"/>
      <c r="E163" s="284" t="n">
        <v>1854000</v>
      </c>
      <c r="F163" s="154" t="n">
        <f aca="false">F162-E163</f>
        <v>281888410</v>
      </c>
    </row>
    <row r="164" customFormat="false" ht="15" hidden="false" customHeight="false" outlineLevel="0" collapsed="false">
      <c r="A164" s="277" t="n">
        <v>43291</v>
      </c>
      <c r="B164" s="268" t="s">
        <v>1133</v>
      </c>
      <c r="C164" s="264" t="s">
        <v>1134</v>
      </c>
      <c r="D164" s="281"/>
      <c r="E164" s="284" t="n">
        <v>79103</v>
      </c>
      <c r="F164" s="154" t="n">
        <f aca="false">F163-E164</f>
        <v>281809307</v>
      </c>
    </row>
    <row r="165" customFormat="false" ht="15" hidden="false" customHeight="false" outlineLevel="0" collapsed="false">
      <c r="A165" s="277" t="s">
        <v>1135</v>
      </c>
      <c r="B165" s="268" t="s">
        <v>962</v>
      </c>
      <c r="C165" s="264" t="s">
        <v>963</v>
      </c>
      <c r="D165" s="281"/>
      <c r="E165" s="284" t="n">
        <v>5500</v>
      </c>
      <c r="F165" s="154" t="n">
        <f aca="false">F164-E165</f>
        <v>281803807</v>
      </c>
    </row>
    <row r="166" customFormat="false" ht="15" hidden="false" customHeight="false" outlineLevel="0" collapsed="false">
      <c r="A166" s="277" t="n">
        <v>43291</v>
      </c>
      <c r="B166" s="268" t="s">
        <v>1136</v>
      </c>
      <c r="C166" s="264" t="s">
        <v>1137</v>
      </c>
      <c r="D166" s="281"/>
      <c r="E166" s="284" t="n">
        <v>935820</v>
      </c>
      <c r="F166" s="154" t="n">
        <f aca="false">F165-E166</f>
        <v>280867987</v>
      </c>
    </row>
    <row r="167" customFormat="false" ht="15" hidden="false" customHeight="false" outlineLevel="0" collapsed="false">
      <c r="A167" s="277" t="n">
        <v>43291</v>
      </c>
      <c r="B167" s="268" t="s">
        <v>962</v>
      </c>
      <c r="C167" s="256" t="s">
        <v>963</v>
      </c>
      <c r="D167" s="281"/>
      <c r="E167" s="284" t="n">
        <v>5500</v>
      </c>
      <c r="F167" s="154" t="n">
        <f aca="false">F166-E167</f>
        <v>280862487</v>
      </c>
    </row>
    <row r="168" customFormat="false" ht="15" hidden="false" customHeight="false" outlineLevel="0" collapsed="false">
      <c r="A168" s="277" t="n">
        <v>43292</v>
      </c>
      <c r="B168" s="261" t="s">
        <v>1138</v>
      </c>
      <c r="C168" s="256" t="s">
        <v>929</v>
      </c>
      <c r="D168" s="281"/>
      <c r="E168" s="284" t="n">
        <v>685768</v>
      </c>
      <c r="F168" s="154" t="n">
        <f aca="false">F167-E168</f>
        <v>280176719</v>
      </c>
    </row>
    <row r="169" customFormat="false" ht="57.45" hidden="false" customHeight="false" outlineLevel="0" collapsed="false">
      <c r="A169" s="277" t="n">
        <v>43292</v>
      </c>
      <c r="B169" s="255" t="s">
        <v>1059</v>
      </c>
      <c r="C169" s="256" t="s">
        <v>929</v>
      </c>
      <c r="D169" s="270"/>
      <c r="E169" s="276" t="n">
        <v>1288000</v>
      </c>
      <c r="F169" s="154" t="n">
        <f aca="false">F168-E169</f>
        <v>278888719</v>
      </c>
    </row>
    <row r="170" customFormat="false" ht="35.05" hidden="false" customHeight="false" outlineLevel="0" collapsed="false">
      <c r="A170" s="277" t="n">
        <v>43292</v>
      </c>
      <c r="B170" s="255" t="s">
        <v>1139</v>
      </c>
      <c r="C170" s="256" t="s">
        <v>929</v>
      </c>
      <c r="D170" s="270"/>
      <c r="E170" s="276" t="n">
        <v>1885000</v>
      </c>
      <c r="F170" s="154" t="n">
        <f aca="false">F169-E170</f>
        <v>277003719</v>
      </c>
    </row>
    <row r="171" customFormat="false" ht="35.05" hidden="false" customHeight="false" outlineLevel="0" collapsed="false">
      <c r="A171" s="277" t="n">
        <v>43292</v>
      </c>
      <c r="B171" s="255" t="s">
        <v>1140</v>
      </c>
      <c r="C171" s="256" t="s">
        <v>929</v>
      </c>
      <c r="D171" s="270"/>
      <c r="E171" s="276" t="n">
        <v>561000</v>
      </c>
      <c r="F171" s="154" t="n">
        <f aca="false">F170-E171</f>
        <v>276442719</v>
      </c>
    </row>
    <row r="172" customFormat="false" ht="15" hidden="false" customHeight="false" outlineLevel="0" collapsed="false">
      <c r="A172" s="277" t="n">
        <v>43292</v>
      </c>
      <c r="B172" s="261" t="s">
        <v>1141</v>
      </c>
      <c r="C172" s="256" t="s">
        <v>929</v>
      </c>
      <c r="D172" s="270"/>
      <c r="E172" s="276" t="n">
        <v>330000</v>
      </c>
      <c r="F172" s="154" t="n">
        <f aca="false">F171-E172</f>
        <v>276112719</v>
      </c>
    </row>
    <row r="173" customFormat="false" ht="35.05" hidden="false" customHeight="false" outlineLevel="0" collapsed="false">
      <c r="A173" s="277" t="n">
        <v>43293</v>
      </c>
      <c r="B173" s="255" t="s">
        <v>1142</v>
      </c>
      <c r="C173" s="283" t="s">
        <v>1143</v>
      </c>
      <c r="D173" s="270"/>
      <c r="E173" s="276" t="n">
        <v>1959500</v>
      </c>
      <c r="F173" s="154" t="n">
        <f aca="false">F172-E173</f>
        <v>274153219</v>
      </c>
    </row>
    <row r="174" customFormat="false" ht="46.25" hidden="false" customHeight="false" outlineLevel="0" collapsed="false">
      <c r="A174" s="277" t="n">
        <v>43294</v>
      </c>
      <c r="B174" s="255" t="s">
        <v>1144</v>
      </c>
      <c r="C174" s="256" t="s">
        <v>929</v>
      </c>
      <c r="D174" s="270"/>
      <c r="E174" s="276" t="n">
        <v>1850000</v>
      </c>
      <c r="F174" s="154" t="n">
        <f aca="false">F173-E174</f>
        <v>272303219</v>
      </c>
    </row>
    <row r="175" customFormat="false" ht="46.25" hidden="false" customHeight="false" outlineLevel="0" collapsed="false">
      <c r="A175" s="277" t="n">
        <v>43299</v>
      </c>
      <c r="B175" s="262" t="s">
        <v>1145</v>
      </c>
      <c r="C175" s="264" t="s">
        <v>1146</v>
      </c>
      <c r="D175" s="270"/>
      <c r="E175" s="276" t="n">
        <v>10383030</v>
      </c>
      <c r="F175" s="154" t="n">
        <f aca="false">F174-E175</f>
        <v>261920189</v>
      </c>
    </row>
    <row r="176" customFormat="false" ht="15" hidden="false" customHeight="false" outlineLevel="0" collapsed="false">
      <c r="A176" s="277" t="n">
        <v>43311</v>
      </c>
      <c r="B176" s="261" t="s">
        <v>1147</v>
      </c>
      <c r="C176" s="264" t="s">
        <v>1148</v>
      </c>
      <c r="D176" s="270"/>
      <c r="E176" s="276" t="n">
        <v>167120</v>
      </c>
      <c r="F176" s="154" t="n">
        <f aca="false">F175-E176</f>
        <v>261753069</v>
      </c>
    </row>
    <row r="177" customFormat="false" ht="35.05" hidden="false" customHeight="false" outlineLevel="0" collapsed="false">
      <c r="A177" s="277" t="n">
        <v>43311</v>
      </c>
      <c r="B177" s="262" t="s">
        <v>1149</v>
      </c>
      <c r="C177" s="264" t="s">
        <v>1150</v>
      </c>
      <c r="D177" s="270"/>
      <c r="E177" s="276" t="n">
        <v>1854200</v>
      </c>
      <c r="F177" s="154" t="n">
        <f aca="false">F176-E177</f>
        <v>259898869</v>
      </c>
    </row>
    <row r="178" customFormat="false" ht="23.85" hidden="false" customHeight="false" outlineLevel="0" collapsed="false">
      <c r="A178" s="277" t="n">
        <v>43312</v>
      </c>
      <c r="B178" s="262" t="s">
        <v>1151</v>
      </c>
      <c r="C178" s="264" t="s">
        <v>1152</v>
      </c>
      <c r="D178" s="270"/>
      <c r="E178" s="276" t="n">
        <v>153000</v>
      </c>
      <c r="F178" s="154" t="n">
        <f aca="false">F177-E178</f>
        <v>259745869</v>
      </c>
    </row>
    <row r="179" customFormat="false" ht="35.05" hidden="false" customHeight="false" outlineLevel="0" collapsed="false">
      <c r="A179" s="277" t="n">
        <v>43312</v>
      </c>
      <c r="B179" s="262" t="s">
        <v>1153</v>
      </c>
      <c r="C179" s="264" t="s">
        <v>1154</v>
      </c>
      <c r="D179" s="270"/>
      <c r="E179" s="276" t="n">
        <v>600000</v>
      </c>
      <c r="F179" s="154" t="n">
        <f aca="false">F178-E179</f>
        <v>259145869</v>
      </c>
    </row>
    <row r="180" customFormat="false" ht="35.05" hidden="false" customHeight="false" outlineLevel="0" collapsed="false">
      <c r="A180" s="277" t="n">
        <v>43312</v>
      </c>
      <c r="B180" s="274" t="s">
        <v>1155</v>
      </c>
      <c r="C180" s="256" t="s">
        <v>929</v>
      </c>
      <c r="D180" s="270"/>
      <c r="E180" s="276" t="n">
        <v>1882500</v>
      </c>
      <c r="F180" s="154" t="n">
        <f aca="false">F179-E180</f>
        <v>257263369</v>
      </c>
    </row>
    <row r="181" customFormat="false" ht="15" hidden="false" customHeight="false" outlineLevel="0" collapsed="false">
      <c r="A181" s="277" t="n">
        <v>43312</v>
      </c>
      <c r="B181" s="265" t="s">
        <v>956</v>
      </c>
      <c r="C181" s="266" t="s">
        <v>957</v>
      </c>
      <c r="D181" s="270" t="n">
        <v>220000</v>
      </c>
      <c r="E181" s="276"/>
      <c r="F181" s="154" t="n">
        <f aca="false">F180+D181</f>
        <v>257483369</v>
      </c>
    </row>
    <row r="182" customFormat="false" ht="15" hidden="false" customHeight="false" outlineLevel="0" collapsed="false">
      <c r="A182" s="277" t="n">
        <v>43312</v>
      </c>
      <c r="B182" s="265" t="s">
        <v>1156</v>
      </c>
      <c r="C182" s="266" t="s">
        <v>957</v>
      </c>
      <c r="D182" s="270" t="n">
        <v>14237000</v>
      </c>
      <c r="E182" s="276"/>
      <c r="F182" s="154" t="n">
        <f aca="false">F181+D182</f>
        <v>271720369</v>
      </c>
    </row>
    <row r="183" customFormat="false" ht="23.85" hidden="false" customHeight="false" outlineLevel="0" collapsed="false">
      <c r="A183" s="277" t="n">
        <v>43314</v>
      </c>
      <c r="B183" s="259" t="s">
        <v>1157</v>
      </c>
      <c r="C183" s="256" t="s">
        <v>929</v>
      </c>
      <c r="D183" s="270"/>
      <c r="E183" s="276" t="n">
        <v>405000</v>
      </c>
      <c r="F183" s="154" t="n">
        <f aca="false">F182-E183</f>
        <v>271315369</v>
      </c>
    </row>
    <row r="184" customFormat="false" ht="35.05" hidden="false" customHeight="false" outlineLevel="0" collapsed="false">
      <c r="A184" s="277" t="n">
        <v>43315</v>
      </c>
      <c r="B184" s="262" t="s">
        <v>1158</v>
      </c>
      <c r="C184" s="264" t="s">
        <v>1159</v>
      </c>
      <c r="D184" s="270"/>
      <c r="E184" s="276" t="n">
        <v>2255000</v>
      </c>
      <c r="F184" s="154" t="n">
        <f aca="false">F183-E184</f>
        <v>269060369</v>
      </c>
    </row>
    <row r="185" customFormat="false" ht="57.45" hidden="false" customHeight="false" outlineLevel="0" collapsed="false">
      <c r="A185" s="277" t="n">
        <v>43315</v>
      </c>
      <c r="B185" s="262" t="s">
        <v>1160</v>
      </c>
      <c r="C185" s="264" t="s">
        <v>1161</v>
      </c>
      <c r="D185" s="270"/>
      <c r="E185" s="276" t="n">
        <v>2000000</v>
      </c>
      <c r="F185" s="154" t="n">
        <f aca="false">F184-E185</f>
        <v>267060369</v>
      </c>
    </row>
    <row r="186" customFormat="false" ht="15" hidden="false" customHeight="false" outlineLevel="0" collapsed="false">
      <c r="A186" s="277" t="n">
        <v>43319</v>
      </c>
      <c r="B186" s="268" t="s">
        <v>1162</v>
      </c>
      <c r="C186" s="264" t="s">
        <v>1163</v>
      </c>
      <c r="D186" s="281"/>
      <c r="E186" s="284" t="n">
        <v>79103</v>
      </c>
      <c r="F186" s="154" t="n">
        <f aca="false">F185-E186</f>
        <v>266981266</v>
      </c>
    </row>
    <row r="187" customFormat="false" ht="15" hidden="false" customHeight="false" outlineLevel="0" collapsed="false">
      <c r="A187" s="277" t="n">
        <v>43319</v>
      </c>
      <c r="B187" s="268" t="s">
        <v>962</v>
      </c>
      <c r="C187" s="264" t="s">
        <v>963</v>
      </c>
      <c r="D187" s="281"/>
      <c r="E187" s="284" t="n">
        <v>5500</v>
      </c>
      <c r="F187" s="154" t="n">
        <f aca="false">F186-E187</f>
        <v>266975766</v>
      </c>
    </row>
    <row r="188" customFormat="false" ht="46.25" hidden="false" customHeight="false" outlineLevel="0" collapsed="false">
      <c r="A188" s="277" t="n">
        <v>43322</v>
      </c>
      <c r="B188" s="255" t="s">
        <v>1164</v>
      </c>
      <c r="C188" s="264" t="s">
        <v>1165</v>
      </c>
      <c r="D188" s="270"/>
      <c r="E188" s="276" t="n">
        <v>200000</v>
      </c>
      <c r="F188" s="154" t="n">
        <f aca="false">F187-E188</f>
        <v>266775766</v>
      </c>
    </row>
    <row r="189" customFormat="false" ht="15" hidden="false" customHeight="false" outlineLevel="0" collapsed="false">
      <c r="A189" s="277" t="n">
        <v>42963</v>
      </c>
      <c r="B189" s="261" t="s">
        <v>1166</v>
      </c>
      <c r="C189" s="256" t="s">
        <v>929</v>
      </c>
      <c r="D189" s="281"/>
      <c r="E189" s="284" t="n">
        <v>685768</v>
      </c>
      <c r="F189" s="154" t="n">
        <f aca="false">F188-E189</f>
        <v>266089998</v>
      </c>
    </row>
    <row r="190" customFormat="false" ht="15" hidden="false" customHeight="false" outlineLevel="0" collapsed="false">
      <c r="A190" s="277" t="n">
        <v>43343</v>
      </c>
      <c r="B190" s="265" t="s">
        <v>956</v>
      </c>
      <c r="C190" s="266" t="s">
        <v>957</v>
      </c>
      <c r="D190" s="281" t="n">
        <v>440000</v>
      </c>
      <c r="E190" s="284"/>
      <c r="F190" s="154" t="n">
        <f aca="false">F189+D190</f>
        <v>266529998</v>
      </c>
    </row>
    <row r="191" customFormat="false" ht="15" hidden="false" customHeight="false" outlineLevel="0" collapsed="false">
      <c r="A191" s="277" t="n">
        <v>43343</v>
      </c>
      <c r="B191" s="265" t="s">
        <v>1167</v>
      </c>
      <c r="C191" s="266" t="s">
        <v>957</v>
      </c>
      <c r="D191" s="270" t="n">
        <v>8522000</v>
      </c>
      <c r="E191" s="276"/>
      <c r="F191" s="154" t="n">
        <f aca="false">F190+D191</f>
        <v>275051998</v>
      </c>
    </row>
    <row r="192" customFormat="false" ht="23.85" hidden="false" customHeight="false" outlineLevel="0" collapsed="false">
      <c r="A192" s="277" t="n">
        <v>43346</v>
      </c>
      <c r="B192" s="259" t="s">
        <v>1168</v>
      </c>
      <c r="C192" s="256" t="s">
        <v>929</v>
      </c>
      <c r="D192" s="270"/>
      <c r="E192" s="276" t="n">
        <v>405000</v>
      </c>
      <c r="F192" s="154" t="n">
        <f aca="false">F191-E192</f>
        <v>274646998</v>
      </c>
    </row>
    <row r="193" customFormat="false" ht="15" hidden="false" customHeight="false" outlineLevel="0" collapsed="false">
      <c r="A193" s="277" t="n">
        <v>43353</v>
      </c>
      <c r="B193" s="268" t="s">
        <v>1169</v>
      </c>
      <c r="C193" s="264" t="s">
        <v>1163</v>
      </c>
      <c r="D193" s="281"/>
      <c r="E193" s="284" t="n">
        <v>79103</v>
      </c>
      <c r="F193" s="154" t="n">
        <f aca="false">F192-E193</f>
        <v>274567895</v>
      </c>
    </row>
    <row r="194" customFormat="false" ht="15" hidden="false" customHeight="false" outlineLevel="0" collapsed="false">
      <c r="A194" s="277" t="n">
        <v>43353</v>
      </c>
      <c r="B194" s="268" t="s">
        <v>962</v>
      </c>
      <c r="C194" s="264" t="s">
        <v>963</v>
      </c>
      <c r="D194" s="281"/>
      <c r="E194" s="284" t="n">
        <v>5500</v>
      </c>
      <c r="F194" s="154" t="n">
        <f aca="false">F193-E194</f>
        <v>274562395</v>
      </c>
    </row>
    <row r="195" customFormat="false" ht="35.05" hidden="false" customHeight="false" outlineLevel="0" collapsed="false">
      <c r="A195" s="277" t="n">
        <v>43355</v>
      </c>
      <c r="B195" s="262" t="s">
        <v>1079</v>
      </c>
      <c r="C195" s="256" t="s">
        <v>929</v>
      </c>
      <c r="D195" s="270"/>
      <c r="E195" s="276" t="n">
        <v>21000</v>
      </c>
      <c r="F195" s="154" t="n">
        <f aca="false">F194-E195</f>
        <v>274541395</v>
      </c>
    </row>
    <row r="196" customFormat="false" ht="57.45" hidden="false" customHeight="false" outlineLevel="0" collapsed="false">
      <c r="A196" s="277" t="n">
        <v>43355</v>
      </c>
      <c r="B196" s="255" t="s">
        <v>1170</v>
      </c>
      <c r="C196" s="256" t="s">
        <v>929</v>
      </c>
      <c r="D196" s="270"/>
      <c r="E196" s="276" t="n">
        <v>1115000</v>
      </c>
      <c r="F196" s="154" t="n">
        <f aca="false">F195-E196</f>
        <v>273426395</v>
      </c>
    </row>
    <row r="197" customFormat="false" ht="68.65" hidden="false" customHeight="false" outlineLevel="0" collapsed="false">
      <c r="A197" s="277" t="n">
        <v>43355</v>
      </c>
      <c r="B197" s="255" t="s">
        <v>1171</v>
      </c>
      <c r="C197" s="256" t="s">
        <v>929</v>
      </c>
      <c r="D197" s="270"/>
      <c r="E197" s="276" t="n">
        <v>945000</v>
      </c>
      <c r="F197" s="154" t="n">
        <f aca="false">F196-E197</f>
        <v>272481395</v>
      </c>
    </row>
    <row r="198" customFormat="false" ht="68.65" hidden="false" customHeight="false" outlineLevel="0" collapsed="false">
      <c r="A198" s="277" t="n">
        <v>43355</v>
      </c>
      <c r="B198" s="255" t="s">
        <v>1172</v>
      </c>
      <c r="C198" s="256" t="s">
        <v>929</v>
      </c>
      <c r="D198" s="270"/>
      <c r="E198" s="276" t="n">
        <v>865000</v>
      </c>
      <c r="F198" s="154" t="n">
        <f aca="false">F197-E198</f>
        <v>271616395</v>
      </c>
    </row>
    <row r="199" customFormat="false" ht="35.05" hidden="false" customHeight="false" outlineLevel="0" collapsed="false">
      <c r="A199" s="277" t="n">
        <v>43355</v>
      </c>
      <c r="B199" s="255" t="s">
        <v>1173</v>
      </c>
      <c r="C199" s="256" t="s">
        <v>929</v>
      </c>
      <c r="D199" s="270"/>
      <c r="E199" s="276" t="n">
        <v>457000</v>
      </c>
      <c r="F199" s="154" t="n">
        <f aca="false">F198-E199</f>
        <v>271159395</v>
      </c>
    </row>
    <row r="200" customFormat="false" ht="68.65" hidden="false" customHeight="false" outlineLevel="0" collapsed="false">
      <c r="A200" s="277" t="n">
        <v>43355</v>
      </c>
      <c r="B200" s="255" t="s">
        <v>1174</v>
      </c>
      <c r="C200" s="256" t="s">
        <v>929</v>
      </c>
      <c r="D200" s="270"/>
      <c r="E200" s="276" t="n">
        <v>432000</v>
      </c>
      <c r="F200" s="154" t="n">
        <f aca="false">F199-E200</f>
        <v>270727395</v>
      </c>
    </row>
    <row r="201" customFormat="false" ht="15" hidden="false" customHeight="false" outlineLevel="0" collapsed="false">
      <c r="A201" s="277" t="n">
        <v>43356</v>
      </c>
      <c r="B201" s="261" t="s">
        <v>1037</v>
      </c>
      <c r="C201" s="283" t="s">
        <v>1175</v>
      </c>
      <c r="D201" s="270"/>
      <c r="E201" s="276" t="n">
        <v>114154</v>
      </c>
      <c r="F201" s="154" t="n">
        <f aca="false">F200-E201</f>
        <v>270613241</v>
      </c>
    </row>
    <row r="202" customFormat="false" ht="35.05" hidden="false" customHeight="false" outlineLevel="0" collapsed="false">
      <c r="A202" s="277" t="n">
        <v>43356</v>
      </c>
      <c r="B202" s="255" t="s">
        <v>1176</v>
      </c>
      <c r="C202" s="283" t="s">
        <v>1177</v>
      </c>
      <c r="D202" s="270"/>
      <c r="E202" s="276" t="n">
        <v>93000</v>
      </c>
      <c r="F202" s="154" t="n">
        <f aca="false">F201-E202</f>
        <v>270520241</v>
      </c>
    </row>
    <row r="203" customFormat="false" ht="35.05" hidden="false" customHeight="false" outlineLevel="0" collapsed="false">
      <c r="A203" s="277" t="n">
        <v>43356</v>
      </c>
      <c r="B203" s="255" t="s">
        <v>1178</v>
      </c>
      <c r="C203" s="283" t="s">
        <v>1179</v>
      </c>
      <c r="D203" s="270"/>
      <c r="E203" s="276" t="n">
        <v>93000</v>
      </c>
      <c r="F203" s="154" t="n">
        <f aca="false">F202-E203</f>
        <v>270427241</v>
      </c>
    </row>
    <row r="204" customFormat="false" ht="35.05" hidden="false" customHeight="false" outlineLevel="0" collapsed="false">
      <c r="A204" s="277" t="n">
        <v>43356</v>
      </c>
      <c r="B204" s="255" t="s">
        <v>1180</v>
      </c>
      <c r="C204" s="283" t="s">
        <v>1181</v>
      </c>
      <c r="D204" s="270"/>
      <c r="E204" s="276" t="n">
        <v>93000</v>
      </c>
      <c r="F204" s="154" t="n">
        <f aca="false">F203-E204</f>
        <v>270334241</v>
      </c>
    </row>
    <row r="205" customFormat="false" ht="15" hidden="false" customHeight="false" outlineLevel="0" collapsed="false">
      <c r="A205" s="277" t="n">
        <v>43357</v>
      </c>
      <c r="B205" s="261" t="s">
        <v>1182</v>
      </c>
      <c r="C205" s="256" t="s">
        <v>929</v>
      </c>
      <c r="D205" s="281"/>
      <c r="E205" s="284" t="n">
        <v>685768</v>
      </c>
      <c r="F205" s="154" t="n">
        <f aca="false">F204-E205</f>
        <v>269648473</v>
      </c>
    </row>
    <row r="206" customFormat="false" ht="35.05" hidden="false" customHeight="false" outlineLevel="0" collapsed="false">
      <c r="A206" s="277" t="n">
        <v>43357</v>
      </c>
      <c r="B206" s="262" t="s">
        <v>1183</v>
      </c>
      <c r="C206" s="264" t="s">
        <v>1184</v>
      </c>
      <c r="D206" s="281"/>
      <c r="E206" s="284" t="n">
        <v>430000</v>
      </c>
      <c r="F206" s="154" t="n">
        <f aca="false">F205-E206</f>
        <v>269218473</v>
      </c>
    </row>
    <row r="207" customFormat="false" ht="35.05" hidden="false" customHeight="false" outlineLevel="0" collapsed="false">
      <c r="A207" s="277" t="n">
        <v>43363</v>
      </c>
      <c r="B207" s="262" t="s">
        <v>1185</v>
      </c>
      <c r="C207" s="264" t="s">
        <v>1186</v>
      </c>
      <c r="D207" s="275"/>
      <c r="E207" s="284" t="n">
        <v>1965450</v>
      </c>
      <c r="F207" s="154" t="n">
        <f aca="false">F206-E207</f>
        <v>267253023</v>
      </c>
    </row>
    <row r="208" customFormat="false" ht="23.85" hidden="false" customHeight="false" outlineLevel="0" collapsed="false">
      <c r="A208" s="277" t="n">
        <v>43363</v>
      </c>
      <c r="B208" s="255" t="s">
        <v>1187</v>
      </c>
      <c r="C208" s="256" t="s">
        <v>929</v>
      </c>
      <c r="D208" s="275"/>
      <c r="E208" s="284" t="n">
        <v>105000</v>
      </c>
      <c r="F208" s="154" t="n">
        <f aca="false">F207-E208</f>
        <v>267148023</v>
      </c>
    </row>
    <row r="209" customFormat="false" ht="46.25" hidden="false" customHeight="false" outlineLevel="0" collapsed="false">
      <c r="A209" s="277" t="n">
        <v>43363</v>
      </c>
      <c r="B209" s="255" t="s">
        <v>1188</v>
      </c>
      <c r="C209" s="264" t="s">
        <v>1189</v>
      </c>
      <c r="D209" s="275"/>
      <c r="E209" s="284" t="n">
        <v>2084000</v>
      </c>
      <c r="F209" s="154" t="n">
        <f aca="false">F208-E209</f>
        <v>265064023</v>
      </c>
    </row>
    <row r="210" customFormat="false" ht="23.85" hidden="false" customHeight="false" outlineLevel="0" collapsed="false">
      <c r="A210" s="277" t="n">
        <v>43363</v>
      </c>
      <c r="B210" s="255" t="s">
        <v>1187</v>
      </c>
      <c r="C210" s="264" t="s">
        <v>1190</v>
      </c>
      <c r="D210" s="275"/>
      <c r="E210" s="284" t="n">
        <v>3641750</v>
      </c>
      <c r="F210" s="154" t="n">
        <f aca="false">F209-E210</f>
        <v>261422273</v>
      </c>
    </row>
    <row r="211" customFormat="false" ht="23.85" hidden="false" customHeight="false" outlineLevel="0" collapsed="false">
      <c r="A211" s="277" t="n">
        <v>43363</v>
      </c>
      <c r="B211" s="255" t="s">
        <v>1187</v>
      </c>
      <c r="C211" s="264" t="s">
        <v>1191</v>
      </c>
      <c r="D211" s="275"/>
      <c r="E211" s="284" t="n">
        <v>584500</v>
      </c>
      <c r="F211" s="154" t="n">
        <f aca="false">F210-E211</f>
        <v>260837773</v>
      </c>
    </row>
    <row r="212" customFormat="false" ht="23.85" hidden="false" customHeight="false" outlineLevel="0" collapsed="false">
      <c r="A212" s="277" t="n">
        <v>43363</v>
      </c>
      <c r="B212" s="255" t="s">
        <v>1187</v>
      </c>
      <c r="C212" s="264" t="s">
        <v>1192</v>
      </c>
      <c r="D212" s="275"/>
      <c r="E212" s="284" t="n">
        <v>255500</v>
      </c>
      <c r="F212" s="154" t="n">
        <f aca="false">F211-E212</f>
        <v>260582273</v>
      </c>
    </row>
    <row r="213" customFormat="false" ht="46.25" hidden="false" customHeight="false" outlineLevel="0" collapsed="false">
      <c r="A213" s="277" t="n">
        <v>43367</v>
      </c>
      <c r="B213" s="262" t="s">
        <v>1193</v>
      </c>
      <c r="C213" s="264" t="s">
        <v>1194</v>
      </c>
      <c r="D213" s="275"/>
      <c r="E213" s="284" t="n">
        <v>32000</v>
      </c>
      <c r="F213" s="154" t="n">
        <f aca="false">F212-E213</f>
        <v>260550273</v>
      </c>
    </row>
    <row r="214" customFormat="false" ht="23.85" hidden="false" customHeight="false" outlineLevel="0" collapsed="false">
      <c r="A214" s="277" t="n">
        <v>43363</v>
      </c>
      <c r="B214" s="255" t="s">
        <v>1187</v>
      </c>
      <c r="C214" s="256" t="s">
        <v>929</v>
      </c>
      <c r="D214" s="275"/>
      <c r="E214" s="284" t="n">
        <v>371000</v>
      </c>
      <c r="F214" s="154" t="n">
        <f aca="false">F213-E214</f>
        <v>260179273</v>
      </c>
    </row>
    <row r="215" customFormat="false" ht="35.05" hidden="false" customHeight="false" outlineLevel="0" collapsed="false">
      <c r="A215" s="277" t="n">
        <v>43367</v>
      </c>
      <c r="B215" s="255" t="s">
        <v>1195</v>
      </c>
      <c r="C215" s="264" t="s">
        <v>1196</v>
      </c>
      <c r="D215" s="275"/>
      <c r="E215" s="284" t="n">
        <v>11340000</v>
      </c>
      <c r="F215" s="154" t="n">
        <f aca="false">F214-E215</f>
        <v>248839273</v>
      </c>
    </row>
    <row r="216" customFormat="false" ht="35.05" hidden="false" customHeight="false" outlineLevel="0" collapsed="false">
      <c r="A216" s="277" t="n">
        <v>43367</v>
      </c>
      <c r="B216" s="255" t="s">
        <v>1197</v>
      </c>
      <c r="C216" s="264" t="s">
        <v>1196</v>
      </c>
      <c r="D216" s="275"/>
      <c r="E216" s="284" t="n">
        <v>11445000</v>
      </c>
      <c r="F216" s="154" t="n">
        <f aca="false">F215-E216</f>
        <v>237394273</v>
      </c>
    </row>
    <row r="217" customFormat="false" ht="46.25" hidden="false" customHeight="false" outlineLevel="0" collapsed="false">
      <c r="A217" s="277" t="n">
        <v>43368</v>
      </c>
      <c r="B217" s="255" t="s">
        <v>1198</v>
      </c>
      <c r="C217" s="264" t="s">
        <v>1199</v>
      </c>
      <c r="D217" s="275"/>
      <c r="E217" s="284" t="n">
        <v>60000</v>
      </c>
      <c r="F217" s="154" t="n">
        <f aca="false">F216-E217</f>
        <v>237334273</v>
      </c>
    </row>
    <row r="218" customFormat="false" ht="46.25" hidden="false" customHeight="false" outlineLevel="0" collapsed="false">
      <c r="A218" s="277" t="n">
        <v>43368</v>
      </c>
      <c r="B218" s="255" t="s">
        <v>1198</v>
      </c>
      <c r="C218" s="256" t="s">
        <v>929</v>
      </c>
      <c r="D218" s="275"/>
      <c r="E218" s="284" t="n">
        <v>630000</v>
      </c>
      <c r="F218" s="154" t="n">
        <f aca="false">F217-E218</f>
        <v>236704273</v>
      </c>
    </row>
    <row r="219" customFormat="false" ht="23.85" hidden="false" customHeight="false" outlineLevel="0" collapsed="false">
      <c r="A219" s="277" t="n">
        <v>43368</v>
      </c>
      <c r="B219" s="255" t="s">
        <v>1200</v>
      </c>
      <c r="C219" s="264" t="s">
        <v>1201</v>
      </c>
      <c r="D219" s="275"/>
      <c r="E219" s="284" t="n">
        <v>75000</v>
      </c>
      <c r="F219" s="154" t="n">
        <f aca="false">F218-E219</f>
        <v>236629273</v>
      </c>
    </row>
    <row r="220" customFormat="false" ht="23.85" hidden="false" customHeight="false" outlineLevel="0" collapsed="false">
      <c r="A220" s="277" t="n">
        <v>43368</v>
      </c>
      <c r="B220" s="255" t="s">
        <v>1200</v>
      </c>
      <c r="C220" s="256" t="s">
        <v>929</v>
      </c>
      <c r="D220" s="275"/>
      <c r="E220" s="284" t="n">
        <v>560000</v>
      </c>
      <c r="F220" s="154" t="n">
        <f aca="false">F219-E220</f>
        <v>236069273</v>
      </c>
    </row>
    <row r="221" customFormat="false" ht="46.25" hidden="false" customHeight="false" outlineLevel="0" collapsed="false">
      <c r="A221" s="277" t="n">
        <v>43368</v>
      </c>
      <c r="B221" s="255" t="s">
        <v>1202</v>
      </c>
      <c r="C221" s="256" t="s">
        <v>929</v>
      </c>
      <c r="D221" s="275"/>
      <c r="E221" s="284" t="n">
        <v>700000</v>
      </c>
      <c r="F221" s="154" t="n">
        <f aca="false">F220-E221</f>
        <v>235369273</v>
      </c>
    </row>
    <row r="222" customFormat="false" ht="46.25" hidden="false" customHeight="false" outlineLevel="0" collapsed="false">
      <c r="A222" s="277" t="n">
        <v>43368</v>
      </c>
      <c r="B222" s="255" t="s">
        <v>1202</v>
      </c>
      <c r="C222" s="256" t="s">
        <v>929</v>
      </c>
      <c r="D222" s="275"/>
      <c r="E222" s="284" t="n">
        <v>200000</v>
      </c>
      <c r="F222" s="154" t="n">
        <f aca="false">F221-E222</f>
        <v>235169273</v>
      </c>
    </row>
    <row r="223" customFormat="false" ht="46.25" hidden="false" customHeight="false" outlineLevel="0" collapsed="false">
      <c r="A223" s="277" t="n">
        <v>43368</v>
      </c>
      <c r="B223" s="255" t="s">
        <v>1203</v>
      </c>
      <c r="C223" s="264" t="s">
        <v>1204</v>
      </c>
      <c r="D223" s="275"/>
      <c r="E223" s="284" t="n">
        <v>80000</v>
      </c>
      <c r="F223" s="154" t="n">
        <f aca="false">F222-E223</f>
        <v>235089273</v>
      </c>
    </row>
    <row r="224" customFormat="false" ht="46.25" hidden="false" customHeight="false" outlineLevel="0" collapsed="false">
      <c r="A224" s="277" t="n">
        <v>43368</v>
      </c>
      <c r="B224" s="255" t="s">
        <v>1203</v>
      </c>
      <c r="C224" s="256" t="s">
        <v>929</v>
      </c>
      <c r="D224" s="275"/>
      <c r="E224" s="284" t="n">
        <v>1315000</v>
      </c>
      <c r="F224" s="154" t="n">
        <f aca="false">F223-E224</f>
        <v>233774273</v>
      </c>
    </row>
    <row r="225" customFormat="false" ht="46.25" hidden="false" customHeight="false" outlineLevel="0" collapsed="false">
      <c r="A225" s="277" t="n">
        <v>43368</v>
      </c>
      <c r="B225" s="255" t="s">
        <v>1205</v>
      </c>
      <c r="C225" s="264" t="s">
        <v>1206</v>
      </c>
      <c r="D225" s="275"/>
      <c r="E225" s="284" t="n">
        <v>570000</v>
      </c>
      <c r="F225" s="154" t="n">
        <f aca="false">F224-E225</f>
        <v>233204273</v>
      </c>
    </row>
    <row r="226" customFormat="false" ht="35.05" hidden="false" customHeight="false" outlineLevel="0" collapsed="false">
      <c r="A226" s="277" t="n">
        <v>43368</v>
      </c>
      <c r="B226" s="255" t="s">
        <v>1207</v>
      </c>
      <c r="C226" s="264" t="s">
        <v>1208</v>
      </c>
      <c r="D226" s="275"/>
      <c r="E226" s="284" t="n">
        <v>700000</v>
      </c>
      <c r="F226" s="154" t="n">
        <f aca="false">F225-E226</f>
        <v>232504273</v>
      </c>
    </row>
    <row r="227" customFormat="false" ht="35.05" hidden="false" customHeight="false" outlineLevel="0" collapsed="false">
      <c r="A227" s="277" t="n">
        <v>43368</v>
      </c>
      <c r="B227" s="255" t="s">
        <v>1207</v>
      </c>
      <c r="C227" s="264" t="s">
        <v>1209</v>
      </c>
      <c r="D227" s="275"/>
      <c r="E227" s="284" t="n">
        <v>100000</v>
      </c>
      <c r="F227" s="154" t="n">
        <f aca="false">F226-E227</f>
        <v>232404273</v>
      </c>
    </row>
    <row r="228" customFormat="false" ht="35.05" hidden="false" customHeight="false" outlineLevel="0" collapsed="false">
      <c r="A228" s="277" t="n">
        <v>43368</v>
      </c>
      <c r="B228" s="255" t="s">
        <v>1207</v>
      </c>
      <c r="C228" s="256" t="s">
        <v>929</v>
      </c>
      <c r="D228" s="275"/>
      <c r="E228" s="284" t="n">
        <v>2600000</v>
      </c>
      <c r="F228" s="154" t="n">
        <f aca="false">F227-E228</f>
        <v>229804273</v>
      </c>
    </row>
    <row r="229" customFormat="false" ht="35.05" hidden="false" customHeight="false" outlineLevel="0" collapsed="false">
      <c r="A229" s="277" t="n">
        <v>43368</v>
      </c>
      <c r="B229" s="255" t="s">
        <v>1210</v>
      </c>
      <c r="C229" s="264" t="s">
        <v>1211</v>
      </c>
      <c r="D229" s="275"/>
      <c r="E229" s="284" t="n">
        <v>700000</v>
      </c>
      <c r="F229" s="154" t="n">
        <f aca="false">F228-E229</f>
        <v>229104273</v>
      </c>
    </row>
    <row r="230" customFormat="false" ht="35.05" hidden="false" customHeight="false" outlineLevel="0" collapsed="false">
      <c r="A230" s="277" t="n">
        <v>43368</v>
      </c>
      <c r="B230" s="255" t="s">
        <v>1210</v>
      </c>
      <c r="C230" s="256" t="s">
        <v>929</v>
      </c>
      <c r="D230" s="275"/>
      <c r="E230" s="284" t="n">
        <v>2600000</v>
      </c>
      <c r="F230" s="154" t="n">
        <f aca="false">F229-E230</f>
        <v>226504273</v>
      </c>
    </row>
    <row r="231" customFormat="false" ht="35.05" hidden="false" customHeight="false" outlineLevel="0" collapsed="false">
      <c r="A231" s="277" t="n">
        <v>43368</v>
      </c>
      <c r="B231" s="255" t="s">
        <v>1210</v>
      </c>
      <c r="C231" s="264" t="s">
        <v>1212</v>
      </c>
      <c r="D231" s="275"/>
      <c r="E231" s="284" t="n">
        <v>100000</v>
      </c>
      <c r="F231" s="154" t="n">
        <f aca="false">F230-E231</f>
        <v>226404273</v>
      </c>
    </row>
    <row r="232" customFormat="false" ht="46.25" hidden="false" customHeight="false" outlineLevel="0" collapsed="false">
      <c r="A232" s="277" t="n">
        <v>43368</v>
      </c>
      <c r="B232" s="255" t="s">
        <v>1213</v>
      </c>
      <c r="C232" s="256" t="s">
        <v>929</v>
      </c>
      <c r="D232" s="275"/>
      <c r="E232" s="284" t="n">
        <v>880000</v>
      </c>
      <c r="F232" s="154" t="n">
        <f aca="false">F231-E232</f>
        <v>225524273</v>
      </c>
    </row>
    <row r="233" customFormat="false" ht="46.25" hidden="false" customHeight="false" outlineLevel="0" collapsed="false">
      <c r="A233" s="277" t="n">
        <v>43368</v>
      </c>
      <c r="B233" s="255" t="s">
        <v>1214</v>
      </c>
      <c r="C233" s="256" t="s">
        <v>929</v>
      </c>
      <c r="D233" s="275"/>
      <c r="E233" s="284" t="n">
        <v>1285000</v>
      </c>
      <c r="F233" s="154" t="n">
        <f aca="false">F232-E233</f>
        <v>224239273</v>
      </c>
    </row>
    <row r="234" customFormat="false" ht="46.25" hidden="false" customHeight="false" outlineLevel="0" collapsed="false">
      <c r="A234" s="277" t="n">
        <v>43368</v>
      </c>
      <c r="B234" s="255" t="s">
        <v>1205</v>
      </c>
      <c r="C234" s="256" t="s">
        <v>929</v>
      </c>
      <c r="D234" s="275"/>
      <c r="E234" s="284" t="n">
        <v>1740000</v>
      </c>
      <c r="F234" s="154" t="n">
        <f aca="false">F233-E234</f>
        <v>222499273</v>
      </c>
    </row>
    <row r="235" customFormat="false" ht="15" hidden="false" customHeight="false" outlineLevel="0" collapsed="false">
      <c r="A235" s="277" t="n">
        <v>43373</v>
      </c>
      <c r="B235" s="265" t="s">
        <v>956</v>
      </c>
      <c r="C235" s="266" t="s">
        <v>957</v>
      </c>
      <c r="D235" s="275" t="n">
        <v>580000</v>
      </c>
      <c r="E235" s="284"/>
      <c r="F235" s="154" t="n">
        <f aca="false">F234+D235</f>
        <v>223079273</v>
      </c>
    </row>
    <row r="236" customFormat="false" ht="15" hidden="false" customHeight="false" outlineLevel="0" collapsed="false">
      <c r="A236" s="277" t="n">
        <v>43373</v>
      </c>
      <c r="B236" s="265" t="s">
        <v>1215</v>
      </c>
      <c r="C236" s="266" t="s">
        <v>957</v>
      </c>
      <c r="D236" s="275" t="n">
        <v>17989000</v>
      </c>
      <c r="E236" s="284"/>
      <c r="F236" s="154" t="n">
        <f aca="false">F235+D236</f>
        <v>241068273</v>
      </c>
    </row>
    <row r="237" customFormat="false" ht="57.45" hidden="false" customHeight="false" outlineLevel="0" collapsed="false">
      <c r="A237" s="277" t="n">
        <v>43374</v>
      </c>
      <c r="B237" s="255" t="s">
        <v>1216</v>
      </c>
      <c r="C237" s="256" t="s">
        <v>1217</v>
      </c>
      <c r="D237" s="275"/>
      <c r="E237" s="284" t="n">
        <v>20345664</v>
      </c>
      <c r="F237" s="154" t="n">
        <f aca="false">F236-E237</f>
        <v>220722609</v>
      </c>
    </row>
    <row r="238" customFormat="false" ht="15" hidden="false" customHeight="false" outlineLevel="0" collapsed="false">
      <c r="A238" s="277" t="n">
        <v>43374</v>
      </c>
      <c r="B238" s="261" t="s">
        <v>1037</v>
      </c>
      <c r="C238" s="283" t="s">
        <v>1218</v>
      </c>
      <c r="D238" s="275"/>
      <c r="E238" s="284" t="n">
        <v>366676</v>
      </c>
      <c r="F238" s="154" t="n">
        <f aca="false">F237-E238</f>
        <v>220355933</v>
      </c>
    </row>
    <row r="239" customFormat="false" ht="23.85" hidden="false" customHeight="false" outlineLevel="0" collapsed="false">
      <c r="A239" s="277" t="n">
        <v>43374</v>
      </c>
      <c r="B239" s="259" t="s">
        <v>1219</v>
      </c>
      <c r="C239" s="256" t="s">
        <v>929</v>
      </c>
      <c r="D239" s="270"/>
      <c r="E239" s="276" t="n">
        <v>405000</v>
      </c>
      <c r="F239" s="154" t="n">
        <f aca="false">F238-E239</f>
        <v>219950933</v>
      </c>
    </row>
    <row r="240" customFormat="false" ht="23.85" hidden="false" customHeight="false" outlineLevel="0" collapsed="false">
      <c r="A240" s="277" t="n">
        <v>43377</v>
      </c>
      <c r="B240" s="255" t="s">
        <v>1220</v>
      </c>
      <c r="C240" s="283" t="s">
        <v>1221</v>
      </c>
      <c r="D240" s="275"/>
      <c r="E240" s="284" t="n">
        <v>2273040</v>
      </c>
      <c r="F240" s="154" t="n">
        <f aca="false">F239-E240</f>
        <v>217677893</v>
      </c>
    </row>
    <row r="241" customFormat="false" ht="35.05" hidden="false" customHeight="false" outlineLevel="0" collapsed="false">
      <c r="A241" s="277" t="n">
        <v>43377</v>
      </c>
      <c r="B241" s="262" t="s">
        <v>1079</v>
      </c>
      <c r="C241" s="256" t="s">
        <v>929</v>
      </c>
      <c r="D241" s="270"/>
      <c r="E241" s="276" t="n">
        <v>18000</v>
      </c>
      <c r="F241" s="154" t="n">
        <f aca="false">F240-E241</f>
        <v>217659893</v>
      </c>
    </row>
    <row r="242" customFormat="false" ht="15" hidden="false" customHeight="false" outlineLevel="0" collapsed="false">
      <c r="A242" s="277" t="n">
        <v>43382</v>
      </c>
      <c r="B242" s="268" t="s">
        <v>1222</v>
      </c>
      <c r="C242" s="264" t="s">
        <v>1223</v>
      </c>
      <c r="D242" s="281"/>
      <c r="E242" s="284" t="n">
        <v>79103</v>
      </c>
      <c r="F242" s="154" t="n">
        <f aca="false">F241-E242</f>
        <v>217580790</v>
      </c>
    </row>
    <row r="243" customFormat="false" ht="15" hidden="false" customHeight="false" outlineLevel="0" collapsed="false">
      <c r="A243" s="277" t="n">
        <v>43382</v>
      </c>
      <c r="B243" s="268" t="s">
        <v>962</v>
      </c>
      <c r="C243" s="264" t="s">
        <v>963</v>
      </c>
      <c r="D243" s="281"/>
      <c r="E243" s="284" t="n">
        <v>5500</v>
      </c>
      <c r="F243" s="154" t="n">
        <f aca="false">F242-E243</f>
        <v>217575290</v>
      </c>
    </row>
    <row r="244" customFormat="false" ht="15" hidden="false" customHeight="false" outlineLevel="0" collapsed="false">
      <c r="A244" s="277" t="n">
        <v>43384</v>
      </c>
      <c r="B244" s="261" t="s">
        <v>1224</v>
      </c>
      <c r="C244" s="256" t="s">
        <v>929</v>
      </c>
      <c r="D244" s="281"/>
      <c r="E244" s="284" t="n">
        <v>685768</v>
      </c>
      <c r="F244" s="154" t="n">
        <f aca="false">F243-E244</f>
        <v>216889522</v>
      </c>
    </row>
    <row r="245" customFormat="false" ht="35.05" hidden="false" customHeight="false" outlineLevel="0" collapsed="false">
      <c r="A245" s="277" t="n">
        <v>43384</v>
      </c>
      <c r="B245" s="255" t="s">
        <v>1225</v>
      </c>
      <c r="C245" s="256" t="s">
        <v>929</v>
      </c>
      <c r="D245" s="275"/>
      <c r="E245" s="284" t="n">
        <v>288000</v>
      </c>
      <c r="F245" s="154" t="n">
        <f aca="false">F244-E245</f>
        <v>216601522</v>
      </c>
    </row>
    <row r="246" customFormat="false" ht="35.05" hidden="false" customHeight="false" outlineLevel="0" collapsed="false">
      <c r="A246" s="277" t="n">
        <v>43384</v>
      </c>
      <c r="B246" s="255" t="s">
        <v>1226</v>
      </c>
      <c r="C246" s="264" t="s">
        <v>1227</v>
      </c>
      <c r="D246" s="275"/>
      <c r="E246" s="284" t="n">
        <v>2500000</v>
      </c>
      <c r="F246" s="154" t="n">
        <f aca="false">F245-E246</f>
        <v>214101522</v>
      </c>
    </row>
    <row r="247" customFormat="false" ht="35.05" hidden="false" customHeight="false" outlineLevel="0" collapsed="false">
      <c r="A247" s="277" t="n">
        <v>43395</v>
      </c>
      <c r="B247" s="255" t="s">
        <v>1086</v>
      </c>
      <c r="C247" s="264" t="s">
        <v>1228</v>
      </c>
      <c r="D247" s="275"/>
      <c r="E247" s="284" t="n">
        <v>118118</v>
      </c>
      <c r="F247" s="154" t="n">
        <f aca="false">F246-E247</f>
        <v>213983404</v>
      </c>
    </row>
    <row r="248" customFormat="false" ht="23.85" hidden="false" customHeight="false" outlineLevel="0" collapsed="false">
      <c r="A248" s="277" t="n">
        <v>43395</v>
      </c>
      <c r="B248" s="255" t="s">
        <v>1200</v>
      </c>
      <c r="C248" s="256" t="s">
        <v>929</v>
      </c>
      <c r="D248" s="275"/>
      <c r="E248" s="284" t="n">
        <v>75000</v>
      </c>
      <c r="F248" s="154" t="n">
        <f aca="false">F247-E248</f>
        <v>213908404</v>
      </c>
    </row>
    <row r="249" customFormat="false" ht="23.85" hidden="false" customHeight="false" outlineLevel="0" collapsed="false">
      <c r="A249" s="277" t="n">
        <v>43395</v>
      </c>
      <c r="B249" s="255" t="s">
        <v>1187</v>
      </c>
      <c r="C249" s="256" t="s">
        <v>929</v>
      </c>
      <c r="D249" s="275"/>
      <c r="E249" s="284" t="n">
        <v>56000</v>
      </c>
      <c r="F249" s="154" t="n">
        <f aca="false">F248-E249</f>
        <v>213852404</v>
      </c>
    </row>
    <row r="250" customFormat="false" ht="79.85" hidden="false" customHeight="false" outlineLevel="0" collapsed="false">
      <c r="A250" s="277" t="n">
        <v>43404</v>
      </c>
      <c r="B250" s="255" t="s">
        <v>1229</v>
      </c>
      <c r="C250" s="256" t="s">
        <v>929</v>
      </c>
      <c r="D250" s="275"/>
      <c r="E250" s="284" t="n">
        <v>945000</v>
      </c>
      <c r="F250" s="154" t="n">
        <f aca="false">F249-E250</f>
        <v>212907404</v>
      </c>
    </row>
    <row r="251" customFormat="false" ht="46.25" hidden="false" customHeight="false" outlineLevel="0" collapsed="false">
      <c r="A251" s="277" t="n">
        <v>43397</v>
      </c>
      <c r="B251" s="255" t="s">
        <v>1230</v>
      </c>
      <c r="C251" s="264" t="s">
        <v>1231</v>
      </c>
      <c r="D251" s="275"/>
      <c r="E251" s="284" t="n">
        <v>8000000</v>
      </c>
      <c r="F251" s="154" t="n">
        <f aca="false">F250-E251</f>
        <v>204907404</v>
      </c>
    </row>
    <row r="252" customFormat="false" ht="15" hidden="false" customHeight="false" outlineLevel="0" collapsed="false">
      <c r="A252" s="277" t="n">
        <v>43404</v>
      </c>
      <c r="B252" s="265" t="s">
        <v>956</v>
      </c>
      <c r="C252" s="266" t="s">
        <v>957</v>
      </c>
      <c r="D252" s="275" t="n">
        <v>800000</v>
      </c>
      <c r="E252" s="284"/>
      <c r="F252" s="154" t="n">
        <f aca="false">F251+D252</f>
        <v>205707404</v>
      </c>
    </row>
    <row r="253" customFormat="false" ht="15" hidden="false" customHeight="false" outlineLevel="0" collapsed="false">
      <c r="A253" s="277" t="n">
        <v>43404</v>
      </c>
      <c r="B253" s="265" t="s">
        <v>1232</v>
      </c>
      <c r="C253" s="266" t="s">
        <v>957</v>
      </c>
      <c r="D253" s="275" t="n">
        <v>29143550</v>
      </c>
      <c r="E253" s="284"/>
      <c r="F253" s="154" t="n">
        <f aca="false">F252+D253</f>
        <v>234850954</v>
      </c>
    </row>
    <row r="254" customFormat="false" ht="46.25" hidden="false" customHeight="false" outlineLevel="0" collapsed="false">
      <c r="A254" s="277" t="n">
        <v>43420</v>
      </c>
      <c r="B254" s="255" t="s">
        <v>1233</v>
      </c>
      <c r="C254" s="283" t="s">
        <v>1234</v>
      </c>
      <c r="D254" s="275"/>
      <c r="E254" s="284" t="n">
        <v>93000</v>
      </c>
      <c r="F254" s="154" t="n">
        <f aca="false">F253-E254</f>
        <v>234757954</v>
      </c>
    </row>
    <row r="255" customFormat="false" ht="35.05" hidden="false" customHeight="false" outlineLevel="0" collapsed="false">
      <c r="A255" s="277" t="n">
        <v>43409</v>
      </c>
      <c r="B255" s="255" t="s">
        <v>1235</v>
      </c>
      <c r="C255" s="283" t="s">
        <v>1236</v>
      </c>
      <c r="D255" s="275"/>
      <c r="E255" s="284" t="n">
        <v>1635000</v>
      </c>
      <c r="F255" s="154" t="n">
        <f aca="false">F254-E255</f>
        <v>233122954</v>
      </c>
    </row>
    <row r="256" customFormat="false" ht="57.45" hidden="false" customHeight="false" outlineLevel="0" collapsed="false">
      <c r="A256" s="277" t="n">
        <v>43409</v>
      </c>
      <c r="B256" s="255" t="s">
        <v>1237</v>
      </c>
      <c r="C256" s="283" t="s">
        <v>1238</v>
      </c>
      <c r="D256" s="275"/>
      <c r="E256" s="284" t="n">
        <v>3977500</v>
      </c>
      <c r="F256" s="154" t="n">
        <f aca="false">F255-E256</f>
        <v>229145454</v>
      </c>
    </row>
    <row r="257" customFormat="false" ht="15" hidden="false" customHeight="false" outlineLevel="0" collapsed="false">
      <c r="A257" s="277" t="n">
        <v>43410</v>
      </c>
      <c r="B257" s="262" t="s">
        <v>1239</v>
      </c>
      <c r="C257" s="256" t="s">
        <v>957</v>
      </c>
      <c r="D257" s="275" t="n">
        <v>180000</v>
      </c>
      <c r="E257" s="284"/>
      <c r="F257" s="154" t="n">
        <f aca="false">F256+D257</f>
        <v>229325454</v>
      </c>
    </row>
    <row r="258" customFormat="false" ht="46.25" hidden="false" customHeight="false" outlineLevel="0" collapsed="false">
      <c r="A258" s="277" t="n">
        <v>43411</v>
      </c>
      <c r="B258" s="262" t="s">
        <v>1240</v>
      </c>
      <c r="C258" s="283" t="s">
        <v>1241</v>
      </c>
      <c r="D258" s="275"/>
      <c r="E258" s="284" t="n">
        <v>74850</v>
      </c>
      <c r="F258" s="154" t="n">
        <f aca="false">F257-E258</f>
        <v>229250604</v>
      </c>
    </row>
    <row r="259" customFormat="false" ht="35.05" hidden="false" customHeight="false" outlineLevel="0" collapsed="false">
      <c r="A259" s="277" t="n">
        <v>43406</v>
      </c>
      <c r="B259" s="255" t="s">
        <v>1086</v>
      </c>
      <c r="C259" s="264" t="s">
        <v>1242</v>
      </c>
      <c r="D259" s="275"/>
      <c r="E259" s="284" t="n">
        <v>118118</v>
      </c>
      <c r="F259" s="154" t="n">
        <f aca="false">F258-E259</f>
        <v>229132486</v>
      </c>
    </row>
    <row r="260" customFormat="false" ht="35.05" hidden="false" customHeight="false" outlineLevel="0" collapsed="false">
      <c r="A260" s="277" t="n">
        <v>43406</v>
      </c>
      <c r="B260" s="255" t="s">
        <v>1243</v>
      </c>
      <c r="C260" s="283" t="s">
        <v>1244</v>
      </c>
      <c r="D260" s="270"/>
      <c r="E260" s="276" t="n">
        <v>93000</v>
      </c>
      <c r="F260" s="154" t="n">
        <f aca="false">F259-E260</f>
        <v>229039486</v>
      </c>
    </row>
    <row r="261" customFormat="false" ht="35.05" hidden="false" customHeight="false" outlineLevel="0" collapsed="false">
      <c r="A261" s="277" t="n">
        <v>43409</v>
      </c>
      <c r="B261" s="255" t="s">
        <v>1245</v>
      </c>
      <c r="C261" s="283" t="s">
        <v>1246</v>
      </c>
      <c r="D261" s="275"/>
      <c r="E261" s="284" t="n">
        <v>1940000</v>
      </c>
      <c r="F261" s="154" t="n">
        <f aca="false">F260-E261</f>
        <v>227099486</v>
      </c>
    </row>
    <row r="262" customFormat="false" ht="15" hidden="false" customHeight="false" outlineLevel="0" collapsed="false">
      <c r="A262" s="277" t="n">
        <v>43412</v>
      </c>
      <c r="B262" s="268" t="s">
        <v>1247</v>
      </c>
      <c r="C262" s="264" t="s">
        <v>1248</v>
      </c>
      <c r="D262" s="281"/>
      <c r="E262" s="284" t="n">
        <v>79103</v>
      </c>
      <c r="F262" s="154" t="n">
        <f aca="false">F261-E262</f>
        <v>227020383</v>
      </c>
    </row>
    <row r="263" customFormat="false" ht="15" hidden="false" customHeight="false" outlineLevel="0" collapsed="false">
      <c r="A263" s="277" t="n">
        <v>43412</v>
      </c>
      <c r="B263" s="268" t="s">
        <v>962</v>
      </c>
      <c r="C263" s="264" t="s">
        <v>963</v>
      </c>
      <c r="D263" s="281"/>
      <c r="E263" s="284" t="n">
        <v>5500</v>
      </c>
      <c r="F263" s="154" t="n">
        <f aca="false">F262-E263</f>
        <v>227014883</v>
      </c>
    </row>
    <row r="264" customFormat="false" ht="46.25" hidden="false" customHeight="false" outlineLevel="0" collapsed="false">
      <c r="A264" s="277" t="n">
        <v>43384</v>
      </c>
      <c r="B264" s="255" t="s">
        <v>1249</v>
      </c>
      <c r="C264" s="256" t="s">
        <v>929</v>
      </c>
      <c r="D264" s="275"/>
      <c r="E264" s="284" t="n">
        <v>520000</v>
      </c>
      <c r="F264" s="154" t="n">
        <f aca="false">F263-E264</f>
        <v>226494883</v>
      </c>
    </row>
    <row r="265" customFormat="false" ht="15" hidden="false" customHeight="false" outlineLevel="0" collapsed="false">
      <c r="A265" s="277" t="n">
        <v>43417</v>
      </c>
      <c r="B265" s="261" t="s">
        <v>1250</v>
      </c>
      <c r="C265" s="256" t="s">
        <v>929</v>
      </c>
      <c r="D265" s="281"/>
      <c r="E265" s="284" t="n">
        <v>685768</v>
      </c>
      <c r="F265" s="154" t="n">
        <f aca="false">F264-E265</f>
        <v>225809115</v>
      </c>
    </row>
    <row r="266" customFormat="false" ht="35.05" hidden="false" customHeight="false" outlineLevel="0" collapsed="false">
      <c r="A266" s="277" t="n">
        <v>43426</v>
      </c>
      <c r="B266" s="255" t="s">
        <v>1251</v>
      </c>
      <c r="C266" s="256" t="s">
        <v>929</v>
      </c>
      <c r="D266" s="275"/>
      <c r="E266" s="284" t="n">
        <v>19503000</v>
      </c>
      <c r="F266" s="154" t="n">
        <f aca="false">F265-E266</f>
        <v>206306115</v>
      </c>
    </row>
    <row r="267" customFormat="false" ht="35.05" hidden="false" customHeight="false" outlineLevel="0" collapsed="false">
      <c r="A267" s="277" t="n">
        <v>43426</v>
      </c>
      <c r="B267" s="255" t="s">
        <v>1252</v>
      </c>
      <c r="C267" s="283" t="s">
        <v>1253</v>
      </c>
      <c r="D267" s="275"/>
      <c r="E267" s="284" t="n">
        <v>5142220</v>
      </c>
      <c r="F267" s="154" t="n">
        <f aca="false">F266-E267</f>
        <v>201163895</v>
      </c>
    </row>
    <row r="268" customFormat="false" ht="35.05" hidden="false" customHeight="false" outlineLevel="0" collapsed="false">
      <c r="A268" s="277" t="n">
        <v>43426</v>
      </c>
      <c r="B268" s="255" t="s">
        <v>1254</v>
      </c>
      <c r="C268" s="283" t="s">
        <v>1255</v>
      </c>
      <c r="D268" s="275"/>
      <c r="E268" s="284" t="n">
        <v>3244200</v>
      </c>
      <c r="F268" s="154" t="n">
        <f aca="false">F267-E268</f>
        <v>197919695</v>
      </c>
    </row>
    <row r="269" customFormat="false" ht="46.25" hidden="false" customHeight="false" outlineLevel="0" collapsed="false">
      <c r="A269" s="277" t="n">
        <v>43433</v>
      </c>
      <c r="B269" s="255" t="s">
        <v>1256</v>
      </c>
      <c r="C269" s="256" t="s">
        <v>929</v>
      </c>
      <c r="D269" s="275"/>
      <c r="E269" s="284" t="n">
        <v>2800000</v>
      </c>
      <c r="F269" s="154" t="n">
        <f aca="false">F268-E269</f>
        <v>195119695</v>
      </c>
    </row>
    <row r="270" customFormat="false" ht="35.05" hidden="false" customHeight="false" outlineLevel="0" collapsed="false">
      <c r="A270" s="277" t="n">
        <v>43433</v>
      </c>
      <c r="B270" s="255" t="s">
        <v>1257</v>
      </c>
      <c r="C270" s="283" t="s">
        <v>1258</v>
      </c>
      <c r="D270" s="275"/>
      <c r="E270" s="284" t="n">
        <v>310000</v>
      </c>
      <c r="F270" s="154" t="n">
        <f aca="false">F269-E270</f>
        <v>194809695</v>
      </c>
    </row>
    <row r="271" customFormat="false" ht="23.85" hidden="false" customHeight="false" outlineLevel="0" collapsed="false">
      <c r="A271" s="277" t="s">
        <v>1259</v>
      </c>
      <c r="B271" s="255" t="s">
        <v>1260</v>
      </c>
      <c r="C271" s="283" t="s">
        <v>1261</v>
      </c>
      <c r="D271" s="275"/>
      <c r="E271" s="284" t="n">
        <v>121000</v>
      </c>
      <c r="F271" s="154" t="n">
        <f aca="false">F270-E271</f>
        <v>194688695</v>
      </c>
    </row>
    <row r="272" customFormat="false" ht="15" hidden="false" customHeight="false" outlineLevel="0" collapsed="false">
      <c r="A272" s="277" t="n">
        <v>43434</v>
      </c>
      <c r="B272" s="265" t="s">
        <v>956</v>
      </c>
      <c r="C272" s="266" t="s">
        <v>957</v>
      </c>
      <c r="D272" s="275" t="n">
        <v>1040000</v>
      </c>
      <c r="E272" s="284"/>
      <c r="F272" s="154" t="n">
        <f aca="false">F271+D272</f>
        <v>195728695</v>
      </c>
    </row>
    <row r="273" customFormat="false" ht="15" hidden="false" customHeight="false" outlineLevel="0" collapsed="false">
      <c r="A273" s="277" t="n">
        <v>43434</v>
      </c>
      <c r="B273" s="265" t="s">
        <v>1262</v>
      </c>
      <c r="C273" s="266" t="s">
        <v>957</v>
      </c>
      <c r="D273" s="275" t="n">
        <v>14205000</v>
      </c>
      <c r="E273" s="284"/>
      <c r="F273" s="154" t="n">
        <f aca="false">F272+D273</f>
        <v>209933695</v>
      </c>
    </row>
    <row r="274" customFormat="false" ht="46.25" hidden="false" customHeight="false" outlineLevel="0" collapsed="false">
      <c r="A274" s="277" t="n">
        <v>43437</v>
      </c>
      <c r="B274" s="255" t="s">
        <v>1263</v>
      </c>
      <c r="C274" s="256" t="s">
        <v>929</v>
      </c>
      <c r="D274" s="275"/>
      <c r="E274" s="284" t="n">
        <v>1820000</v>
      </c>
      <c r="F274" s="154" t="n">
        <f aca="false">F273-E274</f>
        <v>208113695</v>
      </c>
    </row>
    <row r="275" customFormat="false" ht="15" hidden="false" customHeight="false" outlineLevel="0" collapsed="false">
      <c r="A275" s="277" t="n">
        <v>43437</v>
      </c>
      <c r="B275" s="261" t="s">
        <v>1037</v>
      </c>
      <c r="C275" s="283" t="s">
        <v>1264</v>
      </c>
      <c r="D275" s="275"/>
      <c r="E275" s="284" t="n">
        <v>366676</v>
      </c>
      <c r="F275" s="154" t="n">
        <f aca="false">F274-E275</f>
        <v>207747019</v>
      </c>
    </row>
    <row r="276" customFormat="false" ht="15" hidden="false" customHeight="false" outlineLevel="0" collapsed="false">
      <c r="A276" s="277" t="n">
        <v>43437</v>
      </c>
      <c r="B276" s="261" t="s">
        <v>1037</v>
      </c>
      <c r="C276" s="283" t="s">
        <v>1265</v>
      </c>
      <c r="D276" s="275"/>
      <c r="E276" s="284" t="n">
        <v>114154</v>
      </c>
      <c r="F276" s="154" t="n">
        <f aca="false">F275-E276</f>
        <v>207632865</v>
      </c>
    </row>
    <row r="277" customFormat="false" ht="35.05" hidden="false" customHeight="false" outlineLevel="0" collapsed="false">
      <c r="A277" s="277" t="n">
        <v>43437</v>
      </c>
      <c r="B277" s="255" t="s">
        <v>1086</v>
      </c>
      <c r="C277" s="264" t="s">
        <v>1266</v>
      </c>
      <c r="D277" s="275"/>
      <c r="E277" s="284" t="n">
        <v>118118</v>
      </c>
      <c r="F277" s="154" t="n">
        <f aca="false">F276-E277</f>
        <v>207514747</v>
      </c>
    </row>
    <row r="278" customFormat="false" ht="35.05" hidden="false" customHeight="false" outlineLevel="0" collapsed="false">
      <c r="A278" s="277" t="n">
        <v>43407</v>
      </c>
      <c r="B278" s="262" t="s">
        <v>1079</v>
      </c>
      <c r="C278" s="256" t="s">
        <v>929</v>
      </c>
      <c r="D278" s="270"/>
      <c r="E278" s="288" t="n">
        <v>19500</v>
      </c>
      <c r="F278" s="154" t="n">
        <f aca="false">F277-E278</f>
        <v>207495247</v>
      </c>
    </row>
    <row r="279" customFormat="false" ht="23.85" hidden="false" customHeight="false" outlineLevel="0" collapsed="false">
      <c r="A279" s="277" t="s">
        <v>1267</v>
      </c>
      <c r="B279" s="259" t="s">
        <v>1268</v>
      </c>
      <c r="C279" s="256" t="s">
        <v>929</v>
      </c>
      <c r="D279" s="270"/>
      <c r="E279" s="270" t="n">
        <v>405000</v>
      </c>
      <c r="F279" s="154" t="n">
        <f aca="false">F278-E279</f>
        <v>207090247</v>
      </c>
    </row>
    <row r="280" customFormat="false" ht="15" hidden="false" customHeight="false" outlineLevel="0" collapsed="false">
      <c r="A280" s="277" t="n">
        <v>43438</v>
      </c>
      <c r="B280" s="261" t="s">
        <v>1269</v>
      </c>
      <c r="C280" s="256" t="s">
        <v>929</v>
      </c>
      <c r="D280" s="289"/>
      <c r="E280" s="290" t="n">
        <v>3955000</v>
      </c>
      <c r="F280" s="154" t="n">
        <f aca="false">F279-E280</f>
        <v>203135247</v>
      </c>
    </row>
    <row r="281" customFormat="false" ht="35.05" hidden="false" customHeight="false" outlineLevel="0" collapsed="false">
      <c r="A281" s="277" t="n">
        <v>43438</v>
      </c>
      <c r="B281" s="255" t="s">
        <v>1270</v>
      </c>
      <c r="C281" s="256" t="s">
        <v>929</v>
      </c>
      <c r="D281" s="270"/>
      <c r="E281" s="288" t="n">
        <v>14902000</v>
      </c>
      <c r="F281" s="154" t="n">
        <f aca="false">F280-E281</f>
        <v>188233247</v>
      </c>
    </row>
    <row r="282" customFormat="false" ht="35.05" hidden="false" customHeight="false" outlineLevel="0" collapsed="false">
      <c r="A282" s="277" t="n">
        <v>43440</v>
      </c>
      <c r="B282" s="255" t="s">
        <v>1271</v>
      </c>
      <c r="C282" s="256" t="s">
        <v>929</v>
      </c>
      <c r="D282" s="270"/>
      <c r="E282" s="288" t="n">
        <v>2200000</v>
      </c>
      <c r="F282" s="154" t="n">
        <f aca="false">F281-E282</f>
        <v>186033247</v>
      </c>
    </row>
    <row r="283" customFormat="false" ht="46.25" hidden="false" customHeight="false" outlineLevel="0" collapsed="false">
      <c r="A283" s="277" t="n">
        <v>43440</v>
      </c>
      <c r="B283" s="255" t="s">
        <v>1272</v>
      </c>
      <c r="C283" s="256" t="s">
        <v>1273</v>
      </c>
      <c r="D283" s="270"/>
      <c r="E283" s="288" t="n">
        <v>1500000</v>
      </c>
      <c r="F283" s="154" t="n">
        <f aca="false">F282-E283</f>
        <v>184533247</v>
      </c>
    </row>
    <row r="284" customFormat="false" ht="35.05" hidden="false" customHeight="false" outlineLevel="0" collapsed="false">
      <c r="A284" s="277" t="n">
        <v>43440</v>
      </c>
      <c r="B284" s="255" t="s">
        <v>1274</v>
      </c>
      <c r="C284" s="256" t="s">
        <v>1275</v>
      </c>
      <c r="D284" s="270"/>
      <c r="E284" s="288" t="n">
        <v>80000</v>
      </c>
      <c r="F284" s="154" t="n">
        <f aca="false">F283-E284</f>
        <v>184453247</v>
      </c>
    </row>
    <row r="285" customFormat="false" ht="35.05" hidden="false" customHeight="false" outlineLevel="0" collapsed="false">
      <c r="A285" s="277" t="n">
        <v>43440</v>
      </c>
      <c r="B285" s="255" t="s">
        <v>1276</v>
      </c>
      <c r="C285" s="256" t="s">
        <v>929</v>
      </c>
      <c r="D285" s="270"/>
      <c r="E285" s="288" t="n">
        <v>910000</v>
      </c>
      <c r="F285" s="154" t="n">
        <f aca="false">F284-E285</f>
        <v>183543247</v>
      </c>
    </row>
    <row r="286" customFormat="false" ht="35.05" hidden="false" customHeight="false" outlineLevel="0" collapsed="false">
      <c r="A286" s="277" t="n">
        <v>43440</v>
      </c>
      <c r="B286" s="255" t="s">
        <v>1251</v>
      </c>
      <c r="C286" s="256" t="s">
        <v>929</v>
      </c>
      <c r="D286" s="275"/>
      <c r="E286" s="284" t="n">
        <v>1090000</v>
      </c>
      <c r="F286" s="154" t="n">
        <f aca="false">F285-E286</f>
        <v>182453247</v>
      </c>
    </row>
    <row r="287" customFormat="false" ht="35.05" hidden="false" customHeight="false" outlineLevel="0" collapsed="false">
      <c r="A287" s="277" t="n">
        <v>43441</v>
      </c>
      <c r="B287" s="255" t="s">
        <v>1277</v>
      </c>
      <c r="C287" s="256" t="s">
        <v>1278</v>
      </c>
      <c r="D287" s="281"/>
      <c r="E287" s="284" t="n">
        <v>700000</v>
      </c>
      <c r="F287" s="154" t="n">
        <f aca="false">F286-E287</f>
        <v>181753247</v>
      </c>
    </row>
    <row r="288" customFormat="false" ht="35.05" hidden="false" customHeight="false" outlineLevel="0" collapsed="false">
      <c r="A288" s="277" t="n">
        <v>43441</v>
      </c>
      <c r="B288" s="255" t="s">
        <v>1277</v>
      </c>
      <c r="C288" s="256" t="s">
        <v>1279</v>
      </c>
      <c r="D288" s="275"/>
      <c r="E288" s="284" t="n">
        <v>100000</v>
      </c>
      <c r="F288" s="154" t="n">
        <f aca="false">F287-E288</f>
        <v>181653247</v>
      </c>
    </row>
    <row r="289" customFormat="false" ht="35.05" hidden="false" customHeight="false" outlineLevel="0" collapsed="false">
      <c r="A289" s="277" t="n">
        <v>43441</v>
      </c>
      <c r="B289" s="255" t="s">
        <v>1277</v>
      </c>
      <c r="C289" s="256" t="s">
        <v>929</v>
      </c>
      <c r="D289" s="275"/>
      <c r="E289" s="284" t="n">
        <v>2600000</v>
      </c>
      <c r="F289" s="154" t="n">
        <f aca="false">F288-E289</f>
        <v>179053247</v>
      </c>
    </row>
    <row r="290" customFormat="false" ht="15" hidden="false" customHeight="false" outlineLevel="0" collapsed="false">
      <c r="A290" s="277" t="n">
        <v>43444</v>
      </c>
      <c r="B290" s="268" t="s">
        <v>1280</v>
      </c>
      <c r="C290" s="264" t="s">
        <v>1281</v>
      </c>
      <c r="D290" s="281"/>
      <c r="E290" s="284" t="n">
        <v>79103</v>
      </c>
      <c r="F290" s="154" t="n">
        <f aca="false">F289-E290</f>
        <v>178974144</v>
      </c>
    </row>
    <row r="291" customFormat="false" ht="15" hidden="false" customHeight="false" outlineLevel="0" collapsed="false">
      <c r="A291" s="277" t="n">
        <v>43444</v>
      </c>
      <c r="B291" s="268" t="s">
        <v>962</v>
      </c>
      <c r="C291" s="264" t="s">
        <v>963</v>
      </c>
      <c r="D291" s="281"/>
      <c r="E291" s="284" t="n">
        <v>5500</v>
      </c>
      <c r="F291" s="154" t="n">
        <f aca="false">F290-E291</f>
        <v>178968644</v>
      </c>
    </row>
    <row r="292" customFormat="false" ht="46.25" hidden="false" customHeight="false" outlineLevel="0" collapsed="false">
      <c r="A292" s="277" t="n">
        <v>43452</v>
      </c>
      <c r="B292" s="255" t="s">
        <v>1282</v>
      </c>
      <c r="C292" s="256" t="s">
        <v>929</v>
      </c>
      <c r="D292" s="275"/>
      <c r="E292" s="284" t="n">
        <v>104000</v>
      </c>
      <c r="F292" s="154" t="n">
        <f aca="false">F291-E292</f>
        <v>178864644</v>
      </c>
    </row>
    <row r="293" customFormat="false" ht="35.05" hidden="false" customHeight="false" outlineLevel="0" collapsed="false">
      <c r="A293" s="277" t="n">
        <v>43452</v>
      </c>
      <c r="B293" s="255" t="s">
        <v>1276</v>
      </c>
      <c r="C293" s="256" t="s">
        <v>929</v>
      </c>
      <c r="D293" s="275"/>
      <c r="E293" s="284" t="n">
        <v>200000</v>
      </c>
      <c r="F293" s="154" t="n">
        <f aca="false">F292-E293</f>
        <v>178664644</v>
      </c>
    </row>
    <row r="294" customFormat="false" ht="15" hidden="false" customHeight="false" outlineLevel="0" collapsed="false">
      <c r="A294" s="277" t="n">
        <v>43452</v>
      </c>
      <c r="B294" s="261" t="s">
        <v>1283</v>
      </c>
      <c r="C294" s="256" t="s">
        <v>929</v>
      </c>
      <c r="D294" s="281"/>
      <c r="E294" s="284" t="n">
        <v>685768</v>
      </c>
      <c r="F294" s="154" t="n">
        <f aca="false">F293-E294</f>
        <v>177978876</v>
      </c>
    </row>
    <row r="295" customFormat="false" ht="23.85" hidden="false" customHeight="false" outlineLevel="0" collapsed="false">
      <c r="A295" s="277" t="n">
        <v>43460</v>
      </c>
      <c r="B295" s="255" t="s">
        <v>1284</v>
      </c>
      <c r="C295" s="256" t="s">
        <v>1285</v>
      </c>
      <c r="D295" s="275"/>
      <c r="E295" s="284" t="n">
        <v>115678</v>
      </c>
      <c r="F295" s="154" t="n">
        <f aca="false">F294-E295</f>
        <v>177863198</v>
      </c>
    </row>
    <row r="296" customFormat="false" ht="15" hidden="false" customHeight="false" outlineLevel="0" collapsed="false">
      <c r="A296" s="277"/>
      <c r="B296" s="255"/>
      <c r="C296" s="256"/>
      <c r="D296" s="275"/>
      <c r="E296" s="284"/>
      <c r="F296" s="157"/>
    </row>
    <row r="297" customFormat="false" ht="15" hidden="false" customHeight="false" outlineLevel="0" collapsed="false">
      <c r="A297" s="277"/>
      <c r="B297" s="255"/>
      <c r="C297" s="256"/>
      <c r="D297" s="275"/>
      <c r="E297" s="284"/>
      <c r="F297" s="157"/>
    </row>
    <row r="298" customFormat="false" ht="15" hidden="false" customHeight="false" outlineLevel="0" collapsed="false">
      <c r="A298" s="277"/>
      <c r="B298" s="255"/>
      <c r="C298" s="256"/>
      <c r="D298" s="275"/>
      <c r="E298" s="284"/>
      <c r="F298" s="157"/>
    </row>
    <row r="299" customFormat="false" ht="15" hidden="false" customHeight="false" outlineLevel="0" collapsed="false">
      <c r="A299" s="277"/>
      <c r="B299" s="255"/>
      <c r="C299" s="256"/>
      <c r="D299" s="275"/>
      <c r="E299" s="284"/>
      <c r="F299" s="157"/>
    </row>
    <row r="300" customFormat="false" ht="17.35" hidden="false" customHeight="false" outlineLevel="0" collapsed="false">
      <c r="A300" s="291"/>
      <c r="B300" s="292" t="s">
        <v>1286</v>
      </c>
      <c r="C300" s="293"/>
      <c r="D300" s="294" t="n">
        <f aca="false">SUM(D11:D299)</f>
        <v>572933390</v>
      </c>
      <c r="E300" s="295" t="n">
        <f aca="false">SUM(E12:E299)</f>
        <v>395070192</v>
      </c>
      <c r="F300" s="157"/>
    </row>
    <row r="301" customFormat="false" ht="17.35" hidden="false" customHeight="false" outlineLevel="0" collapsed="false">
      <c r="A301" s="291"/>
      <c r="B301" s="292" t="s">
        <v>1287</v>
      </c>
      <c r="C301" s="293"/>
      <c r="D301" s="296" t="n">
        <f aca="false">D300-E300</f>
        <v>177863198</v>
      </c>
      <c r="E301" s="295"/>
      <c r="F301" s="1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946"/>
  <sheetViews>
    <sheetView showFormulas="false" showGridLines="true" showRowColHeaders="true" showZeros="true" rightToLeft="false" tabSelected="false" showOutlineSymbols="true" defaultGridColor="true" view="normal" topLeftCell="A10" colorId="64" zoomScale="93" zoomScaleNormal="93" zoomScalePageLayoutView="100" workbookViewId="0">
      <selection pane="topLeft" activeCell="G946" activeCellId="0" sqref="G946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39.14"/>
    <col collapsed="false" customWidth="true" hidden="false" outlineLevel="0" max="3" min="3" style="1" width="14.43"/>
    <col collapsed="false" customWidth="true" hidden="false" outlineLevel="0" max="4" min="4" style="1" width="12.29"/>
    <col collapsed="false" customWidth="true" hidden="false" outlineLevel="0" max="5" min="5" style="1" width="16.84"/>
    <col collapsed="false" customWidth="true" hidden="false" outlineLevel="0" max="6" min="6" style="1" width="20.43"/>
    <col collapsed="false" customWidth="true" hidden="false" outlineLevel="0" max="7" min="7" style="1" width="8.43"/>
  </cols>
  <sheetData>
    <row r="3" customFormat="false" ht="15" hidden="false" customHeight="false" outlineLevel="0" collapsed="false">
      <c r="A3" s="147"/>
      <c r="B3" s="297" t="s">
        <v>1288</v>
      </c>
      <c r="C3" s="147"/>
      <c r="D3" s="147"/>
      <c r="E3" s="147"/>
    </row>
    <row r="4" customFormat="false" ht="15" hidden="false" customHeight="false" outlineLevel="0" collapsed="false">
      <c r="A4" s="147"/>
      <c r="B4" s="4"/>
      <c r="C4" s="147"/>
      <c r="D4" s="147"/>
      <c r="E4" s="147"/>
    </row>
    <row r="5" customFormat="false" ht="15" hidden="false" customHeight="false" outlineLevel="0" collapsed="false">
      <c r="A5" s="147"/>
      <c r="B5" s="147"/>
      <c r="C5" s="148" t="s">
        <v>1289</v>
      </c>
      <c r="D5" s="147"/>
      <c r="E5" s="147"/>
    </row>
    <row r="6" customFormat="false" ht="15" hidden="false" customHeight="false" outlineLevel="0" collapsed="false">
      <c r="A6" s="147"/>
      <c r="B6" s="4"/>
      <c r="C6" s="147"/>
      <c r="D6" s="147"/>
      <c r="E6" s="147"/>
    </row>
    <row r="7" customFormat="false" ht="15" hidden="false" customHeight="false" outlineLevel="0" collapsed="false">
      <c r="A7" s="147"/>
      <c r="B7" s="148" t="s">
        <v>1290</v>
      </c>
      <c r="C7" s="147"/>
      <c r="D7" s="147"/>
      <c r="E7" s="147"/>
    </row>
    <row r="8" customFormat="false" ht="15" hidden="false" customHeight="false" outlineLevel="0" collapsed="false">
      <c r="A8" s="147"/>
      <c r="B8" s="147"/>
      <c r="C8" s="147"/>
      <c r="D8" s="147"/>
      <c r="E8" s="147"/>
    </row>
    <row r="9" customFormat="false" ht="15" hidden="false" customHeight="false" outlineLevel="0" collapsed="false">
      <c r="A9" s="298" t="s">
        <v>5</v>
      </c>
      <c r="B9" s="299" t="s">
        <v>1291</v>
      </c>
      <c r="C9" s="299" t="s">
        <v>1292</v>
      </c>
      <c r="D9" s="299" t="s">
        <v>1293</v>
      </c>
      <c r="E9" s="300" t="s">
        <v>1294</v>
      </c>
    </row>
    <row r="10" customFormat="false" ht="15" hidden="false" customHeight="false" outlineLevel="0" collapsed="false">
      <c r="A10" s="301"/>
      <c r="B10" s="302" t="s">
        <v>1295</v>
      </c>
      <c r="C10" s="303" t="n">
        <v>97374458</v>
      </c>
      <c r="D10" s="304" t="s">
        <v>1296</v>
      </c>
      <c r="E10" s="305"/>
    </row>
    <row r="11" customFormat="false" ht="15" hidden="false" customHeight="false" outlineLevel="0" collapsed="false">
      <c r="A11" s="306" t="n">
        <v>1</v>
      </c>
      <c r="B11" s="307" t="s">
        <v>1297</v>
      </c>
      <c r="C11" s="308" t="n">
        <v>96619484</v>
      </c>
      <c r="D11" s="309" t="s">
        <v>1298</v>
      </c>
      <c r="E11" s="310"/>
    </row>
    <row r="12" customFormat="false" ht="15" hidden="false" customHeight="false" outlineLevel="0" collapsed="false">
      <c r="A12" s="306" t="n">
        <v>2</v>
      </c>
      <c r="B12" s="307" t="s">
        <v>1299</v>
      </c>
      <c r="C12" s="308" t="n">
        <v>96185890</v>
      </c>
      <c r="D12" s="309" t="s">
        <v>1300</v>
      </c>
      <c r="E12" s="310"/>
    </row>
    <row r="13" customFormat="false" ht="15" hidden="false" customHeight="false" outlineLevel="0" collapsed="false">
      <c r="A13" s="306" t="n">
        <v>3</v>
      </c>
      <c r="B13" s="307" t="s">
        <v>735</v>
      </c>
      <c r="C13" s="308" t="n">
        <v>97877227</v>
      </c>
      <c r="D13" s="307"/>
      <c r="E13" s="310"/>
    </row>
    <row r="14" customFormat="false" ht="15" hidden="false" customHeight="false" outlineLevel="0" collapsed="false">
      <c r="A14" s="311" t="n">
        <v>4</v>
      </c>
      <c r="B14" s="312" t="s">
        <v>1301</v>
      </c>
      <c r="C14" s="313" t="n">
        <v>97475188</v>
      </c>
      <c r="D14" s="314" t="s">
        <v>1302</v>
      </c>
      <c r="E14" s="315" t="s">
        <v>1303</v>
      </c>
    </row>
    <row r="15" customFormat="false" ht="15" hidden="false" customHeight="false" outlineLevel="0" collapsed="false">
      <c r="A15" s="306" t="n">
        <v>5</v>
      </c>
      <c r="B15" s="307" t="s">
        <v>1304</v>
      </c>
      <c r="C15" s="308" t="n">
        <v>67142227</v>
      </c>
      <c r="D15" s="309" t="s">
        <v>1305</v>
      </c>
      <c r="E15" s="310"/>
    </row>
    <row r="16" customFormat="false" ht="15" hidden="false" customHeight="false" outlineLevel="0" collapsed="false">
      <c r="A16" s="306" t="n">
        <v>6</v>
      </c>
      <c r="B16" s="307" t="s">
        <v>738</v>
      </c>
      <c r="C16" s="308" t="n">
        <v>66894347</v>
      </c>
      <c r="D16" s="309" t="s">
        <v>1306</v>
      </c>
      <c r="E16" s="310"/>
    </row>
    <row r="17" customFormat="false" ht="15" hidden="false" customHeight="false" outlineLevel="0" collapsed="false">
      <c r="A17" s="306" t="n">
        <v>7</v>
      </c>
      <c r="B17" s="307" t="s">
        <v>739</v>
      </c>
      <c r="C17" s="308" t="n">
        <v>97027122</v>
      </c>
      <c r="D17" s="307"/>
      <c r="E17" s="310"/>
    </row>
    <row r="18" customFormat="false" ht="15" hidden="false" customHeight="false" outlineLevel="0" collapsed="false">
      <c r="A18" s="306" t="n">
        <v>8</v>
      </c>
      <c r="B18" s="307" t="s">
        <v>1307</v>
      </c>
      <c r="C18" s="308" t="n">
        <v>97459161</v>
      </c>
      <c r="D18" s="309" t="s">
        <v>1308</v>
      </c>
      <c r="E18" s="310"/>
    </row>
    <row r="19" customFormat="false" ht="15" hidden="false" customHeight="false" outlineLevel="0" collapsed="false">
      <c r="A19" s="306" t="n">
        <v>9</v>
      </c>
      <c r="B19" s="307" t="s">
        <v>741</v>
      </c>
      <c r="C19" s="308" t="n">
        <v>96547050</v>
      </c>
      <c r="D19" s="309" t="s">
        <v>1309</v>
      </c>
      <c r="E19" s="310"/>
    </row>
    <row r="20" customFormat="false" ht="15" hidden="false" customHeight="false" outlineLevel="0" collapsed="false">
      <c r="A20" s="306" t="n">
        <v>10</v>
      </c>
      <c r="B20" s="307" t="s">
        <v>1310</v>
      </c>
      <c r="C20" s="308" t="n">
        <v>96517340</v>
      </c>
      <c r="D20" s="309" t="s">
        <v>1311</v>
      </c>
      <c r="E20" s="310"/>
    </row>
    <row r="21" customFormat="false" ht="15" hidden="false" customHeight="false" outlineLevel="0" collapsed="false">
      <c r="A21" s="306" t="n">
        <v>11</v>
      </c>
      <c r="B21" s="307" t="s">
        <v>1312</v>
      </c>
      <c r="C21" s="308" t="n">
        <v>95752568</v>
      </c>
      <c r="D21" s="309" t="s">
        <v>1313</v>
      </c>
      <c r="E21" s="310"/>
    </row>
    <row r="22" customFormat="false" ht="15" hidden="false" customHeight="false" outlineLevel="0" collapsed="false">
      <c r="A22" s="306" t="n">
        <v>12</v>
      </c>
      <c r="B22" s="307" t="s">
        <v>742</v>
      </c>
      <c r="C22" s="308" t="n">
        <v>97495400</v>
      </c>
      <c r="D22" s="309" t="s">
        <v>1314</v>
      </c>
      <c r="E22" s="310"/>
    </row>
    <row r="23" customFormat="false" ht="15" hidden="false" customHeight="false" outlineLevel="0" collapsed="false">
      <c r="A23" s="306" t="n">
        <v>13</v>
      </c>
      <c r="B23" s="307" t="s">
        <v>1315</v>
      </c>
      <c r="C23" s="308" t="n">
        <v>96368727</v>
      </c>
      <c r="D23" s="307"/>
      <c r="E23" s="310"/>
    </row>
    <row r="24" customFormat="false" ht="15" hidden="false" customHeight="false" outlineLevel="0" collapsed="false">
      <c r="A24" s="306" t="n">
        <v>14</v>
      </c>
      <c r="B24" s="307" t="s">
        <v>1316</v>
      </c>
      <c r="C24" s="308" t="n">
        <v>96285931</v>
      </c>
      <c r="D24" s="309" t="s">
        <v>1317</v>
      </c>
      <c r="E24" s="310"/>
    </row>
    <row r="25" customFormat="false" ht="15" hidden="false" customHeight="false" outlineLevel="0" collapsed="false">
      <c r="A25" s="306" t="n">
        <v>15</v>
      </c>
      <c r="B25" s="307" t="s">
        <v>745</v>
      </c>
      <c r="C25" s="308" t="n">
        <v>96939593</v>
      </c>
      <c r="D25" s="307"/>
      <c r="E25" s="310"/>
    </row>
    <row r="26" customFormat="false" ht="15" hidden="false" customHeight="false" outlineLevel="0" collapsed="false">
      <c r="A26" s="306" t="n">
        <v>16</v>
      </c>
      <c r="B26" s="307" t="s">
        <v>1318</v>
      </c>
      <c r="C26" s="308" t="n">
        <v>67273637</v>
      </c>
      <c r="D26" s="307"/>
      <c r="E26" s="310"/>
    </row>
    <row r="27" customFormat="false" ht="15" hidden="false" customHeight="false" outlineLevel="0" collapsed="false">
      <c r="A27" s="306" t="n">
        <v>17</v>
      </c>
      <c r="B27" s="307" t="s">
        <v>1319</v>
      </c>
      <c r="C27" s="308" t="n">
        <v>96569917</v>
      </c>
      <c r="D27" s="307"/>
      <c r="E27" s="310"/>
    </row>
    <row r="28" customFormat="false" ht="15" hidden="false" customHeight="false" outlineLevel="0" collapsed="false">
      <c r="A28" s="306" t="n">
        <v>18</v>
      </c>
      <c r="B28" s="307" t="s">
        <v>1320</v>
      </c>
      <c r="C28" s="308" t="n">
        <v>67038492</v>
      </c>
      <c r="D28" s="309" t="s">
        <v>1321</v>
      </c>
      <c r="E28" s="310"/>
    </row>
    <row r="29" customFormat="false" ht="15" hidden="false" customHeight="false" outlineLevel="0" collapsed="false">
      <c r="A29" s="306" t="n">
        <v>19</v>
      </c>
      <c r="B29" s="307" t="s">
        <v>1322</v>
      </c>
      <c r="C29" s="308" t="n">
        <v>97229678</v>
      </c>
      <c r="D29" s="307"/>
      <c r="E29" s="310"/>
    </row>
    <row r="30" customFormat="false" ht="15" hidden="false" customHeight="false" outlineLevel="0" collapsed="false">
      <c r="A30" s="306" t="n">
        <v>20</v>
      </c>
      <c r="B30" s="307" t="s">
        <v>749</v>
      </c>
      <c r="C30" s="308" t="n">
        <v>97679191</v>
      </c>
      <c r="D30" s="309" t="s">
        <v>1323</v>
      </c>
      <c r="E30" s="310"/>
    </row>
    <row r="31" customFormat="false" ht="15" hidden="false" customHeight="false" outlineLevel="0" collapsed="false">
      <c r="A31" s="306" t="n">
        <v>21</v>
      </c>
      <c r="B31" s="307" t="s">
        <v>787</v>
      </c>
      <c r="C31" s="308" t="n">
        <v>97397405</v>
      </c>
      <c r="D31" s="307"/>
      <c r="E31" s="310"/>
    </row>
    <row r="32" customFormat="false" ht="15" hidden="false" customHeight="false" outlineLevel="0" collapsed="false">
      <c r="A32" s="306" t="n">
        <v>22</v>
      </c>
      <c r="B32" s="307" t="s">
        <v>1324</v>
      </c>
      <c r="C32" s="308" t="n">
        <v>66046772</v>
      </c>
      <c r="D32" s="309" t="s">
        <v>1325</v>
      </c>
      <c r="E32" s="310"/>
    </row>
    <row r="33" customFormat="false" ht="15" hidden="false" customHeight="false" outlineLevel="0" collapsed="false">
      <c r="A33" s="306" t="n">
        <v>23</v>
      </c>
      <c r="B33" s="307" t="s">
        <v>1326</v>
      </c>
      <c r="C33" s="308"/>
      <c r="D33" s="307"/>
      <c r="E33" s="310"/>
    </row>
    <row r="34" customFormat="false" ht="15" hidden="false" customHeight="false" outlineLevel="0" collapsed="false">
      <c r="A34" s="306" t="n">
        <v>24</v>
      </c>
      <c r="B34" s="307" t="s">
        <v>752</v>
      </c>
      <c r="C34" s="308" t="n">
        <v>66343058</v>
      </c>
      <c r="D34" s="307"/>
      <c r="E34" s="310"/>
    </row>
    <row r="35" customFormat="false" ht="15" hidden="false" customHeight="false" outlineLevel="0" collapsed="false">
      <c r="A35" s="306" t="n">
        <v>25</v>
      </c>
      <c r="B35" s="307" t="s">
        <v>753</v>
      </c>
      <c r="C35" s="308" t="n">
        <v>64658281</v>
      </c>
      <c r="D35" s="309" t="s">
        <v>1327</v>
      </c>
      <c r="E35" s="310"/>
    </row>
    <row r="36" customFormat="false" ht="15" hidden="false" customHeight="false" outlineLevel="0" collapsed="false">
      <c r="A36" s="306" t="n">
        <v>26</v>
      </c>
      <c r="B36" s="307" t="s">
        <v>1328</v>
      </c>
      <c r="C36" s="308" t="n">
        <v>67154582</v>
      </c>
      <c r="D36" s="309" t="s">
        <v>1329</v>
      </c>
      <c r="E36" s="310"/>
    </row>
    <row r="37" customFormat="false" ht="15" hidden="false" customHeight="false" outlineLevel="0" collapsed="false">
      <c r="A37" s="306" t="n">
        <v>27</v>
      </c>
      <c r="B37" s="307" t="s">
        <v>1330</v>
      </c>
      <c r="C37" s="308" t="n">
        <v>97826183</v>
      </c>
      <c r="D37" s="309" t="s">
        <v>1331</v>
      </c>
      <c r="E37" s="310"/>
    </row>
    <row r="38" customFormat="false" ht="15" hidden="false" customHeight="false" outlineLevel="0" collapsed="false">
      <c r="A38" s="306" t="n">
        <v>28</v>
      </c>
      <c r="B38" s="307" t="s">
        <v>1332</v>
      </c>
      <c r="C38" s="308" t="n">
        <v>97640944</v>
      </c>
      <c r="D38" s="307"/>
      <c r="E38" s="310"/>
    </row>
    <row r="39" customFormat="false" ht="15" hidden="false" customHeight="false" outlineLevel="0" collapsed="false">
      <c r="A39" s="306" t="n">
        <v>29</v>
      </c>
      <c r="B39" s="307" t="s">
        <v>756</v>
      </c>
      <c r="C39" s="308" t="n">
        <v>97361546</v>
      </c>
      <c r="D39" s="309" t="s">
        <v>1333</v>
      </c>
      <c r="E39" s="310"/>
    </row>
    <row r="40" customFormat="false" ht="15" hidden="false" customHeight="false" outlineLevel="0" collapsed="false">
      <c r="A40" s="306" t="n">
        <v>30</v>
      </c>
      <c r="B40" s="307" t="s">
        <v>757</v>
      </c>
      <c r="C40" s="308" t="n">
        <v>96692926</v>
      </c>
      <c r="D40" s="309" t="s">
        <v>1334</v>
      </c>
      <c r="E40" s="310"/>
    </row>
    <row r="41" customFormat="false" ht="15" hidden="false" customHeight="false" outlineLevel="0" collapsed="false">
      <c r="A41" s="306" t="n">
        <v>31</v>
      </c>
      <c r="B41" s="307" t="s">
        <v>1335</v>
      </c>
      <c r="C41" s="308" t="n">
        <v>66089937</v>
      </c>
      <c r="D41" s="307"/>
      <c r="E41" s="310"/>
    </row>
    <row r="42" customFormat="false" ht="15" hidden="false" customHeight="false" outlineLevel="0" collapsed="false">
      <c r="A42" s="306" t="n">
        <v>32</v>
      </c>
      <c r="B42" s="307" t="s">
        <v>1336</v>
      </c>
      <c r="C42" s="308" t="n">
        <v>97026977</v>
      </c>
      <c r="D42" s="307"/>
      <c r="E42" s="310"/>
    </row>
    <row r="43" customFormat="false" ht="15" hidden="false" customHeight="false" outlineLevel="0" collapsed="false">
      <c r="A43" s="306" t="n">
        <v>33</v>
      </c>
      <c r="B43" s="307" t="s">
        <v>760</v>
      </c>
      <c r="C43" s="308" t="n">
        <v>67248320</v>
      </c>
      <c r="D43" s="307"/>
      <c r="E43" s="310"/>
    </row>
    <row r="44" customFormat="false" ht="15" hidden="false" customHeight="false" outlineLevel="0" collapsed="false">
      <c r="A44" s="306" t="n">
        <v>34</v>
      </c>
      <c r="B44" s="307" t="s">
        <v>761</v>
      </c>
      <c r="C44" s="308" t="n">
        <v>95074826</v>
      </c>
      <c r="D44" s="307"/>
      <c r="E44" s="310"/>
    </row>
    <row r="45" customFormat="false" ht="15" hidden="false" customHeight="false" outlineLevel="0" collapsed="false">
      <c r="A45" s="306" t="n">
        <v>35</v>
      </c>
      <c r="B45" s="307" t="s">
        <v>1337</v>
      </c>
      <c r="C45" s="308" t="n">
        <v>94659043</v>
      </c>
      <c r="D45" s="309" t="s">
        <v>1338</v>
      </c>
      <c r="E45" s="310"/>
    </row>
    <row r="46" customFormat="false" ht="21.75" hidden="false" customHeight="true" outlineLevel="0" collapsed="false">
      <c r="A46" s="306" t="n">
        <v>36</v>
      </c>
      <c r="B46" s="307" t="s">
        <v>1339</v>
      </c>
      <c r="C46" s="316" t="s">
        <v>1340</v>
      </c>
      <c r="D46" s="309" t="s">
        <v>1341</v>
      </c>
      <c r="E46" s="310"/>
    </row>
    <row r="47" customFormat="false" ht="15" hidden="false" customHeight="false" outlineLevel="0" collapsed="false">
      <c r="A47" s="306" t="n">
        <v>37</v>
      </c>
      <c r="B47" s="307" t="s">
        <v>763</v>
      </c>
      <c r="C47" s="308" t="n">
        <v>97580696</v>
      </c>
      <c r="D47" s="317"/>
      <c r="E47" s="310"/>
    </row>
    <row r="48" customFormat="false" ht="15" hidden="false" customHeight="false" outlineLevel="0" collapsed="false">
      <c r="A48" s="306" t="n">
        <v>38</v>
      </c>
      <c r="B48" s="307" t="s">
        <v>764</v>
      </c>
      <c r="C48" s="308" t="n">
        <v>97176102</v>
      </c>
      <c r="D48" s="307"/>
      <c r="E48" s="310"/>
    </row>
    <row r="49" customFormat="false" ht="15" hidden="false" customHeight="false" outlineLevel="0" collapsed="false">
      <c r="A49" s="306" t="n">
        <v>39</v>
      </c>
      <c r="B49" s="307" t="s">
        <v>1342</v>
      </c>
      <c r="C49" s="308" t="n">
        <v>97018681</v>
      </c>
      <c r="D49" s="307"/>
      <c r="E49" s="310"/>
    </row>
    <row r="50" customFormat="false" ht="15" hidden="false" customHeight="false" outlineLevel="0" collapsed="false">
      <c r="A50" s="311" t="n">
        <v>40</v>
      </c>
      <c r="B50" s="312" t="s">
        <v>765</v>
      </c>
      <c r="C50" s="313" t="n">
        <v>96686150</v>
      </c>
      <c r="D50" s="312"/>
      <c r="E50" s="315" t="s">
        <v>1343</v>
      </c>
    </row>
    <row r="51" customFormat="false" ht="15" hidden="false" customHeight="false" outlineLevel="0" collapsed="false">
      <c r="A51" s="306" t="n">
        <v>41</v>
      </c>
      <c r="B51" s="307" t="s">
        <v>766</v>
      </c>
      <c r="C51" s="308" t="n">
        <v>97014421</v>
      </c>
      <c r="D51" s="307"/>
      <c r="E51" s="310"/>
    </row>
    <row r="52" customFormat="false" ht="15" hidden="false" customHeight="false" outlineLevel="0" collapsed="false">
      <c r="A52" s="306" t="n">
        <v>42</v>
      </c>
      <c r="B52" s="307" t="s">
        <v>1344</v>
      </c>
      <c r="C52" s="308" t="n">
        <v>97644993</v>
      </c>
      <c r="D52" s="309" t="s">
        <v>1345</v>
      </c>
      <c r="E52" s="310"/>
    </row>
    <row r="53" customFormat="false" ht="15" hidden="false" customHeight="false" outlineLevel="0" collapsed="false">
      <c r="A53" s="306" t="n">
        <v>43</v>
      </c>
      <c r="B53" s="307" t="s">
        <v>768</v>
      </c>
      <c r="C53" s="308" t="n">
        <v>97457699</v>
      </c>
      <c r="D53" s="307"/>
      <c r="E53" s="310"/>
    </row>
    <row r="54" customFormat="false" ht="15" hidden="false" customHeight="false" outlineLevel="0" collapsed="false">
      <c r="A54" s="306" t="n">
        <v>44</v>
      </c>
      <c r="B54" s="307" t="s">
        <v>769</v>
      </c>
      <c r="C54" s="308" t="n">
        <v>95629110</v>
      </c>
      <c r="D54" s="309" t="s">
        <v>1346</v>
      </c>
      <c r="E54" s="310"/>
    </row>
    <row r="55" customFormat="false" ht="15" hidden="false" customHeight="false" outlineLevel="0" collapsed="false">
      <c r="A55" s="306" t="n">
        <v>45</v>
      </c>
      <c r="B55" s="307" t="s">
        <v>1347</v>
      </c>
      <c r="C55" s="308" t="n">
        <v>66300818</v>
      </c>
      <c r="D55" s="309"/>
      <c r="E55" s="310"/>
    </row>
    <row r="56" customFormat="false" ht="15" hidden="false" customHeight="false" outlineLevel="0" collapsed="false">
      <c r="A56" s="318" t="n">
        <v>46</v>
      </c>
      <c r="B56" s="319" t="s">
        <v>772</v>
      </c>
      <c r="C56" s="320"/>
      <c r="D56" s="319"/>
      <c r="E56" s="321"/>
    </row>
    <row r="57" customFormat="false" ht="15" hidden="false" customHeight="false" outlineLevel="0" collapsed="false">
      <c r="A57" s="147"/>
      <c r="B57" s="147"/>
      <c r="C57" s="147"/>
      <c r="D57" s="147"/>
      <c r="E57" s="147"/>
    </row>
    <row r="58" customFormat="false" ht="15" hidden="false" customHeight="false" outlineLevel="0" collapsed="false">
      <c r="A58" s="147"/>
      <c r="B58" s="147"/>
      <c r="C58" s="147"/>
      <c r="D58" s="147"/>
      <c r="E58" s="147"/>
    </row>
    <row r="59" customFormat="false" ht="15" hidden="false" customHeight="false" outlineLevel="0" collapsed="false">
      <c r="A59" s="147"/>
      <c r="B59" s="147"/>
      <c r="C59" s="147"/>
      <c r="D59" s="147"/>
      <c r="E59" s="147"/>
    </row>
    <row r="60" customFormat="false" ht="15" hidden="false" customHeight="false" outlineLevel="0" collapsed="false">
      <c r="A60" s="147"/>
      <c r="B60" s="147"/>
      <c r="C60" s="147"/>
      <c r="D60" s="147"/>
      <c r="E60" s="147"/>
    </row>
    <row r="61" customFormat="false" ht="15" hidden="false" customHeight="false" outlineLevel="0" collapsed="false">
      <c r="A61" s="147"/>
      <c r="B61" s="147"/>
      <c r="C61" s="147"/>
      <c r="D61" s="147"/>
      <c r="E61" s="147"/>
    </row>
    <row r="63" customFormat="false" ht="17.35" hidden="false" customHeight="false" outlineLevel="0" collapsed="false">
      <c r="A63" s="40"/>
      <c r="B63" s="2" t="s">
        <v>504</v>
      </c>
    </row>
    <row r="64" customFormat="false" ht="17.35" hidden="false" customHeight="false" outlineLevel="0" collapsed="false">
      <c r="A64" s="62"/>
    </row>
    <row r="65" customFormat="false" ht="15" hidden="false" customHeight="false" outlineLevel="0" collapsed="false">
      <c r="A65" s="40"/>
    </row>
    <row r="66" customFormat="false" ht="15" hidden="false" customHeight="false" outlineLevel="0" collapsed="false">
      <c r="A66" s="40"/>
      <c r="B66" s="4" t="s">
        <v>1348</v>
      </c>
    </row>
    <row r="67" customFormat="false" ht="15" hidden="false" customHeight="false" outlineLevel="0" collapsed="false">
      <c r="A67" s="40"/>
      <c r="D67" s="77" t="s">
        <v>514</v>
      </c>
    </row>
    <row r="68" customFormat="false" ht="15" hidden="false" customHeight="false" outlineLevel="0" collapsed="false">
      <c r="A68" s="40"/>
    </row>
    <row r="69" customFormat="false" ht="15" hidden="false" customHeight="false" outlineLevel="0" collapsed="false">
      <c r="A69" s="6" t="s">
        <v>5</v>
      </c>
      <c r="B69" s="7" t="s">
        <v>6</v>
      </c>
      <c r="C69" s="8" t="s">
        <v>7</v>
      </c>
      <c r="D69" s="9" t="s">
        <v>8</v>
      </c>
      <c r="E69" s="89" t="s">
        <v>9</v>
      </c>
      <c r="F69" s="322" t="s">
        <v>1349</v>
      </c>
    </row>
    <row r="70" customFormat="false" ht="15" hidden="false" customHeight="false" outlineLevel="0" collapsed="false">
      <c r="A70" s="49" t="n">
        <v>1</v>
      </c>
      <c r="B70" s="15" t="s">
        <v>1350</v>
      </c>
      <c r="C70" s="16"/>
      <c r="D70" s="323"/>
      <c r="E70" s="324"/>
      <c r="F70" s="325"/>
    </row>
    <row r="71" customFormat="false" ht="15" hidden="false" customHeight="false" outlineLevel="0" collapsed="false">
      <c r="A71" s="49" t="n">
        <v>2</v>
      </c>
      <c r="B71" s="15" t="s">
        <v>12</v>
      </c>
      <c r="C71" s="16"/>
      <c r="D71" s="326"/>
      <c r="E71" s="324"/>
      <c r="F71" s="327"/>
    </row>
    <row r="72" customFormat="false" ht="15" hidden="false" customHeight="false" outlineLevel="0" collapsed="false">
      <c r="A72" s="49" t="n">
        <v>3</v>
      </c>
      <c r="B72" s="15" t="s">
        <v>13</v>
      </c>
      <c r="C72" s="16"/>
      <c r="D72" s="326"/>
      <c r="E72" s="324"/>
      <c r="F72" s="327"/>
    </row>
    <row r="73" customFormat="false" ht="15" hidden="false" customHeight="false" outlineLevel="0" collapsed="false">
      <c r="A73" s="49" t="n">
        <v>4</v>
      </c>
      <c r="B73" s="15" t="s">
        <v>14</v>
      </c>
      <c r="C73" s="16"/>
      <c r="D73" s="326"/>
      <c r="E73" s="324"/>
      <c r="F73" s="327"/>
    </row>
    <row r="74" customFormat="false" ht="15" hidden="false" customHeight="false" outlineLevel="0" collapsed="false">
      <c r="A74" s="49" t="n">
        <v>5</v>
      </c>
      <c r="B74" s="15" t="s">
        <v>15</v>
      </c>
      <c r="C74" s="16"/>
      <c r="D74" s="326"/>
      <c r="E74" s="324"/>
      <c r="F74" s="327"/>
    </row>
    <row r="75" customFormat="false" ht="15" hidden="false" customHeight="false" outlineLevel="0" collapsed="false">
      <c r="A75" s="49" t="n">
        <v>6</v>
      </c>
      <c r="B75" s="15" t="s">
        <v>16</v>
      </c>
      <c r="C75" s="16"/>
      <c r="D75" s="326"/>
      <c r="E75" s="324"/>
      <c r="F75" s="327"/>
    </row>
    <row r="76" customFormat="false" ht="15" hidden="false" customHeight="false" outlineLevel="0" collapsed="false">
      <c r="A76" s="49" t="n">
        <v>7</v>
      </c>
      <c r="B76" s="15" t="s">
        <v>18</v>
      </c>
      <c r="C76" s="16"/>
      <c r="D76" s="328"/>
      <c r="E76" s="324"/>
      <c r="F76" s="327"/>
    </row>
    <row r="77" customFormat="false" ht="15" hidden="false" customHeight="false" outlineLevel="0" collapsed="false">
      <c r="A77" s="49" t="n">
        <v>8</v>
      </c>
      <c r="B77" s="15" t="s">
        <v>19</v>
      </c>
      <c r="C77" s="16"/>
      <c r="D77" s="328"/>
      <c r="E77" s="324"/>
      <c r="F77" s="327"/>
    </row>
    <row r="78" customFormat="false" ht="15" hidden="false" customHeight="false" outlineLevel="0" collapsed="false">
      <c r="A78" s="49" t="n">
        <v>9</v>
      </c>
      <c r="B78" s="15" t="s">
        <v>20</v>
      </c>
      <c r="C78" s="16"/>
      <c r="D78" s="328"/>
      <c r="E78" s="324"/>
      <c r="F78" s="327"/>
    </row>
    <row r="79" customFormat="false" ht="15" hidden="false" customHeight="false" outlineLevel="0" collapsed="false">
      <c r="A79" s="49" t="n">
        <v>10</v>
      </c>
      <c r="B79" s="15" t="s">
        <v>21</v>
      </c>
      <c r="C79" s="16"/>
      <c r="D79" s="68"/>
      <c r="E79" s="324"/>
      <c r="F79" s="327"/>
    </row>
    <row r="80" customFormat="false" ht="17.35" hidden="false" customHeight="false" outlineLevel="0" collapsed="false">
      <c r="A80" s="19"/>
      <c r="B80" s="20" t="s">
        <v>22</v>
      </c>
      <c r="C80" s="21" t="n">
        <f aca="false">SUM(C76:C79)</f>
        <v>0</v>
      </c>
      <c r="D80" s="91" t="n">
        <f aca="false">SUM(D76:D79)</f>
        <v>0</v>
      </c>
      <c r="E80" s="92" t="n">
        <f aca="false">SUM(E70:E79)</f>
        <v>0</v>
      </c>
      <c r="F80" s="329"/>
    </row>
    <row r="81" customFormat="false" ht="17.35" hidden="false" customHeight="false" outlineLevel="0" collapsed="false">
      <c r="A81" s="330"/>
      <c r="B81" s="36"/>
      <c r="C81" s="37"/>
      <c r="D81" s="331"/>
      <c r="E81" s="119"/>
    </row>
    <row r="87" customFormat="false" ht="17.35" hidden="false" customHeight="false" outlineLevel="0" collapsed="false">
      <c r="A87" s="40"/>
      <c r="B87" s="2" t="s">
        <v>504</v>
      </c>
    </row>
    <row r="88" customFormat="false" ht="15" hidden="false" customHeight="false" outlineLevel="0" collapsed="false">
      <c r="A88" s="40"/>
    </row>
    <row r="89" customFormat="false" ht="15" hidden="false" customHeight="false" outlineLevel="0" collapsed="false">
      <c r="A89" s="40"/>
    </row>
    <row r="90" customFormat="false" ht="17.25" hidden="false" customHeight="false" outlineLevel="0" collapsed="false">
      <c r="A90" s="40"/>
      <c r="B90" s="4" t="s">
        <v>37</v>
      </c>
      <c r="D90" s="77" t="s">
        <v>514</v>
      </c>
    </row>
    <row r="91" customFormat="false" ht="15" hidden="false" customHeight="false" outlineLevel="0" collapsed="false">
      <c r="A91" s="40"/>
    </row>
    <row r="92" customFormat="false" ht="15" hidden="false" customHeight="false" outlineLevel="0" collapsed="false">
      <c r="A92" s="6" t="s">
        <v>5</v>
      </c>
      <c r="B92" s="7" t="s">
        <v>6</v>
      </c>
      <c r="C92" s="8" t="s">
        <v>7</v>
      </c>
      <c r="D92" s="9" t="s">
        <v>8</v>
      </c>
      <c r="E92" s="89" t="s">
        <v>9</v>
      </c>
      <c r="F92" s="322" t="s">
        <v>1349</v>
      </c>
    </row>
    <row r="93" customFormat="false" ht="15" hidden="false" customHeight="false" outlineLevel="0" collapsed="false">
      <c r="A93" s="18" t="n">
        <v>1</v>
      </c>
      <c r="B93" s="32" t="s">
        <v>45</v>
      </c>
      <c r="C93" s="16"/>
      <c r="D93" s="16"/>
      <c r="E93" s="90"/>
      <c r="F93" s="327"/>
    </row>
    <row r="94" customFormat="false" ht="15" hidden="false" customHeight="false" outlineLevel="0" collapsed="false">
      <c r="A94" s="18" t="n">
        <v>2</v>
      </c>
      <c r="B94" s="32" t="s">
        <v>44</v>
      </c>
      <c r="C94" s="16"/>
      <c r="D94" s="16"/>
      <c r="E94" s="90"/>
      <c r="F94" s="327"/>
    </row>
    <row r="95" customFormat="false" ht="15" hidden="false" customHeight="false" outlineLevel="0" collapsed="false">
      <c r="A95" s="18" t="n">
        <v>3</v>
      </c>
      <c r="B95" s="32" t="s">
        <v>516</v>
      </c>
      <c r="C95" s="16"/>
      <c r="D95" s="16"/>
      <c r="E95" s="90"/>
      <c r="F95" s="327"/>
    </row>
    <row r="96" customFormat="false" ht="15" hidden="false" customHeight="false" outlineLevel="0" collapsed="false">
      <c r="A96" s="18" t="n">
        <v>4</v>
      </c>
      <c r="B96" s="32" t="s">
        <v>48</v>
      </c>
      <c r="C96" s="16"/>
      <c r="D96" s="16"/>
      <c r="E96" s="90"/>
      <c r="F96" s="327"/>
    </row>
    <row r="97" customFormat="false" ht="15" hidden="false" customHeight="false" outlineLevel="0" collapsed="false">
      <c r="A97" s="18" t="n">
        <v>5</v>
      </c>
      <c r="B97" s="32" t="s">
        <v>43</v>
      </c>
      <c r="C97" s="16"/>
      <c r="D97" s="16"/>
      <c r="E97" s="90"/>
      <c r="F97" s="327"/>
    </row>
    <row r="98" customFormat="false" ht="15" hidden="false" customHeight="false" outlineLevel="0" collapsed="false">
      <c r="A98" s="18" t="n">
        <v>6</v>
      </c>
      <c r="B98" s="32" t="s">
        <v>40</v>
      </c>
      <c r="C98" s="16"/>
      <c r="D98" s="16"/>
      <c r="E98" s="90"/>
      <c r="F98" s="327"/>
    </row>
    <row r="99" customFormat="false" ht="15" hidden="false" customHeight="false" outlineLevel="0" collapsed="false">
      <c r="A99" s="18" t="n">
        <v>7</v>
      </c>
      <c r="B99" s="32" t="s">
        <v>517</v>
      </c>
      <c r="C99" s="16"/>
      <c r="D99" s="16"/>
      <c r="E99" s="90"/>
      <c r="F99" s="327"/>
    </row>
    <row r="100" customFormat="false" ht="15" hidden="false" customHeight="false" outlineLevel="0" collapsed="false">
      <c r="A100" s="18" t="n">
        <v>8</v>
      </c>
      <c r="B100" s="32" t="s">
        <v>518</v>
      </c>
      <c r="C100" s="16"/>
      <c r="D100" s="16"/>
      <c r="E100" s="90"/>
      <c r="F100" s="327"/>
    </row>
    <row r="101" customFormat="false" ht="15" hidden="false" customHeight="false" outlineLevel="0" collapsed="false">
      <c r="A101" s="18" t="n">
        <v>9</v>
      </c>
      <c r="B101" s="32" t="s">
        <v>50</v>
      </c>
      <c r="C101" s="16"/>
      <c r="D101" s="16"/>
      <c r="E101" s="90"/>
      <c r="F101" s="327"/>
    </row>
    <row r="102" customFormat="false" ht="15" hidden="false" customHeight="false" outlineLevel="0" collapsed="false">
      <c r="A102" s="18" t="n">
        <v>10</v>
      </c>
      <c r="B102" s="32" t="s">
        <v>519</v>
      </c>
      <c r="C102" s="16"/>
      <c r="D102" s="16"/>
      <c r="E102" s="90"/>
      <c r="F102" s="327"/>
    </row>
    <row r="103" customFormat="false" ht="15" hidden="false" customHeight="false" outlineLevel="0" collapsed="false">
      <c r="A103" s="18" t="n">
        <v>11</v>
      </c>
      <c r="B103" s="32" t="s">
        <v>47</v>
      </c>
      <c r="C103" s="16"/>
      <c r="D103" s="16"/>
      <c r="E103" s="90"/>
      <c r="F103" s="327"/>
    </row>
    <row r="104" customFormat="false" ht="15" hidden="false" customHeight="false" outlineLevel="0" collapsed="false">
      <c r="A104" s="18" t="n">
        <v>12</v>
      </c>
      <c r="B104" s="32" t="s">
        <v>42</v>
      </c>
      <c r="C104" s="16"/>
      <c r="D104" s="16"/>
      <c r="E104" s="90"/>
      <c r="F104" s="327"/>
    </row>
    <row r="105" customFormat="false" ht="15" hidden="false" customHeight="false" outlineLevel="0" collapsed="false">
      <c r="A105" s="18" t="n">
        <v>13</v>
      </c>
      <c r="B105" s="32" t="s">
        <v>49</v>
      </c>
      <c r="C105" s="16"/>
      <c r="D105" s="16"/>
      <c r="E105" s="90"/>
      <c r="F105" s="327"/>
    </row>
    <row r="106" customFormat="false" ht="17.35" hidden="false" customHeight="false" outlineLevel="0" collapsed="false">
      <c r="A106" s="18"/>
      <c r="B106" s="20" t="s">
        <v>22</v>
      </c>
      <c r="C106" s="21" t="n">
        <f aca="false">SUM(C93:C105)</f>
        <v>0</v>
      </c>
      <c r="D106" s="91" t="n">
        <f aca="false">SUM(D93:D105)</f>
        <v>0</v>
      </c>
      <c r="E106" s="92" t="n">
        <f aca="false">C106-D106</f>
        <v>0</v>
      </c>
      <c r="F106" s="329"/>
    </row>
    <row r="107" customFormat="false" ht="15" hidden="false" customHeight="false" outlineLevel="0" collapsed="false">
      <c r="A107" s="56"/>
    </row>
    <row r="109" customFormat="false" ht="17.35" hidden="false" customHeight="false" outlineLevel="0" collapsed="false">
      <c r="B109" s="2" t="s">
        <v>504</v>
      </c>
      <c r="C109" s="2"/>
    </row>
    <row r="111" customFormat="false" ht="15" hidden="false" customHeight="false" outlineLevel="0" collapsed="false">
      <c r="A111" s="40"/>
    </row>
    <row r="112" customFormat="false" ht="17.25" hidden="false" customHeight="false" outlineLevel="0" collapsed="false">
      <c r="A112" s="40"/>
      <c r="B112" s="4" t="s">
        <v>118</v>
      </c>
      <c r="D112" s="77" t="s">
        <v>514</v>
      </c>
    </row>
    <row r="113" customFormat="false" ht="15" hidden="false" customHeight="false" outlineLevel="0" collapsed="false">
      <c r="A113" s="40"/>
    </row>
    <row r="114" customFormat="false" ht="15" hidden="false" customHeight="false" outlineLevel="0" collapsed="false">
      <c r="A114" s="6" t="s">
        <v>5</v>
      </c>
      <c r="B114" s="7" t="s">
        <v>6</v>
      </c>
      <c r="C114" s="8" t="s">
        <v>7</v>
      </c>
      <c r="D114" s="9" t="s">
        <v>8</v>
      </c>
      <c r="E114" s="89" t="s">
        <v>9</v>
      </c>
      <c r="F114" s="322" t="s">
        <v>1349</v>
      </c>
    </row>
    <row r="115" customFormat="false" ht="15" hidden="false" customHeight="false" outlineLevel="0" collapsed="false">
      <c r="A115" s="49" t="n">
        <v>1</v>
      </c>
      <c r="B115" s="50" t="s">
        <v>119</v>
      </c>
      <c r="C115" s="16"/>
      <c r="D115" s="328"/>
      <c r="E115" s="90"/>
      <c r="F115" s="332"/>
    </row>
    <row r="116" customFormat="false" ht="15" hidden="false" customHeight="false" outlineLevel="0" collapsed="false">
      <c r="A116" s="49" t="n">
        <v>2</v>
      </c>
      <c r="B116" s="50" t="s">
        <v>120</v>
      </c>
      <c r="C116" s="16"/>
      <c r="D116" s="328"/>
      <c r="E116" s="90"/>
      <c r="F116" s="332"/>
    </row>
    <row r="117" customFormat="false" ht="15" hidden="false" customHeight="false" outlineLevel="0" collapsed="false">
      <c r="A117" s="18" t="n">
        <v>3</v>
      </c>
      <c r="B117" s="50" t="s">
        <v>121</v>
      </c>
      <c r="C117" s="16"/>
      <c r="D117" s="328"/>
      <c r="E117" s="90"/>
      <c r="F117" s="332"/>
    </row>
    <row r="118" customFormat="false" ht="15" hidden="false" customHeight="false" outlineLevel="0" collapsed="false">
      <c r="A118" s="18" t="n">
        <v>4</v>
      </c>
      <c r="B118" s="50" t="s">
        <v>1351</v>
      </c>
      <c r="C118" s="16"/>
      <c r="D118" s="328"/>
      <c r="E118" s="90"/>
      <c r="F118" s="332"/>
    </row>
    <row r="119" customFormat="false" ht="15" hidden="false" customHeight="false" outlineLevel="0" collapsed="false">
      <c r="A119" s="18" t="n">
        <v>5</v>
      </c>
      <c r="B119" s="50" t="s">
        <v>123</v>
      </c>
      <c r="C119" s="16"/>
      <c r="D119" s="328"/>
      <c r="E119" s="90"/>
      <c r="F119" s="332"/>
    </row>
    <row r="120" customFormat="false" ht="15" hidden="false" customHeight="false" outlineLevel="0" collapsed="false">
      <c r="A120" s="18" t="n">
        <v>6</v>
      </c>
      <c r="B120" s="50" t="s">
        <v>124</v>
      </c>
      <c r="C120" s="16"/>
      <c r="D120" s="328"/>
      <c r="E120" s="90"/>
      <c r="F120" s="332"/>
    </row>
    <row r="121" customFormat="false" ht="15" hidden="false" customHeight="false" outlineLevel="0" collapsed="false">
      <c r="A121" s="18" t="n">
        <v>7</v>
      </c>
      <c r="B121" s="50" t="s">
        <v>126</v>
      </c>
      <c r="C121" s="16"/>
      <c r="D121" s="51"/>
      <c r="E121" s="17"/>
      <c r="F121" s="333"/>
    </row>
    <row r="122" customFormat="false" ht="15" hidden="false" customHeight="false" outlineLevel="0" collapsed="false">
      <c r="A122" s="56" t="n">
        <v>8</v>
      </c>
      <c r="B122" s="50" t="s">
        <v>127</v>
      </c>
      <c r="C122" s="16"/>
      <c r="D122" s="328"/>
      <c r="E122" s="90"/>
      <c r="F122" s="332"/>
    </row>
    <row r="123" customFormat="false" ht="15" hidden="false" customHeight="false" outlineLevel="0" collapsed="false">
      <c r="A123" s="18" t="n">
        <v>9</v>
      </c>
      <c r="B123" s="50" t="s">
        <v>129</v>
      </c>
      <c r="C123" s="16"/>
      <c r="D123" s="328"/>
      <c r="E123" s="90"/>
      <c r="F123" s="332"/>
    </row>
    <row r="124" customFormat="false" ht="15" hidden="false" customHeight="false" outlineLevel="0" collapsed="false">
      <c r="A124" s="18" t="n">
        <v>10</v>
      </c>
      <c r="B124" s="50" t="s">
        <v>1352</v>
      </c>
      <c r="C124" s="16"/>
      <c r="D124" s="328"/>
      <c r="E124" s="90"/>
      <c r="F124" s="332"/>
    </row>
    <row r="125" customFormat="false" ht="15" hidden="false" customHeight="false" outlineLevel="0" collapsed="false">
      <c r="A125" s="18" t="n">
        <v>11</v>
      </c>
      <c r="B125" s="50" t="s">
        <v>132</v>
      </c>
      <c r="C125" s="16"/>
      <c r="D125" s="328"/>
      <c r="E125" s="90"/>
      <c r="F125" s="332"/>
    </row>
    <row r="126" customFormat="false" ht="15" hidden="false" customHeight="false" outlineLevel="0" collapsed="false">
      <c r="A126" s="18" t="n">
        <v>12</v>
      </c>
      <c r="B126" s="50" t="s">
        <v>133</v>
      </c>
      <c r="C126" s="16"/>
      <c r="D126" s="328"/>
      <c r="E126" s="90"/>
      <c r="F126" s="332"/>
    </row>
    <row r="127" customFormat="false" ht="15" hidden="false" customHeight="false" outlineLevel="0" collapsed="false">
      <c r="A127" s="18" t="n">
        <v>13</v>
      </c>
      <c r="B127" s="50" t="s">
        <v>135</v>
      </c>
      <c r="C127" s="16"/>
      <c r="D127" s="328"/>
      <c r="E127" s="90"/>
      <c r="F127" s="332"/>
    </row>
    <row r="128" customFormat="false" ht="15" hidden="false" customHeight="false" outlineLevel="0" collapsed="false">
      <c r="A128" s="18" t="n">
        <v>14</v>
      </c>
      <c r="B128" s="50" t="s">
        <v>136</v>
      </c>
      <c r="C128" s="16"/>
      <c r="D128" s="328"/>
      <c r="E128" s="90"/>
      <c r="F128" s="332"/>
    </row>
    <row r="129" customFormat="false" ht="15" hidden="false" customHeight="false" outlineLevel="0" collapsed="false">
      <c r="A129" s="18" t="n">
        <v>15</v>
      </c>
      <c r="B129" s="50" t="s">
        <v>137</v>
      </c>
      <c r="C129" s="16"/>
      <c r="D129" s="328"/>
      <c r="E129" s="90"/>
      <c r="F129" s="332"/>
    </row>
    <row r="130" customFormat="false" ht="15" hidden="false" customHeight="false" outlineLevel="0" collapsed="false">
      <c r="A130" s="18" t="n">
        <v>16</v>
      </c>
      <c r="B130" s="50" t="s">
        <v>1353</v>
      </c>
      <c r="C130" s="16"/>
      <c r="D130" s="328"/>
      <c r="E130" s="90"/>
      <c r="F130" s="332"/>
    </row>
    <row r="131" customFormat="false" ht="15" hidden="false" customHeight="false" outlineLevel="0" collapsed="false">
      <c r="A131" s="18" t="n">
        <v>17</v>
      </c>
      <c r="B131" s="50" t="s">
        <v>138</v>
      </c>
      <c r="C131" s="16"/>
      <c r="D131" s="328"/>
      <c r="E131" s="90"/>
      <c r="F131" s="333"/>
    </row>
    <row r="132" customFormat="false" ht="15" hidden="false" customHeight="false" outlineLevel="0" collapsed="false">
      <c r="A132" s="18" t="n">
        <v>18</v>
      </c>
      <c r="B132" s="50" t="s">
        <v>1354</v>
      </c>
      <c r="C132" s="16"/>
      <c r="D132" s="328"/>
      <c r="E132" s="90"/>
      <c r="F132" s="332"/>
    </row>
    <row r="133" customFormat="false" ht="15" hidden="false" customHeight="false" outlineLevel="0" collapsed="false">
      <c r="A133" s="18" t="n">
        <v>19</v>
      </c>
      <c r="B133" s="50" t="s">
        <v>139</v>
      </c>
      <c r="C133" s="16"/>
      <c r="D133" s="328"/>
      <c r="E133" s="90"/>
      <c r="F133" s="332"/>
    </row>
    <row r="134" customFormat="false" ht="15" hidden="false" customHeight="false" outlineLevel="0" collapsed="false">
      <c r="A134" s="18" t="n">
        <v>20</v>
      </c>
      <c r="B134" s="50" t="s">
        <v>134</v>
      </c>
      <c r="C134" s="16"/>
      <c r="D134" s="328"/>
      <c r="E134" s="90"/>
      <c r="F134" s="332"/>
    </row>
    <row r="135" customFormat="false" ht="15" hidden="false" customHeight="false" outlineLevel="0" collapsed="false">
      <c r="A135" s="18" t="n">
        <v>21</v>
      </c>
      <c r="B135" s="50" t="s">
        <v>217</v>
      </c>
      <c r="C135" s="16"/>
      <c r="D135" s="328"/>
      <c r="E135" s="90"/>
      <c r="F135" s="332"/>
    </row>
    <row r="136" customFormat="false" ht="17.35" hidden="false" customHeight="false" outlineLevel="0" collapsed="false">
      <c r="A136" s="18"/>
      <c r="B136" s="20" t="s">
        <v>22</v>
      </c>
      <c r="C136" s="21" t="n">
        <f aca="false">SUM(C115:C135)</f>
        <v>0</v>
      </c>
      <c r="D136" s="91" t="n">
        <f aca="false">SUM(D115:D135)</f>
        <v>0</v>
      </c>
      <c r="E136" s="92" t="n">
        <f aca="false">SUM(E115:E135)</f>
        <v>0</v>
      </c>
      <c r="F136" s="334"/>
    </row>
    <row r="137" customFormat="false" ht="17.35" hidden="false" customHeight="false" outlineLevel="0" collapsed="false">
      <c r="B137" s="36"/>
      <c r="C137" s="37"/>
      <c r="D137" s="331"/>
      <c r="E137" s="119"/>
    </row>
    <row r="138" customFormat="false" ht="17.35" hidden="false" customHeight="false" outlineLevel="0" collapsed="false">
      <c r="B138" s="36"/>
      <c r="C138" s="37"/>
      <c r="D138" s="331"/>
      <c r="E138" s="119"/>
    </row>
    <row r="139" customFormat="false" ht="17.35" hidden="false" customHeight="false" outlineLevel="0" collapsed="false">
      <c r="A139" s="40"/>
      <c r="B139" s="2" t="s">
        <v>504</v>
      </c>
    </row>
    <row r="140" customFormat="false" ht="17.35" hidden="false" customHeight="false" outlineLevel="0" collapsed="false">
      <c r="A140" s="62"/>
    </row>
    <row r="141" customFormat="false" ht="15" hidden="false" customHeight="false" outlineLevel="0" collapsed="false">
      <c r="A141" s="40"/>
    </row>
    <row r="142" customFormat="false" ht="17.25" hidden="false" customHeight="false" outlineLevel="0" collapsed="false">
      <c r="A142" s="40"/>
      <c r="B142" s="4" t="s">
        <v>476</v>
      </c>
    </row>
    <row r="143" customFormat="false" ht="15" hidden="false" customHeight="false" outlineLevel="0" collapsed="false">
      <c r="A143" s="40"/>
      <c r="D143" s="77" t="s">
        <v>514</v>
      </c>
    </row>
    <row r="144" customFormat="false" ht="15" hidden="false" customHeight="false" outlineLevel="0" collapsed="false">
      <c r="A144" s="40"/>
    </row>
    <row r="145" customFormat="false" ht="15" hidden="false" customHeight="false" outlineLevel="0" collapsed="false">
      <c r="A145" s="6" t="s">
        <v>5</v>
      </c>
      <c r="B145" s="7" t="s">
        <v>6</v>
      </c>
      <c r="C145" s="8" t="s">
        <v>7</v>
      </c>
      <c r="D145" s="9" t="s">
        <v>8</v>
      </c>
      <c r="E145" s="89" t="s">
        <v>9</v>
      </c>
      <c r="F145" s="322" t="s">
        <v>1349</v>
      </c>
    </row>
    <row r="146" customFormat="false" ht="15" hidden="false" customHeight="false" outlineLevel="0" collapsed="false">
      <c r="A146" s="49" t="n">
        <v>1</v>
      </c>
      <c r="B146" s="15" t="s">
        <v>477</v>
      </c>
      <c r="C146" s="16"/>
      <c r="D146" s="326"/>
      <c r="E146" s="324"/>
      <c r="F146" s="325"/>
    </row>
    <row r="147" customFormat="false" ht="15" hidden="false" customHeight="false" outlineLevel="0" collapsed="false">
      <c r="A147" s="49" t="n">
        <v>2</v>
      </c>
      <c r="B147" s="15" t="s">
        <v>10</v>
      </c>
      <c r="C147" s="16"/>
      <c r="D147" s="326"/>
      <c r="E147" s="324"/>
      <c r="F147" s="327"/>
    </row>
    <row r="148" customFormat="false" ht="15" hidden="false" customHeight="false" outlineLevel="0" collapsed="false">
      <c r="A148" s="49" t="n">
        <v>3</v>
      </c>
      <c r="B148" s="15" t="s">
        <v>1355</v>
      </c>
      <c r="C148" s="16"/>
      <c r="D148" s="326"/>
      <c r="E148" s="324"/>
      <c r="F148" s="327"/>
    </row>
    <row r="149" customFormat="false" ht="15" hidden="false" customHeight="false" outlineLevel="0" collapsed="false">
      <c r="A149" s="49" t="n">
        <v>4</v>
      </c>
      <c r="B149" s="15" t="s">
        <v>478</v>
      </c>
      <c r="C149" s="16"/>
      <c r="D149" s="326"/>
      <c r="E149" s="324"/>
      <c r="F149" s="327"/>
    </row>
    <row r="150" customFormat="false" ht="15" hidden="false" customHeight="false" outlineLevel="0" collapsed="false">
      <c r="A150" s="49" t="n">
        <v>5</v>
      </c>
      <c r="B150" s="15" t="s">
        <v>1356</v>
      </c>
      <c r="C150" s="16"/>
      <c r="D150" s="326"/>
      <c r="E150" s="324"/>
      <c r="F150" s="327"/>
    </row>
    <row r="151" customFormat="false" ht="17.35" hidden="false" customHeight="false" outlineLevel="0" collapsed="false">
      <c r="A151" s="19"/>
      <c r="B151" s="20" t="s">
        <v>22</v>
      </c>
      <c r="C151" s="21" t="n">
        <f aca="false">SUM(C146:C150)</f>
        <v>0</v>
      </c>
      <c r="D151" s="91" t="n">
        <f aca="false">SUM(D146:D150)</f>
        <v>0</v>
      </c>
      <c r="E151" s="92" t="n">
        <f aca="false">SUM(E146:E150)</f>
        <v>0</v>
      </c>
      <c r="F151" s="329"/>
    </row>
    <row r="152" customFormat="false" ht="17.35" hidden="false" customHeight="false" outlineLevel="0" collapsed="false">
      <c r="A152" s="330"/>
      <c r="B152" s="36"/>
      <c r="C152" s="37"/>
      <c r="D152" s="331"/>
      <c r="E152" s="119"/>
    </row>
    <row r="153" customFormat="false" ht="15" hidden="false" customHeight="false" outlineLevel="0" collapsed="false">
      <c r="A153" s="330"/>
    </row>
    <row r="154" customFormat="false" ht="17.35" hidden="false" customHeight="false" outlineLevel="0" collapsed="false">
      <c r="A154" s="40"/>
      <c r="B154" s="2" t="s">
        <v>504</v>
      </c>
    </row>
    <row r="155" customFormat="false" ht="17.35" hidden="false" customHeight="false" outlineLevel="0" collapsed="false">
      <c r="A155" s="62"/>
    </row>
    <row r="156" customFormat="false" ht="15" hidden="false" customHeight="false" outlineLevel="0" collapsed="false">
      <c r="A156" s="40"/>
    </row>
    <row r="157" customFormat="false" ht="17.25" hidden="false" customHeight="false" outlineLevel="0" collapsed="false">
      <c r="A157" s="40"/>
      <c r="B157" s="4" t="s">
        <v>198</v>
      </c>
    </row>
    <row r="158" customFormat="false" ht="15" hidden="false" customHeight="false" outlineLevel="0" collapsed="false">
      <c r="A158" s="40"/>
      <c r="D158" s="77" t="s">
        <v>514</v>
      </c>
    </row>
    <row r="159" customFormat="false" ht="15" hidden="false" customHeight="false" outlineLevel="0" collapsed="false">
      <c r="A159" s="40"/>
    </row>
    <row r="160" customFormat="false" ht="15" hidden="false" customHeight="false" outlineLevel="0" collapsed="false">
      <c r="A160" s="6" t="s">
        <v>5</v>
      </c>
      <c r="B160" s="7" t="s">
        <v>6</v>
      </c>
      <c r="C160" s="8" t="s">
        <v>7</v>
      </c>
      <c r="D160" s="9" t="s">
        <v>8</v>
      </c>
      <c r="E160" s="89" t="s">
        <v>9</v>
      </c>
      <c r="F160" s="322" t="s">
        <v>1349</v>
      </c>
    </row>
    <row r="161" customFormat="false" ht="15" hidden="false" customHeight="false" outlineLevel="0" collapsed="false">
      <c r="A161" s="1" t="n">
        <v>1</v>
      </c>
      <c r="B161" s="50" t="s">
        <v>200</v>
      </c>
      <c r="C161" s="16"/>
      <c r="D161" s="328"/>
      <c r="E161" s="90"/>
      <c r="F161" s="325"/>
    </row>
    <row r="162" customFormat="false" ht="15" hidden="false" customHeight="false" outlineLevel="0" collapsed="false">
      <c r="A162" s="1" t="n">
        <v>2</v>
      </c>
      <c r="B162" s="32" t="s">
        <v>203</v>
      </c>
      <c r="C162" s="16"/>
      <c r="D162" s="16"/>
      <c r="E162" s="90"/>
      <c r="F162" s="327"/>
    </row>
    <row r="163" customFormat="false" ht="15" hidden="false" customHeight="false" outlineLevel="0" collapsed="false">
      <c r="A163" s="18" t="n">
        <v>3</v>
      </c>
      <c r="B163" s="68" t="s">
        <v>204</v>
      </c>
      <c r="C163" s="16"/>
      <c r="D163" s="16"/>
      <c r="E163" s="90"/>
      <c r="F163" s="327"/>
    </row>
    <row r="164" customFormat="false" ht="15" hidden="false" customHeight="false" outlineLevel="0" collapsed="false">
      <c r="A164" s="49" t="n">
        <v>4</v>
      </c>
      <c r="B164" s="32" t="s">
        <v>205</v>
      </c>
      <c r="C164" s="16"/>
      <c r="D164" s="16"/>
      <c r="E164" s="90"/>
      <c r="F164" s="327"/>
    </row>
    <row r="165" customFormat="false" ht="15" hidden="false" customHeight="false" outlineLevel="0" collapsed="false">
      <c r="A165" s="18" t="n">
        <v>5</v>
      </c>
      <c r="B165" s="32" t="s">
        <v>206</v>
      </c>
      <c r="C165" s="16"/>
      <c r="D165" s="16"/>
      <c r="E165" s="90"/>
      <c r="F165" s="327"/>
    </row>
    <row r="166" customFormat="false" ht="15" hidden="false" customHeight="false" outlineLevel="0" collapsed="false">
      <c r="A166" s="49" t="n">
        <v>6</v>
      </c>
      <c r="B166" s="68" t="s">
        <v>207</v>
      </c>
      <c r="C166" s="16"/>
      <c r="D166" s="16"/>
      <c r="E166" s="90"/>
      <c r="F166" s="327"/>
    </row>
    <row r="167" customFormat="false" ht="15" hidden="false" customHeight="false" outlineLevel="0" collapsed="false">
      <c r="A167" s="49" t="n">
        <v>7</v>
      </c>
      <c r="B167" s="32" t="s">
        <v>208</v>
      </c>
      <c r="C167" s="16"/>
      <c r="D167" s="16"/>
      <c r="E167" s="90"/>
      <c r="F167" s="327"/>
    </row>
    <row r="168" customFormat="false" ht="15" hidden="false" customHeight="false" outlineLevel="0" collapsed="false">
      <c r="A168" s="18" t="n">
        <v>8</v>
      </c>
      <c r="B168" s="32" t="s">
        <v>1357</v>
      </c>
      <c r="C168" s="16"/>
      <c r="D168" s="16"/>
      <c r="E168" s="90"/>
      <c r="F168" s="327"/>
    </row>
    <row r="169" customFormat="false" ht="15" hidden="false" customHeight="false" outlineLevel="0" collapsed="false">
      <c r="A169" s="49" t="n">
        <v>9</v>
      </c>
      <c r="B169" s="32" t="s">
        <v>1358</v>
      </c>
      <c r="C169" s="16"/>
      <c r="D169" s="16"/>
      <c r="E169" s="90"/>
      <c r="F169" s="327"/>
    </row>
    <row r="170" customFormat="false" ht="15" hidden="false" customHeight="false" outlineLevel="0" collapsed="false">
      <c r="A170" s="49" t="n">
        <v>10</v>
      </c>
      <c r="B170" s="32" t="s">
        <v>215</v>
      </c>
      <c r="C170" s="16"/>
      <c r="D170" s="16"/>
      <c r="E170" s="90"/>
      <c r="F170" s="327"/>
    </row>
    <row r="171" customFormat="false" ht="15" hidden="false" customHeight="false" outlineLevel="0" collapsed="false">
      <c r="A171" s="49" t="n">
        <v>11</v>
      </c>
      <c r="B171" s="32" t="s">
        <v>213</v>
      </c>
      <c r="C171" s="16"/>
      <c r="D171" s="16"/>
      <c r="E171" s="90"/>
      <c r="F171" s="327"/>
    </row>
    <row r="172" customFormat="false" ht="15" hidden="false" customHeight="false" outlineLevel="0" collapsed="false">
      <c r="A172" s="49" t="n">
        <v>12</v>
      </c>
      <c r="B172" s="32" t="s">
        <v>210</v>
      </c>
      <c r="C172" s="16"/>
      <c r="D172" s="16"/>
      <c r="E172" s="90"/>
      <c r="F172" s="327"/>
    </row>
    <row r="173" customFormat="false" ht="15" hidden="false" customHeight="false" outlineLevel="0" collapsed="false">
      <c r="A173" s="18" t="n">
        <v>13</v>
      </c>
      <c r="B173" s="32" t="s">
        <v>216</v>
      </c>
      <c r="C173" s="16"/>
      <c r="D173" s="16"/>
      <c r="E173" s="90"/>
      <c r="F173" s="327"/>
    </row>
    <row r="174" customFormat="false" ht="17.35" hidden="false" customHeight="false" outlineLevel="0" collapsed="false">
      <c r="A174" s="19"/>
      <c r="B174" s="20" t="s">
        <v>22</v>
      </c>
      <c r="C174" s="21" t="n">
        <f aca="false">SUM(C161:C173)</f>
        <v>0</v>
      </c>
      <c r="D174" s="91" t="n">
        <f aca="false">SUM(D161:D173)</f>
        <v>0</v>
      </c>
      <c r="E174" s="92" t="n">
        <f aca="false">SUM(E161:E173)</f>
        <v>0</v>
      </c>
      <c r="F174" s="329"/>
    </row>
    <row r="176" customFormat="false" ht="17.35" hidden="false" customHeight="false" outlineLevel="0" collapsed="false">
      <c r="B176" s="2" t="s">
        <v>504</v>
      </c>
    </row>
    <row r="177" customFormat="false" ht="15" hidden="false" customHeight="false" outlineLevel="0" collapsed="false">
      <c r="A177" s="40"/>
    </row>
    <row r="178" customFormat="false" ht="15" hidden="false" customHeight="false" outlineLevel="0" collapsed="false">
      <c r="A178" s="40"/>
    </row>
    <row r="179" customFormat="false" ht="17.25" hidden="false" customHeight="false" outlineLevel="0" collapsed="false">
      <c r="A179" s="40"/>
      <c r="B179" s="4" t="s">
        <v>261</v>
      </c>
    </row>
    <row r="180" customFormat="false" ht="15" hidden="false" customHeight="false" outlineLevel="0" collapsed="false">
      <c r="A180" s="40"/>
      <c r="E180" s="77" t="s">
        <v>514</v>
      </c>
    </row>
    <row r="181" customFormat="false" ht="15" hidden="false" customHeight="false" outlineLevel="0" collapsed="false">
      <c r="A181" s="40"/>
    </row>
    <row r="182" customFormat="false" ht="15" hidden="false" customHeight="false" outlineLevel="0" collapsed="false">
      <c r="A182" s="6" t="s">
        <v>5</v>
      </c>
      <c r="B182" s="7" t="s">
        <v>6</v>
      </c>
      <c r="C182" s="8" t="s">
        <v>7</v>
      </c>
      <c r="D182" s="9" t="s">
        <v>8</v>
      </c>
      <c r="E182" s="89" t="s">
        <v>9</v>
      </c>
      <c r="F182" s="322" t="s">
        <v>1349</v>
      </c>
    </row>
    <row r="183" customFormat="false" ht="15" hidden="false" customHeight="false" outlineLevel="0" collapsed="false">
      <c r="A183" s="18" t="n">
        <v>1</v>
      </c>
      <c r="B183" s="44" t="s">
        <v>38</v>
      </c>
      <c r="C183" s="16"/>
      <c r="D183" s="16"/>
      <c r="E183" s="90"/>
      <c r="F183" s="325"/>
    </row>
    <row r="184" customFormat="false" ht="15" hidden="false" customHeight="false" outlineLevel="0" collapsed="false">
      <c r="A184" s="18" t="n">
        <v>2</v>
      </c>
      <c r="B184" s="32" t="s">
        <v>262</v>
      </c>
      <c r="C184" s="16"/>
      <c r="D184" s="16"/>
      <c r="E184" s="90"/>
      <c r="F184" s="327"/>
    </row>
    <row r="185" customFormat="false" ht="15" hidden="false" customHeight="false" outlineLevel="0" collapsed="false">
      <c r="A185" s="56" t="n">
        <v>3</v>
      </c>
      <c r="B185" s="32" t="s">
        <v>265</v>
      </c>
      <c r="C185" s="16"/>
      <c r="D185" s="16"/>
      <c r="E185" s="90"/>
      <c r="F185" s="327"/>
    </row>
    <row r="186" customFormat="false" ht="15" hidden="false" customHeight="false" outlineLevel="0" collapsed="false">
      <c r="A186" s="18" t="n">
        <v>4</v>
      </c>
      <c r="B186" s="32" t="s">
        <v>267</v>
      </c>
      <c r="C186" s="16"/>
      <c r="D186" s="16"/>
      <c r="E186" s="90"/>
      <c r="F186" s="327"/>
    </row>
    <row r="187" customFormat="false" ht="15" hidden="false" customHeight="false" outlineLevel="0" collapsed="false">
      <c r="A187" s="18" t="n">
        <v>5</v>
      </c>
      <c r="B187" s="32" t="s">
        <v>269</v>
      </c>
      <c r="C187" s="16"/>
      <c r="D187" s="16"/>
      <c r="E187" s="90"/>
      <c r="F187" s="327"/>
    </row>
    <row r="188" customFormat="false" ht="15" hidden="false" customHeight="false" outlineLevel="0" collapsed="false">
      <c r="A188" s="18" t="n">
        <v>6</v>
      </c>
      <c r="B188" s="32" t="s">
        <v>271</v>
      </c>
      <c r="C188" s="16"/>
      <c r="D188" s="16"/>
      <c r="E188" s="90"/>
      <c r="F188" s="327"/>
    </row>
    <row r="189" customFormat="false" ht="15" hidden="false" customHeight="false" outlineLevel="0" collapsed="false">
      <c r="A189" s="18" t="n">
        <v>7</v>
      </c>
      <c r="B189" s="32" t="s">
        <v>264</v>
      </c>
      <c r="C189" s="16"/>
      <c r="D189" s="16"/>
      <c r="E189" s="90"/>
      <c r="F189" s="327"/>
    </row>
    <row r="190" customFormat="false" ht="15" hidden="false" customHeight="false" outlineLevel="0" collapsed="false">
      <c r="A190" s="18" t="n">
        <v>8</v>
      </c>
      <c r="B190" s="32" t="s">
        <v>272</v>
      </c>
      <c r="C190" s="16"/>
      <c r="D190" s="16"/>
      <c r="E190" s="90"/>
      <c r="F190" s="327"/>
    </row>
    <row r="191" customFormat="false" ht="17.35" hidden="false" customHeight="false" outlineLevel="0" collapsed="false">
      <c r="A191" s="18"/>
      <c r="B191" s="20" t="s">
        <v>22</v>
      </c>
      <c r="C191" s="21" t="n">
        <f aca="false">SUM(C183:C190)</f>
        <v>0</v>
      </c>
      <c r="D191" s="91" t="n">
        <f aca="false">SUM(D183:D190)</f>
        <v>0</v>
      </c>
      <c r="E191" s="92" t="n">
        <f aca="false">SUM(E183:E190)</f>
        <v>0</v>
      </c>
      <c r="F191" s="329"/>
    </row>
    <row r="193" customFormat="false" ht="17.35" hidden="false" customHeight="false" outlineLevel="0" collapsed="false">
      <c r="A193" s="40"/>
      <c r="B193" s="2" t="s">
        <v>504</v>
      </c>
    </row>
    <row r="194" customFormat="false" ht="17.35" hidden="false" customHeight="false" outlineLevel="0" collapsed="false">
      <c r="A194" s="62"/>
    </row>
    <row r="195" customFormat="false" ht="15" hidden="false" customHeight="false" outlineLevel="0" collapsed="false">
      <c r="A195" s="40"/>
    </row>
    <row r="196" customFormat="false" ht="17.25" hidden="false" customHeight="false" outlineLevel="0" collapsed="false">
      <c r="A196" s="40"/>
      <c r="B196" s="4" t="s">
        <v>494</v>
      </c>
    </row>
    <row r="197" customFormat="false" ht="15" hidden="false" customHeight="false" outlineLevel="0" collapsed="false">
      <c r="A197" s="40"/>
      <c r="D197" s="77" t="s">
        <v>514</v>
      </c>
    </row>
    <row r="198" customFormat="false" ht="15" hidden="false" customHeight="false" outlineLevel="0" collapsed="false">
      <c r="A198" s="40"/>
    </row>
    <row r="199" customFormat="false" ht="15" hidden="false" customHeight="false" outlineLevel="0" collapsed="false">
      <c r="A199" s="6" t="s">
        <v>5</v>
      </c>
      <c r="B199" s="7" t="s">
        <v>6</v>
      </c>
      <c r="C199" s="8" t="s">
        <v>7</v>
      </c>
      <c r="D199" s="9" t="s">
        <v>8</v>
      </c>
      <c r="E199" s="89" t="s">
        <v>9</v>
      </c>
      <c r="F199" s="322" t="s">
        <v>1349</v>
      </c>
    </row>
    <row r="200" customFormat="false" ht="15" hidden="false" customHeight="false" outlineLevel="0" collapsed="false">
      <c r="A200" s="18" t="n">
        <v>1</v>
      </c>
      <c r="B200" s="32" t="s">
        <v>1359</v>
      </c>
      <c r="C200" s="16"/>
      <c r="D200" s="16"/>
      <c r="E200" s="90"/>
      <c r="F200" s="335"/>
    </row>
    <row r="201" customFormat="false" ht="15" hidden="false" customHeight="false" outlineLevel="0" collapsed="false">
      <c r="A201" s="18" t="n">
        <v>2</v>
      </c>
      <c r="B201" s="50" t="s">
        <v>503</v>
      </c>
      <c r="C201" s="13"/>
      <c r="D201" s="51"/>
      <c r="E201" s="17"/>
      <c r="F201" s="333"/>
    </row>
    <row r="202" customFormat="false" ht="17.35" hidden="false" customHeight="false" outlineLevel="0" collapsed="false">
      <c r="A202" s="19"/>
      <c r="B202" s="20" t="s">
        <v>22</v>
      </c>
      <c r="C202" s="21" t="n">
        <f aca="false">SUM(C200:C201)</f>
        <v>0</v>
      </c>
      <c r="D202" s="91" t="n">
        <f aca="false">SUM(D200:D201)</f>
        <v>0</v>
      </c>
      <c r="E202" s="92" t="n">
        <f aca="false">SUM(E200:E201)</f>
        <v>0</v>
      </c>
      <c r="F202" s="336"/>
    </row>
    <row r="203" customFormat="false" ht="17.35" hidden="false" customHeight="false" outlineLevel="0" collapsed="false">
      <c r="B203" s="36"/>
      <c r="C203" s="37"/>
      <c r="D203" s="331"/>
      <c r="E203" s="119"/>
    </row>
    <row r="204" customFormat="false" ht="17.35" hidden="false" customHeight="false" outlineLevel="0" collapsed="false">
      <c r="A204" s="40"/>
      <c r="B204" s="2" t="s">
        <v>504</v>
      </c>
    </row>
    <row r="205" customFormat="false" ht="17.35" hidden="false" customHeight="false" outlineLevel="0" collapsed="false">
      <c r="A205" s="62"/>
    </row>
    <row r="206" customFormat="false" ht="15" hidden="false" customHeight="false" outlineLevel="0" collapsed="false">
      <c r="A206" s="40"/>
    </row>
    <row r="207" customFormat="false" ht="17.25" hidden="false" customHeight="false" outlineLevel="0" collapsed="false">
      <c r="A207" s="40"/>
      <c r="B207" s="4" t="s">
        <v>357</v>
      </c>
    </row>
    <row r="208" customFormat="false" ht="15" hidden="false" customHeight="false" outlineLevel="0" collapsed="false">
      <c r="A208" s="40"/>
      <c r="D208" s="77" t="s">
        <v>514</v>
      </c>
    </row>
    <row r="209" customFormat="false" ht="15" hidden="false" customHeight="false" outlineLevel="0" collapsed="false">
      <c r="A209" s="40"/>
    </row>
    <row r="210" customFormat="false" ht="15" hidden="false" customHeight="false" outlineLevel="0" collapsed="false">
      <c r="A210" s="6" t="s">
        <v>5</v>
      </c>
      <c r="B210" s="7" t="s">
        <v>6</v>
      </c>
      <c r="C210" s="8" t="s">
        <v>7</v>
      </c>
      <c r="D210" s="9" t="s">
        <v>8</v>
      </c>
      <c r="E210" s="89" t="s">
        <v>9</v>
      </c>
      <c r="F210" s="322" t="s">
        <v>1349</v>
      </c>
    </row>
    <row r="211" customFormat="false" ht="15" hidden="false" customHeight="false" outlineLevel="0" collapsed="false">
      <c r="A211" s="18" t="n">
        <v>1</v>
      </c>
      <c r="B211" s="32" t="s">
        <v>322</v>
      </c>
      <c r="C211" s="16"/>
      <c r="D211" s="16"/>
      <c r="E211" s="90"/>
      <c r="F211" s="325"/>
    </row>
    <row r="212" customFormat="false" ht="15" hidden="false" customHeight="false" outlineLevel="0" collapsed="false">
      <c r="A212" s="49" t="n">
        <v>2</v>
      </c>
      <c r="B212" s="32" t="s">
        <v>323</v>
      </c>
      <c r="C212" s="16"/>
      <c r="D212" s="16"/>
      <c r="E212" s="90"/>
      <c r="F212" s="327"/>
    </row>
    <row r="213" customFormat="false" ht="15" hidden="false" customHeight="false" outlineLevel="0" collapsed="false">
      <c r="A213" s="18" t="n">
        <v>3</v>
      </c>
      <c r="B213" s="54" t="s">
        <v>325</v>
      </c>
      <c r="C213" s="16"/>
      <c r="D213" s="16"/>
      <c r="E213" s="90"/>
      <c r="F213" s="327"/>
    </row>
    <row r="214" customFormat="false" ht="15" hidden="false" customHeight="false" outlineLevel="0" collapsed="false">
      <c r="A214" s="49" t="n">
        <v>4</v>
      </c>
      <c r="B214" s="32" t="s">
        <v>326</v>
      </c>
      <c r="C214" s="16"/>
      <c r="D214" s="16"/>
      <c r="E214" s="90"/>
      <c r="F214" s="327"/>
    </row>
    <row r="215" customFormat="false" ht="15" hidden="false" customHeight="false" outlineLevel="0" collapsed="false">
      <c r="A215" s="49" t="n">
        <v>5</v>
      </c>
      <c r="B215" s="32" t="s">
        <v>327</v>
      </c>
      <c r="C215" s="16"/>
      <c r="D215" s="16"/>
      <c r="E215" s="90"/>
      <c r="F215" s="327"/>
    </row>
    <row r="216" customFormat="false" ht="15" hidden="false" customHeight="false" outlineLevel="0" collapsed="false">
      <c r="A216" s="18" t="n">
        <v>6</v>
      </c>
      <c r="B216" s="32" t="s">
        <v>328</v>
      </c>
      <c r="C216" s="16"/>
      <c r="D216" s="16"/>
      <c r="E216" s="90"/>
      <c r="F216" s="327"/>
    </row>
    <row r="217" customFormat="false" ht="15" hidden="false" customHeight="false" outlineLevel="0" collapsed="false">
      <c r="A217" s="49" t="n">
        <v>7</v>
      </c>
      <c r="B217" s="32" t="s">
        <v>329</v>
      </c>
      <c r="C217" s="16"/>
      <c r="D217" s="16"/>
      <c r="E217" s="90"/>
      <c r="F217" s="327"/>
    </row>
    <row r="218" customFormat="false" ht="15" hidden="false" customHeight="false" outlineLevel="0" collapsed="false">
      <c r="A218" s="18" t="n">
        <v>8</v>
      </c>
      <c r="B218" s="32" t="s">
        <v>330</v>
      </c>
      <c r="C218" s="16"/>
      <c r="D218" s="16"/>
      <c r="E218" s="90"/>
      <c r="F218" s="327"/>
    </row>
    <row r="219" customFormat="false" ht="15" hidden="false" customHeight="false" outlineLevel="0" collapsed="false">
      <c r="A219" s="18" t="n">
        <v>9</v>
      </c>
      <c r="B219" s="32" t="s">
        <v>332</v>
      </c>
      <c r="C219" s="16"/>
      <c r="D219" s="16"/>
      <c r="E219" s="90"/>
      <c r="F219" s="327"/>
    </row>
    <row r="220" customFormat="false" ht="15" hidden="false" customHeight="false" outlineLevel="0" collapsed="false">
      <c r="A220" s="72" t="n">
        <v>10</v>
      </c>
      <c r="B220" s="32" t="s">
        <v>333</v>
      </c>
      <c r="C220" s="16"/>
      <c r="D220" s="16"/>
      <c r="E220" s="90"/>
      <c r="F220" s="327"/>
    </row>
    <row r="221" customFormat="false" ht="15" hidden="false" customHeight="false" outlineLevel="0" collapsed="false">
      <c r="A221" s="49" t="n">
        <v>11</v>
      </c>
      <c r="B221" s="32" t="s">
        <v>334</v>
      </c>
      <c r="C221" s="16"/>
      <c r="D221" s="16"/>
      <c r="E221" s="90"/>
      <c r="F221" s="327"/>
    </row>
    <row r="222" customFormat="false" ht="15" hidden="false" customHeight="false" outlineLevel="0" collapsed="false">
      <c r="A222" s="18" t="n">
        <v>12</v>
      </c>
      <c r="B222" s="32" t="s">
        <v>335</v>
      </c>
      <c r="C222" s="16"/>
      <c r="D222" s="16"/>
      <c r="E222" s="90"/>
      <c r="F222" s="327"/>
    </row>
    <row r="223" customFormat="false" ht="15" hidden="false" customHeight="false" outlineLevel="0" collapsed="false">
      <c r="A223" s="72" t="n">
        <v>13</v>
      </c>
      <c r="B223" s="32" t="s">
        <v>336</v>
      </c>
      <c r="C223" s="16"/>
      <c r="D223" s="16"/>
      <c r="E223" s="90"/>
      <c r="F223" s="327"/>
    </row>
    <row r="224" customFormat="false" ht="15" hidden="false" customHeight="false" outlineLevel="0" collapsed="false">
      <c r="A224" s="72" t="n">
        <v>14</v>
      </c>
      <c r="B224" s="32" t="s">
        <v>337</v>
      </c>
      <c r="C224" s="16"/>
      <c r="D224" s="16"/>
      <c r="E224" s="90"/>
      <c r="F224" s="327"/>
    </row>
    <row r="225" customFormat="false" ht="15" hidden="false" customHeight="false" outlineLevel="0" collapsed="false">
      <c r="A225" s="72" t="n">
        <v>15</v>
      </c>
      <c r="B225" s="32" t="s">
        <v>338</v>
      </c>
      <c r="C225" s="16"/>
      <c r="D225" s="16"/>
      <c r="E225" s="90"/>
      <c r="F225" s="327"/>
    </row>
    <row r="226" customFormat="false" ht="15" hidden="false" customHeight="false" outlineLevel="0" collapsed="false">
      <c r="A226" s="72" t="n">
        <v>16</v>
      </c>
      <c r="B226" s="32" t="s">
        <v>1360</v>
      </c>
      <c r="C226" s="16"/>
      <c r="D226" s="16"/>
      <c r="E226" s="90"/>
      <c r="F226" s="327"/>
    </row>
    <row r="227" customFormat="false" ht="15" hidden="false" customHeight="false" outlineLevel="0" collapsed="false">
      <c r="A227" s="72" t="n">
        <v>17</v>
      </c>
      <c r="B227" s="32" t="s">
        <v>339</v>
      </c>
      <c r="C227" s="16"/>
      <c r="D227" s="16"/>
      <c r="E227" s="90"/>
      <c r="F227" s="327"/>
    </row>
    <row r="228" customFormat="false" ht="15" hidden="false" customHeight="false" outlineLevel="0" collapsed="false">
      <c r="A228" s="72" t="n">
        <v>18</v>
      </c>
      <c r="B228" s="32" t="s">
        <v>1361</v>
      </c>
      <c r="C228" s="16"/>
      <c r="D228" s="16"/>
      <c r="E228" s="90"/>
      <c r="F228" s="327"/>
    </row>
    <row r="229" customFormat="false" ht="15" hidden="false" customHeight="false" outlineLevel="0" collapsed="false">
      <c r="A229" s="72" t="n">
        <v>19</v>
      </c>
      <c r="B229" s="32" t="s">
        <v>340</v>
      </c>
      <c r="C229" s="16"/>
      <c r="D229" s="16"/>
      <c r="E229" s="90"/>
      <c r="F229" s="327"/>
    </row>
    <row r="230" customFormat="false" ht="15" hidden="false" customHeight="false" outlineLevel="0" collapsed="false">
      <c r="A230" s="72" t="n">
        <v>20</v>
      </c>
      <c r="B230" s="32" t="s">
        <v>341</v>
      </c>
      <c r="C230" s="16"/>
      <c r="D230" s="16"/>
      <c r="E230" s="90"/>
      <c r="F230" s="327"/>
    </row>
    <row r="231" customFormat="false" ht="15" hidden="false" customHeight="false" outlineLevel="0" collapsed="false">
      <c r="A231" s="72" t="n">
        <v>21</v>
      </c>
      <c r="B231" s="32" t="s">
        <v>1362</v>
      </c>
      <c r="C231" s="16"/>
      <c r="D231" s="16"/>
      <c r="E231" s="90"/>
      <c r="F231" s="327"/>
    </row>
    <row r="232" customFormat="false" ht="15" hidden="false" customHeight="false" outlineLevel="0" collapsed="false">
      <c r="A232" s="72" t="n">
        <v>22</v>
      </c>
      <c r="B232" s="32" t="s">
        <v>1363</v>
      </c>
      <c r="C232" s="16"/>
      <c r="D232" s="16"/>
      <c r="E232" s="90"/>
      <c r="F232" s="327"/>
    </row>
    <row r="233" customFormat="false" ht="15" hidden="false" customHeight="false" outlineLevel="0" collapsed="false">
      <c r="A233" s="72" t="n">
        <v>23</v>
      </c>
      <c r="B233" s="32" t="s">
        <v>343</v>
      </c>
      <c r="C233" s="16"/>
      <c r="D233" s="16"/>
      <c r="E233" s="90"/>
      <c r="F233" s="327"/>
    </row>
    <row r="234" customFormat="false" ht="15" hidden="false" customHeight="false" outlineLevel="0" collapsed="false">
      <c r="A234" s="72" t="n">
        <v>24</v>
      </c>
      <c r="B234" s="32" t="s">
        <v>344</v>
      </c>
      <c r="C234" s="16"/>
      <c r="D234" s="16"/>
      <c r="E234" s="90"/>
      <c r="F234" s="327"/>
    </row>
    <row r="235" customFormat="false" ht="15" hidden="false" customHeight="false" outlineLevel="0" collapsed="false">
      <c r="A235" s="72" t="n">
        <v>25</v>
      </c>
      <c r="B235" s="32" t="s">
        <v>1364</v>
      </c>
      <c r="C235" s="16"/>
      <c r="D235" s="16"/>
      <c r="E235" s="90"/>
      <c r="F235" s="327"/>
    </row>
    <row r="236" customFormat="false" ht="15" hidden="false" customHeight="false" outlineLevel="0" collapsed="false">
      <c r="A236" s="72" t="n">
        <v>26</v>
      </c>
      <c r="B236" s="32" t="s">
        <v>345</v>
      </c>
      <c r="C236" s="16"/>
      <c r="D236" s="16"/>
      <c r="E236" s="90"/>
      <c r="F236" s="327"/>
    </row>
    <row r="237" customFormat="false" ht="15" hidden="false" customHeight="false" outlineLevel="0" collapsed="false">
      <c r="A237" s="72" t="n">
        <v>27</v>
      </c>
      <c r="B237" s="32" t="s">
        <v>346</v>
      </c>
      <c r="C237" s="16"/>
      <c r="D237" s="16"/>
      <c r="E237" s="90"/>
      <c r="F237" s="327"/>
    </row>
    <row r="238" customFormat="false" ht="15" hidden="false" customHeight="false" outlineLevel="0" collapsed="false">
      <c r="A238" s="72" t="n">
        <v>28</v>
      </c>
      <c r="B238" s="32" t="s">
        <v>347</v>
      </c>
      <c r="C238" s="16"/>
      <c r="D238" s="16"/>
      <c r="E238" s="90"/>
      <c r="F238" s="327"/>
    </row>
    <row r="239" customFormat="false" ht="15" hidden="false" customHeight="false" outlineLevel="0" collapsed="false">
      <c r="A239" s="72" t="n">
        <v>29</v>
      </c>
      <c r="B239" s="32" t="s">
        <v>348</v>
      </c>
      <c r="C239" s="16"/>
      <c r="D239" s="16"/>
      <c r="E239" s="90"/>
      <c r="F239" s="327"/>
    </row>
    <row r="240" customFormat="false" ht="15" hidden="false" customHeight="false" outlineLevel="0" collapsed="false">
      <c r="A240" s="72" t="n">
        <v>30</v>
      </c>
      <c r="B240" s="32" t="s">
        <v>1365</v>
      </c>
      <c r="C240" s="16"/>
      <c r="D240" s="16"/>
      <c r="E240" s="90"/>
      <c r="F240" s="327"/>
    </row>
    <row r="241" customFormat="false" ht="15" hidden="false" customHeight="false" outlineLevel="0" collapsed="false">
      <c r="A241" s="72" t="n">
        <v>31</v>
      </c>
      <c r="B241" s="32" t="s">
        <v>1366</v>
      </c>
      <c r="C241" s="16"/>
      <c r="D241" s="16"/>
      <c r="E241" s="90"/>
      <c r="F241" s="327"/>
    </row>
    <row r="242" customFormat="false" ht="15" hidden="false" customHeight="false" outlineLevel="0" collapsed="false">
      <c r="A242" s="72" t="n">
        <v>32</v>
      </c>
      <c r="B242" s="32" t="s">
        <v>351</v>
      </c>
      <c r="C242" s="16"/>
      <c r="D242" s="16"/>
      <c r="E242" s="90"/>
      <c r="F242" s="327"/>
    </row>
    <row r="243" customFormat="false" ht="15" hidden="false" customHeight="false" outlineLevel="0" collapsed="false">
      <c r="A243" s="72" t="n">
        <v>33</v>
      </c>
      <c r="B243" s="32" t="s">
        <v>352</v>
      </c>
      <c r="C243" s="16"/>
      <c r="D243" s="16"/>
      <c r="E243" s="90"/>
      <c r="F243" s="327"/>
    </row>
    <row r="244" customFormat="false" ht="15" hidden="false" customHeight="false" outlineLevel="0" collapsed="false">
      <c r="A244" s="72" t="n">
        <v>34</v>
      </c>
      <c r="B244" s="32" t="s">
        <v>1367</v>
      </c>
      <c r="C244" s="16"/>
      <c r="D244" s="16"/>
      <c r="E244" s="90"/>
      <c r="F244" s="327"/>
    </row>
    <row r="245" customFormat="false" ht="15" hidden="false" customHeight="false" outlineLevel="0" collapsed="false">
      <c r="A245" s="72" t="n">
        <v>35</v>
      </c>
      <c r="B245" s="32" t="s">
        <v>355</v>
      </c>
      <c r="C245" s="13"/>
      <c r="D245" s="13"/>
      <c r="E245" s="17"/>
      <c r="F245" s="327"/>
    </row>
    <row r="246" customFormat="false" ht="15" hidden="false" customHeight="false" outlineLevel="0" collapsed="false">
      <c r="A246" s="72" t="n">
        <v>36</v>
      </c>
      <c r="B246" s="32" t="s">
        <v>1368</v>
      </c>
      <c r="C246" s="16"/>
      <c r="D246" s="16"/>
      <c r="E246" s="90"/>
      <c r="F246" s="327"/>
    </row>
    <row r="247" customFormat="false" ht="15" hidden="false" customHeight="false" outlineLevel="0" collapsed="false">
      <c r="A247" s="72" t="n">
        <v>37</v>
      </c>
      <c r="B247" s="32" t="s">
        <v>1369</v>
      </c>
      <c r="C247" s="16"/>
      <c r="D247" s="16"/>
      <c r="E247" s="90"/>
      <c r="F247" s="327"/>
    </row>
    <row r="248" customFormat="false" ht="15" hidden="false" customHeight="false" outlineLevel="0" collapsed="false">
      <c r="A248" s="72" t="n">
        <v>38</v>
      </c>
      <c r="B248" s="32" t="s">
        <v>1370</v>
      </c>
      <c r="C248" s="16"/>
      <c r="D248" s="16"/>
      <c r="E248" s="90"/>
      <c r="F248" s="327"/>
    </row>
    <row r="249" customFormat="false" ht="17.35" hidden="false" customHeight="false" outlineLevel="0" collapsed="false">
      <c r="A249" s="72"/>
      <c r="B249" s="20" t="s">
        <v>22</v>
      </c>
      <c r="C249" s="21" t="n">
        <f aca="false">SUM(C211:C248)</f>
        <v>0</v>
      </c>
      <c r="D249" s="91" t="n">
        <f aca="false">SUM(D211:D248)</f>
        <v>0</v>
      </c>
      <c r="E249" s="92" t="n">
        <f aca="false">SUM(E211:E248)</f>
        <v>0</v>
      </c>
      <c r="F249" s="329"/>
    </row>
    <row r="254" customFormat="false" ht="17.35" hidden="false" customHeight="false" outlineLevel="0" collapsed="false">
      <c r="A254" s="2"/>
      <c r="B254" s="2" t="s">
        <v>504</v>
      </c>
    </row>
    <row r="256" customFormat="false" ht="17.25" hidden="false" customHeight="false" outlineLevel="0" collapsed="false">
      <c r="B256" s="3" t="s">
        <v>2</v>
      </c>
    </row>
    <row r="259" customFormat="false" ht="17.25" hidden="false" customHeight="false" outlineLevel="0" collapsed="false">
      <c r="B259" s="4" t="s">
        <v>3</v>
      </c>
      <c r="D259" s="77" t="s">
        <v>51</v>
      </c>
    </row>
    <row r="261" customFormat="false" ht="15" hidden="false" customHeight="false" outlineLevel="0" collapsed="false">
      <c r="A261" s="6" t="s">
        <v>5</v>
      </c>
      <c r="B261" s="7" t="s">
        <v>6</v>
      </c>
      <c r="C261" s="8" t="s">
        <v>7</v>
      </c>
      <c r="D261" s="9" t="s">
        <v>8</v>
      </c>
      <c r="E261" s="89" t="s">
        <v>9</v>
      </c>
      <c r="F261" s="322" t="s">
        <v>1349</v>
      </c>
    </row>
    <row r="262" customFormat="false" ht="15" hidden="false" customHeight="false" outlineLevel="0" collapsed="false">
      <c r="A262" s="1" t="n">
        <v>1</v>
      </c>
      <c r="B262" s="32" t="s">
        <v>24</v>
      </c>
      <c r="C262" s="16"/>
      <c r="D262" s="16"/>
      <c r="E262" s="90"/>
      <c r="F262" s="325"/>
    </row>
    <row r="263" customFormat="false" ht="15" hidden="false" customHeight="false" outlineLevel="0" collapsed="false">
      <c r="A263" s="18" t="n">
        <v>2</v>
      </c>
      <c r="B263" s="32" t="s">
        <v>26</v>
      </c>
      <c r="C263" s="16"/>
      <c r="D263" s="16"/>
      <c r="E263" s="90"/>
      <c r="F263" s="327"/>
    </row>
    <row r="264" customFormat="false" ht="15" hidden="false" customHeight="false" outlineLevel="0" collapsed="false">
      <c r="A264" s="18" t="n">
        <v>3</v>
      </c>
      <c r="B264" s="32" t="s">
        <v>25</v>
      </c>
      <c r="C264" s="16"/>
      <c r="D264" s="16"/>
      <c r="E264" s="90"/>
      <c r="F264" s="327"/>
    </row>
    <row r="265" customFormat="false" ht="15" hidden="false" customHeight="false" outlineLevel="0" collapsed="false">
      <c r="A265" s="18" t="n">
        <v>4</v>
      </c>
      <c r="B265" s="32" t="s">
        <v>32</v>
      </c>
      <c r="C265" s="16"/>
      <c r="D265" s="16"/>
      <c r="E265" s="90"/>
      <c r="F265" s="327"/>
    </row>
    <row r="266" customFormat="false" ht="17.35" hidden="false" customHeight="false" outlineLevel="0" collapsed="false">
      <c r="A266" s="19"/>
      <c r="B266" s="20" t="s">
        <v>22</v>
      </c>
      <c r="C266" s="21" t="n">
        <f aca="false">SUM(C262:C265)</f>
        <v>0</v>
      </c>
      <c r="D266" s="91" t="n">
        <f aca="false">SUM(D262:D265)</f>
        <v>0</v>
      </c>
      <c r="E266" s="92" t="n">
        <f aca="false">SUM(E262:E265)</f>
        <v>0</v>
      </c>
      <c r="F266" s="329"/>
    </row>
    <row r="271" customFormat="false" ht="17.35" hidden="false" customHeight="false" outlineLevel="0" collapsed="false">
      <c r="A271" s="2"/>
      <c r="B271" s="2" t="s">
        <v>504</v>
      </c>
    </row>
    <row r="273" customFormat="false" ht="17.25" hidden="false" customHeight="false" outlineLevel="0" collapsed="false">
      <c r="B273" s="3" t="s">
        <v>2</v>
      </c>
    </row>
    <row r="276" customFormat="false" ht="17.25" hidden="false" customHeight="false" outlineLevel="0" collapsed="false">
      <c r="B276" s="4" t="s">
        <v>3</v>
      </c>
      <c r="D276" s="77" t="s">
        <v>23</v>
      </c>
    </row>
    <row r="278" customFormat="false" ht="15" hidden="false" customHeight="false" outlineLevel="0" collapsed="false">
      <c r="A278" s="6" t="s">
        <v>5</v>
      </c>
      <c r="B278" s="7" t="s">
        <v>6</v>
      </c>
      <c r="C278" s="8" t="s">
        <v>7</v>
      </c>
      <c r="D278" s="9" t="s">
        <v>8</v>
      </c>
      <c r="E278" s="89" t="s">
        <v>9</v>
      </c>
      <c r="F278" s="322" t="s">
        <v>1349</v>
      </c>
    </row>
    <row r="279" customFormat="false" ht="15" hidden="false" customHeight="false" outlineLevel="0" collapsed="false">
      <c r="A279" s="18" t="n">
        <v>1</v>
      </c>
      <c r="B279" s="32" t="s">
        <v>1371</v>
      </c>
      <c r="C279" s="16"/>
      <c r="D279" s="16"/>
      <c r="E279" s="90"/>
      <c r="F279" s="337"/>
    </row>
    <row r="280" customFormat="false" ht="17.35" hidden="false" customHeight="false" outlineLevel="0" collapsed="false">
      <c r="A280" s="19"/>
      <c r="B280" s="20" t="s">
        <v>22</v>
      </c>
      <c r="C280" s="21" t="n">
        <f aca="false">SUM(C279)</f>
        <v>0</v>
      </c>
      <c r="D280" s="91" t="n">
        <f aca="false">SUM(D279)</f>
        <v>0</v>
      </c>
      <c r="E280" s="92" t="n">
        <f aca="false">SUM(E279)</f>
        <v>0</v>
      </c>
      <c r="F280" s="329"/>
    </row>
    <row r="281" customFormat="false" ht="17.35" hidden="false" customHeight="false" outlineLevel="0" collapsed="false">
      <c r="B281" s="36"/>
      <c r="C281" s="37"/>
      <c r="D281" s="331"/>
      <c r="E281" s="119"/>
    </row>
    <row r="282" customFormat="false" ht="17.35" hidden="false" customHeight="false" outlineLevel="0" collapsed="false">
      <c r="B282" s="36"/>
      <c r="C282" s="37"/>
      <c r="D282" s="331"/>
      <c r="E282" s="119"/>
    </row>
    <row r="283" customFormat="false" ht="17.35" hidden="false" customHeight="false" outlineLevel="0" collapsed="false">
      <c r="B283" s="36"/>
      <c r="C283" s="37"/>
      <c r="D283" s="331"/>
      <c r="E283" s="119"/>
    </row>
    <row r="284" customFormat="false" ht="17.35" hidden="false" customHeight="false" outlineLevel="0" collapsed="false">
      <c r="A284" s="40"/>
      <c r="B284" s="2" t="s">
        <v>504</v>
      </c>
    </row>
    <row r="285" customFormat="false" ht="15" hidden="false" customHeight="false" outlineLevel="0" collapsed="false">
      <c r="A285" s="40"/>
    </row>
    <row r="286" customFormat="false" ht="15" hidden="false" customHeight="false" outlineLevel="0" collapsed="false">
      <c r="A286" s="40"/>
    </row>
    <row r="287" customFormat="false" ht="17.25" hidden="false" customHeight="false" outlineLevel="0" collapsed="false">
      <c r="A287" s="40"/>
      <c r="B287" s="4" t="s">
        <v>37</v>
      </c>
      <c r="D287" s="77" t="s">
        <v>4</v>
      </c>
    </row>
    <row r="288" customFormat="false" ht="15" hidden="false" customHeight="false" outlineLevel="0" collapsed="false">
      <c r="A288" s="40"/>
    </row>
    <row r="289" customFormat="false" ht="15" hidden="false" customHeight="false" outlineLevel="0" collapsed="false">
      <c r="A289" s="6" t="s">
        <v>5</v>
      </c>
      <c r="B289" s="7" t="s">
        <v>6</v>
      </c>
      <c r="C289" s="8" t="s">
        <v>7</v>
      </c>
      <c r="D289" s="9" t="s">
        <v>8</v>
      </c>
      <c r="E289" s="93" t="s">
        <v>9</v>
      </c>
      <c r="F289" s="322" t="s">
        <v>1349</v>
      </c>
    </row>
    <row r="290" customFormat="false" ht="15" hidden="false" customHeight="false" outlineLevel="0" collapsed="false">
      <c r="A290" s="18" t="n">
        <v>1</v>
      </c>
      <c r="B290" s="32" t="s">
        <v>54</v>
      </c>
      <c r="C290" s="16"/>
      <c r="D290" s="16"/>
      <c r="E290" s="86"/>
      <c r="F290" s="338"/>
    </row>
    <row r="291" customFormat="false" ht="15" hidden="false" customHeight="false" outlineLevel="0" collapsed="false">
      <c r="A291" s="18" t="n">
        <v>2</v>
      </c>
      <c r="B291" s="32" t="s">
        <v>55</v>
      </c>
      <c r="C291" s="16"/>
      <c r="D291" s="16"/>
      <c r="E291" s="86"/>
      <c r="F291" s="338"/>
    </row>
    <row r="292" customFormat="false" ht="15" hidden="false" customHeight="false" outlineLevel="0" collapsed="false">
      <c r="A292" s="18" t="n">
        <v>3</v>
      </c>
      <c r="B292" s="32" t="s">
        <v>57</v>
      </c>
      <c r="C292" s="16"/>
      <c r="D292" s="16"/>
      <c r="E292" s="86"/>
      <c r="F292" s="338"/>
    </row>
    <row r="293" customFormat="false" ht="15" hidden="false" customHeight="false" outlineLevel="0" collapsed="false">
      <c r="A293" s="18" t="n">
        <v>4</v>
      </c>
      <c r="B293" s="32" t="s">
        <v>59</v>
      </c>
      <c r="C293" s="16"/>
      <c r="D293" s="16"/>
      <c r="E293" s="86"/>
      <c r="F293" s="338"/>
    </row>
    <row r="294" customFormat="false" ht="15" hidden="false" customHeight="false" outlineLevel="0" collapsed="false">
      <c r="A294" s="18" t="n">
        <v>5</v>
      </c>
      <c r="B294" s="32" t="s">
        <v>60</v>
      </c>
      <c r="C294" s="16"/>
      <c r="D294" s="16"/>
      <c r="E294" s="86"/>
      <c r="F294" s="338"/>
    </row>
    <row r="295" customFormat="false" ht="15" hidden="false" customHeight="false" outlineLevel="0" collapsed="false">
      <c r="A295" s="18" t="n">
        <v>6</v>
      </c>
      <c r="B295" s="32" t="s">
        <v>62</v>
      </c>
      <c r="C295" s="16"/>
      <c r="D295" s="16"/>
      <c r="E295" s="86"/>
      <c r="F295" s="338"/>
    </row>
    <row r="296" customFormat="false" ht="15" hidden="false" customHeight="false" outlineLevel="0" collapsed="false">
      <c r="A296" s="18" t="n">
        <v>7</v>
      </c>
      <c r="B296" s="32" t="s">
        <v>65</v>
      </c>
      <c r="C296" s="16"/>
      <c r="D296" s="16"/>
      <c r="E296" s="86"/>
      <c r="F296" s="338"/>
    </row>
    <row r="297" customFormat="false" ht="15" hidden="false" customHeight="false" outlineLevel="0" collapsed="false">
      <c r="A297" s="18" t="n">
        <v>8</v>
      </c>
      <c r="B297" s="32" t="s">
        <v>66</v>
      </c>
      <c r="C297" s="16"/>
      <c r="D297" s="16"/>
      <c r="E297" s="86"/>
      <c r="F297" s="338"/>
    </row>
    <row r="298" customFormat="false" ht="15" hidden="false" customHeight="false" outlineLevel="0" collapsed="false">
      <c r="A298" s="18" t="n">
        <v>9</v>
      </c>
      <c r="B298" s="32" t="s">
        <v>1372</v>
      </c>
      <c r="C298" s="16"/>
      <c r="D298" s="16"/>
      <c r="E298" s="86"/>
      <c r="F298" s="338"/>
    </row>
    <row r="299" customFormat="false" ht="15" hidden="false" customHeight="false" outlineLevel="0" collapsed="false">
      <c r="A299" s="18" t="n">
        <v>10</v>
      </c>
      <c r="B299" s="32" t="s">
        <v>67</v>
      </c>
      <c r="C299" s="16"/>
      <c r="D299" s="16"/>
      <c r="E299" s="86"/>
      <c r="F299" s="338"/>
    </row>
    <row r="300" customFormat="false" ht="15" hidden="false" customHeight="false" outlineLevel="0" collapsed="false">
      <c r="A300" s="18" t="n">
        <v>11</v>
      </c>
      <c r="B300" s="12" t="s">
        <v>68</v>
      </c>
      <c r="C300" s="16"/>
      <c r="D300" s="16"/>
      <c r="E300" s="86"/>
      <c r="F300" s="338"/>
    </row>
    <row r="301" customFormat="false" ht="15" hidden="false" customHeight="false" outlineLevel="0" collapsed="false">
      <c r="A301" s="18" t="n">
        <v>12</v>
      </c>
      <c r="B301" s="32" t="s">
        <v>69</v>
      </c>
      <c r="C301" s="16"/>
      <c r="D301" s="16"/>
      <c r="E301" s="86"/>
      <c r="F301" s="338"/>
    </row>
    <row r="302" customFormat="false" ht="15" hidden="false" customHeight="false" outlineLevel="0" collapsed="false">
      <c r="A302" s="18" t="n">
        <v>13</v>
      </c>
      <c r="B302" s="32" t="s">
        <v>70</v>
      </c>
      <c r="C302" s="16"/>
      <c r="D302" s="16"/>
      <c r="E302" s="86"/>
      <c r="F302" s="338"/>
    </row>
    <row r="303" customFormat="false" ht="15" hidden="false" customHeight="false" outlineLevel="0" collapsed="false">
      <c r="A303" s="18" t="n">
        <v>14</v>
      </c>
      <c r="B303" s="50" t="s">
        <v>71</v>
      </c>
      <c r="C303" s="16"/>
      <c r="D303" s="328"/>
      <c r="E303" s="86"/>
      <c r="F303" s="338"/>
    </row>
    <row r="304" customFormat="false" ht="15" hidden="false" customHeight="false" outlineLevel="0" collapsed="false">
      <c r="A304" s="56" t="n">
        <v>15</v>
      </c>
      <c r="B304" s="32" t="s">
        <v>72</v>
      </c>
      <c r="C304" s="13"/>
      <c r="D304" s="13"/>
      <c r="E304" s="14"/>
      <c r="F304" s="338"/>
    </row>
    <row r="305" customFormat="false" ht="15" hidden="false" customHeight="false" outlineLevel="0" collapsed="false">
      <c r="A305" s="56" t="n">
        <v>16</v>
      </c>
      <c r="B305" s="44" t="s">
        <v>73</v>
      </c>
      <c r="C305" s="16"/>
      <c r="D305" s="16"/>
      <c r="E305" s="86"/>
      <c r="F305" s="338"/>
    </row>
    <row r="306" customFormat="false" ht="17.35" hidden="false" customHeight="false" outlineLevel="0" collapsed="false">
      <c r="A306" s="18"/>
      <c r="B306" s="20" t="s">
        <v>22</v>
      </c>
      <c r="C306" s="21" t="n">
        <f aca="false">SUM(C290:C305)</f>
        <v>0</v>
      </c>
      <c r="D306" s="91" t="n">
        <f aca="false">SUM(D290:D305)</f>
        <v>0</v>
      </c>
      <c r="E306" s="96" t="n">
        <f aca="false">C306-D306</f>
        <v>0</v>
      </c>
      <c r="F306" s="339"/>
    </row>
    <row r="307" customFormat="false" ht="17.35" hidden="false" customHeight="false" outlineLevel="0" collapsed="false">
      <c r="B307" s="36"/>
      <c r="C307" s="37"/>
      <c r="D307" s="331"/>
      <c r="E307" s="119"/>
    </row>
    <row r="308" customFormat="false" ht="17.35" hidden="false" customHeight="false" outlineLevel="0" collapsed="false">
      <c r="A308" s="46"/>
      <c r="B308" s="36"/>
      <c r="C308" s="37"/>
      <c r="D308" s="37"/>
      <c r="E308" s="119"/>
    </row>
    <row r="309" customFormat="false" ht="17.35" hidden="false" customHeight="false" outlineLevel="0" collapsed="false">
      <c r="A309" s="40"/>
      <c r="B309" s="2" t="s">
        <v>504</v>
      </c>
    </row>
    <row r="310" customFormat="false" ht="15" hidden="false" customHeight="false" outlineLevel="0" collapsed="false">
      <c r="A310" s="40"/>
      <c r="B310" s="40"/>
      <c r="C310" s="40"/>
      <c r="D310" s="40"/>
      <c r="E310" s="40"/>
    </row>
    <row r="311" customFormat="false" ht="15" hidden="false" customHeight="false" outlineLevel="0" collapsed="false">
      <c r="A311" s="40"/>
    </row>
    <row r="312" customFormat="false" ht="17.25" hidden="false" customHeight="false" outlineLevel="0" collapsed="false">
      <c r="A312" s="40"/>
      <c r="B312" s="4" t="s">
        <v>37</v>
      </c>
      <c r="D312" s="77" t="s">
        <v>51</v>
      </c>
    </row>
    <row r="313" customFormat="false" ht="15" hidden="false" customHeight="false" outlineLevel="0" collapsed="false">
      <c r="A313" s="40"/>
    </row>
    <row r="314" customFormat="false" ht="15" hidden="false" customHeight="false" outlineLevel="0" collapsed="false">
      <c r="A314" s="6" t="s">
        <v>5</v>
      </c>
      <c r="B314" s="7" t="s">
        <v>6</v>
      </c>
      <c r="C314" s="8" t="s">
        <v>7</v>
      </c>
      <c r="D314" s="9" t="s">
        <v>8</v>
      </c>
      <c r="E314" s="93" t="s">
        <v>9</v>
      </c>
      <c r="F314" s="322" t="s">
        <v>1349</v>
      </c>
    </row>
    <row r="315" customFormat="false" ht="15" hidden="false" customHeight="false" outlineLevel="0" collapsed="false">
      <c r="A315" s="49" t="n">
        <v>1</v>
      </c>
      <c r="B315" s="12" t="s">
        <v>74</v>
      </c>
      <c r="C315" s="16"/>
      <c r="D315" s="16"/>
      <c r="E315" s="86"/>
      <c r="F315" s="338"/>
    </row>
    <row r="316" customFormat="false" ht="15" hidden="false" customHeight="false" outlineLevel="0" collapsed="false">
      <c r="A316" s="18" t="n">
        <v>2</v>
      </c>
      <c r="B316" s="32" t="s">
        <v>75</v>
      </c>
      <c r="C316" s="16"/>
      <c r="D316" s="16"/>
      <c r="E316" s="86"/>
      <c r="F316" s="338"/>
    </row>
    <row r="317" customFormat="false" ht="15" hidden="false" customHeight="false" outlineLevel="0" collapsed="false">
      <c r="A317" s="49" t="n">
        <v>3</v>
      </c>
      <c r="B317" s="32" t="s">
        <v>76</v>
      </c>
      <c r="C317" s="16"/>
      <c r="D317" s="16"/>
      <c r="E317" s="86"/>
      <c r="F317" s="338"/>
    </row>
    <row r="318" customFormat="false" ht="15" hidden="false" customHeight="false" outlineLevel="0" collapsed="false">
      <c r="A318" s="1" t="n">
        <v>4</v>
      </c>
      <c r="B318" s="32" t="s">
        <v>77</v>
      </c>
      <c r="C318" s="16"/>
      <c r="D318" s="16"/>
      <c r="E318" s="86"/>
      <c r="F318" s="338"/>
    </row>
    <row r="319" customFormat="false" ht="15" hidden="false" customHeight="false" outlineLevel="0" collapsed="false">
      <c r="A319" s="18" t="n">
        <v>5</v>
      </c>
      <c r="B319" s="32" t="s">
        <v>81</v>
      </c>
      <c r="C319" s="16"/>
      <c r="D319" s="16"/>
      <c r="E319" s="86"/>
      <c r="F319" s="338"/>
    </row>
    <row r="320" customFormat="false" ht="15" hidden="false" customHeight="false" outlineLevel="0" collapsed="false">
      <c r="A320" s="18" t="n">
        <v>6</v>
      </c>
      <c r="B320" s="32" t="s">
        <v>83</v>
      </c>
      <c r="C320" s="16"/>
      <c r="D320" s="16"/>
      <c r="E320" s="86"/>
      <c r="F320" s="338"/>
    </row>
    <row r="321" customFormat="false" ht="15" hidden="false" customHeight="false" outlineLevel="0" collapsed="false">
      <c r="A321" s="18" t="n">
        <v>7</v>
      </c>
      <c r="B321" s="32" t="s">
        <v>85</v>
      </c>
      <c r="C321" s="16"/>
      <c r="D321" s="16"/>
      <c r="E321" s="86"/>
      <c r="F321" s="338"/>
    </row>
    <row r="322" customFormat="false" ht="15" hidden="false" customHeight="false" outlineLevel="0" collapsed="false">
      <c r="A322" s="18" t="n">
        <v>8</v>
      </c>
      <c r="B322" s="32" t="s">
        <v>86</v>
      </c>
      <c r="C322" s="16"/>
      <c r="D322" s="16"/>
      <c r="E322" s="86"/>
      <c r="F322" s="338"/>
    </row>
    <row r="323" customFormat="false" ht="15" hidden="false" customHeight="false" outlineLevel="0" collapsed="false">
      <c r="A323" s="18" t="n">
        <v>9</v>
      </c>
      <c r="B323" s="32" t="s">
        <v>92</v>
      </c>
      <c r="C323" s="16"/>
      <c r="D323" s="16"/>
      <c r="E323" s="86"/>
      <c r="F323" s="338"/>
    </row>
    <row r="324" customFormat="false" ht="15" hidden="false" customHeight="false" outlineLevel="0" collapsed="false">
      <c r="A324" s="18" t="n">
        <v>10</v>
      </c>
      <c r="B324" s="32" t="s">
        <v>98</v>
      </c>
      <c r="C324" s="16"/>
      <c r="D324" s="16"/>
      <c r="E324" s="86"/>
      <c r="F324" s="338"/>
    </row>
    <row r="325" customFormat="false" ht="15" hidden="false" customHeight="false" outlineLevel="0" collapsed="false">
      <c r="A325" s="18" t="n">
        <v>11</v>
      </c>
      <c r="B325" s="32" t="s">
        <v>99</v>
      </c>
      <c r="C325" s="16"/>
      <c r="D325" s="16"/>
      <c r="E325" s="86"/>
      <c r="F325" s="338"/>
    </row>
    <row r="326" customFormat="false" ht="15" hidden="false" customHeight="false" outlineLevel="0" collapsed="false">
      <c r="A326" s="18" t="n">
        <v>12</v>
      </c>
      <c r="B326" s="32" t="s">
        <v>100</v>
      </c>
      <c r="C326" s="16"/>
      <c r="D326" s="16"/>
      <c r="E326" s="86"/>
      <c r="F326" s="338"/>
    </row>
    <row r="327" customFormat="false" ht="15" hidden="false" customHeight="false" outlineLevel="0" collapsed="false">
      <c r="A327" s="18" t="n">
        <v>13</v>
      </c>
      <c r="B327" s="32" t="s">
        <v>103</v>
      </c>
      <c r="C327" s="16"/>
      <c r="D327" s="16"/>
      <c r="E327" s="86"/>
      <c r="F327" s="338"/>
    </row>
    <row r="328" customFormat="false" ht="15" hidden="false" customHeight="false" outlineLevel="0" collapsed="false">
      <c r="A328" s="18" t="n">
        <v>14</v>
      </c>
      <c r="B328" s="32" t="s">
        <v>104</v>
      </c>
      <c r="C328" s="16"/>
      <c r="D328" s="16"/>
      <c r="E328" s="86"/>
      <c r="F328" s="338"/>
    </row>
    <row r="329" customFormat="false" ht="15" hidden="false" customHeight="false" outlineLevel="0" collapsed="false">
      <c r="A329" s="18" t="n">
        <v>15</v>
      </c>
      <c r="B329" s="32" t="s">
        <v>105</v>
      </c>
      <c r="C329" s="16"/>
      <c r="D329" s="16"/>
      <c r="E329" s="86"/>
      <c r="F329" s="338"/>
    </row>
    <row r="330" customFormat="false" ht="15" hidden="false" customHeight="false" outlineLevel="0" collapsed="false">
      <c r="A330" s="18" t="n">
        <v>16</v>
      </c>
      <c r="B330" s="32" t="s">
        <v>106</v>
      </c>
      <c r="C330" s="16"/>
      <c r="D330" s="16"/>
      <c r="E330" s="86"/>
      <c r="F330" s="338"/>
    </row>
    <row r="331" customFormat="false" ht="15" hidden="false" customHeight="false" outlineLevel="0" collapsed="false">
      <c r="A331" s="18" t="n">
        <v>17</v>
      </c>
      <c r="B331" s="32" t="s">
        <v>107</v>
      </c>
      <c r="C331" s="16"/>
      <c r="D331" s="16"/>
      <c r="E331" s="86"/>
      <c r="F331" s="338"/>
    </row>
    <row r="332" customFormat="false" ht="15" hidden="false" customHeight="false" outlineLevel="0" collapsed="false">
      <c r="A332" s="49" t="n">
        <v>18</v>
      </c>
      <c r="B332" s="32" t="s">
        <v>113</v>
      </c>
      <c r="C332" s="16"/>
      <c r="D332" s="16"/>
      <c r="E332" s="86"/>
      <c r="F332" s="338"/>
    </row>
    <row r="333" customFormat="false" ht="15" hidden="false" customHeight="false" outlineLevel="0" collapsed="false">
      <c r="A333" s="49" t="n">
        <v>19</v>
      </c>
      <c r="B333" s="32" t="s">
        <v>114</v>
      </c>
      <c r="C333" s="16"/>
      <c r="D333" s="16"/>
      <c r="E333" s="86"/>
      <c r="F333" s="338"/>
    </row>
    <row r="334" customFormat="false" ht="15" hidden="false" customHeight="false" outlineLevel="0" collapsed="false">
      <c r="A334" s="49" t="n">
        <v>20</v>
      </c>
      <c r="B334" s="32" t="s">
        <v>115</v>
      </c>
      <c r="C334" s="16"/>
      <c r="D334" s="16"/>
      <c r="E334" s="86"/>
      <c r="F334" s="338"/>
    </row>
    <row r="335" customFormat="false" ht="15" hidden="false" customHeight="false" outlineLevel="0" collapsed="false">
      <c r="A335" s="49" t="n">
        <v>21</v>
      </c>
      <c r="B335" s="32" t="s">
        <v>116</v>
      </c>
      <c r="C335" s="16"/>
      <c r="D335" s="16"/>
      <c r="E335" s="86"/>
      <c r="F335" s="338"/>
    </row>
    <row r="336" customFormat="false" ht="15" hidden="false" customHeight="false" outlineLevel="0" collapsed="false">
      <c r="A336" s="49" t="n">
        <v>22</v>
      </c>
      <c r="B336" s="32" t="s">
        <v>117</v>
      </c>
      <c r="C336" s="16"/>
      <c r="D336" s="16"/>
      <c r="E336" s="86"/>
      <c r="F336" s="338"/>
    </row>
    <row r="337" customFormat="false" ht="17.35" hidden="false" customHeight="false" outlineLevel="0" collapsed="false">
      <c r="A337" s="18"/>
      <c r="B337" s="20" t="s">
        <v>22</v>
      </c>
      <c r="C337" s="21" t="n">
        <f aca="false">SUM(C315:C336)</f>
        <v>0</v>
      </c>
      <c r="D337" s="91" t="n">
        <f aca="false">SUM(D315:D336)</f>
        <v>0</v>
      </c>
      <c r="E337" s="96" t="n">
        <f aca="false">C337-D337</f>
        <v>0</v>
      </c>
      <c r="F337" s="339"/>
    </row>
    <row r="338" customFormat="false" ht="15" hidden="false" customHeight="false" outlineLevel="0" collapsed="false">
      <c r="A338" s="40"/>
    </row>
    <row r="339" customFormat="false" ht="15" hidden="false" customHeight="false" outlineLevel="0" collapsed="false">
      <c r="A339" s="40"/>
    </row>
    <row r="340" customFormat="false" ht="15" hidden="false" customHeight="false" outlineLevel="0" collapsed="false">
      <c r="A340" s="40"/>
    </row>
    <row r="341" customFormat="false" ht="15" hidden="false" customHeight="false" outlineLevel="0" collapsed="false">
      <c r="A341" s="40"/>
    </row>
    <row r="342" customFormat="false" ht="15" hidden="false" customHeight="false" outlineLevel="0" collapsed="false">
      <c r="A342" s="40"/>
    </row>
    <row r="343" customFormat="false" ht="17.25" hidden="false" customHeight="false" outlineLevel="0" collapsed="false">
      <c r="A343" s="40"/>
      <c r="B343" s="4" t="s">
        <v>37</v>
      </c>
      <c r="D343" s="77" t="s">
        <v>23</v>
      </c>
    </row>
    <row r="344" customFormat="false" ht="15" hidden="false" customHeight="false" outlineLevel="0" collapsed="false">
      <c r="A344" s="40"/>
    </row>
    <row r="345" customFormat="false" ht="15" hidden="false" customHeight="false" outlineLevel="0" collapsed="false">
      <c r="A345" s="6" t="s">
        <v>5</v>
      </c>
      <c r="B345" s="7" t="s">
        <v>6</v>
      </c>
      <c r="C345" s="8" t="s">
        <v>7</v>
      </c>
      <c r="D345" s="9" t="s">
        <v>8</v>
      </c>
      <c r="E345" s="93" t="s">
        <v>9</v>
      </c>
      <c r="F345" s="322" t="s">
        <v>1349</v>
      </c>
    </row>
    <row r="346" customFormat="false" ht="15" hidden="false" customHeight="false" outlineLevel="0" collapsed="false">
      <c r="A346" s="152" t="n">
        <v>1</v>
      </c>
      <c r="B346" s="32" t="s">
        <v>1373</v>
      </c>
      <c r="C346" s="16"/>
      <c r="D346" s="16"/>
      <c r="E346" s="86"/>
      <c r="F346" s="338"/>
    </row>
    <row r="347" customFormat="false" ht="15" hidden="false" customHeight="false" outlineLevel="0" collapsed="false">
      <c r="A347" s="152" t="n">
        <v>2</v>
      </c>
      <c r="B347" s="32" t="s">
        <v>1374</v>
      </c>
      <c r="C347" s="16"/>
      <c r="D347" s="16"/>
      <c r="E347" s="86"/>
      <c r="F347" s="338"/>
    </row>
    <row r="348" customFormat="false" ht="17.35" hidden="false" customHeight="false" outlineLevel="0" collapsed="false">
      <c r="A348" s="19"/>
      <c r="B348" s="55" t="s">
        <v>22</v>
      </c>
      <c r="C348" s="21" t="n">
        <f aca="false">SUM(C346:C347)</f>
        <v>0</v>
      </c>
      <c r="D348" s="91" t="n">
        <f aca="false">SUM(D346:D347)</f>
        <v>0</v>
      </c>
      <c r="E348" s="96" t="n">
        <f aca="false">SUM(E346:E347)</f>
        <v>0</v>
      </c>
      <c r="F348" s="339"/>
    </row>
    <row r="349" customFormat="false" ht="17.35" hidden="false" customHeight="false" outlineLevel="0" collapsed="false">
      <c r="A349" s="56"/>
      <c r="B349" s="36"/>
      <c r="C349" s="37"/>
      <c r="D349" s="331"/>
      <c r="E349" s="119"/>
    </row>
    <row r="350" customFormat="false" ht="17.35" hidden="false" customHeight="false" outlineLevel="0" collapsed="false">
      <c r="B350" s="36"/>
      <c r="C350" s="37"/>
      <c r="D350" s="331"/>
      <c r="E350" s="119"/>
    </row>
    <row r="351" customFormat="false" ht="17.35" hidden="false" customHeight="false" outlineLevel="0" collapsed="false">
      <c r="B351" s="36"/>
      <c r="C351" s="37"/>
      <c r="D351" s="331"/>
      <c r="E351" s="119"/>
    </row>
    <row r="352" customFormat="false" ht="17.35" hidden="false" customHeight="false" outlineLevel="0" collapsed="false">
      <c r="B352" s="2" t="s">
        <v>504</v>
      </c>
      <c r="C352" s="2"/>
    </row>
    <row r="354" customFormat="false" ht="15" hidden="false" customHeight="false" outlineLevel="0" collapsed="false">
      <c r="A354" s="40"/>
    </row>
    <row r="355" customFormat="false" ht="17.25" hidden="false" customHeight="false" outlineLevel="0" collapsed="false">
      <c r="A355" s="40"/>
      <c r="B355" s="4" t="s">
        <v>118</v>
      </c>
      <c r="D355" s="77" t="s">
        <v>4</v>
      </c>
    </row>
    <row r="356" customFormat="false" ht="15" hidden="false" customHeight="false" outlineLevel="0" collapsed="false">
      <c r="A356" s="40"/>
    </row>
    <row r="357" customFormat="false" ht="15" hidden="false" customHeight="false" outlineLevel="0" collapsed="false">
      <c r="A357" s="6" t="s">
        <v>5</v>
      </c>
      <c r="B357" s="7" t="s">
        <v>6</v>
      </c>
      <c r="C357" s="8" t="s">
        <v>7</v>
      </c>
      <c r="D357" s="9" t="s">
        <v>8</v>
      </c>
      <c r="E357" s="93" t="s">
        <v>9</v>
      </c>
      <c r="F357" s="322" t="s">
        <v>1349</v>
      </c>
    </row>
    <row r="358" customFormat="false" ht="15" hidden="false" customHeight="false" outlineLevel="0" collapsed="false">
      <c r="A358" s="49" t="n">
        <v>1</v>
      </c>
      <c r="B358" s="50" t="s">
        <v>140</v>
      </c>
      <c r="C358" s="16"/>
      <c r="D358" s="328"/>
      <c r="E358" s="86"/>
      <c r="F358" s="338"/>
    </row>
    <row r="359" customFormat="false" ht="15" hidden="false" customHeight="false" outlineLevel="0" collapsed="false">
      <c r="A359" s="49" t="n">
        <v>2</v>
      </c>
      <c r="B359" s="50" t="s">
        <v>142</v>
      </c>
      <c r="C359" s="16"/>
      <c r="D359" s="328"/>
      <c r="E359" s="86"/>
      <c r="F359" s="338"/>
    </row>
    <row r="360" customFormat="false" ht="15" hidden="false" customHeight="false" outlineLevel="0" collapsed="false">
      <c r="A360" s="18" t="n">
        <v>3</v>
      </c>
      <c r="B360" s="50" t="s">
        <v>143</v>
      </c>
      <c r="C360" s="16"/>
      <c r="D360" s="328"/>
      <c r="E360" s="86"/>
      <c r="F360" s="338"/>
    </row>
    <row r="361" customFormat="false" ht="15" hidden="false" customHeight="false" outlineLevel="0" collapsed="false">
      <c r="A361" s="18" t="n">
        <v>4</v>
      </c>
      <c r="B361" s="50" t="s">
        <v>152</v>
      </c>
      <c r="C361" s="16"/>
      <c r="D361" s="328"/>
      <c r="E361" s="86"/>
      <c r="F361" s="338"/>
    </row>
    <row r="362" customFormat="false" ht="15" hidden="false" customHeight="false" outlineLevel="0" collapsed="false">
      <c r="A362" s="18" t="n">
        <v>5</v>
      </c>
      <c r="B362" s="50" t="s">
        <v>153</v>
      </c>
      <c r="C362" s="16"/>
      <c r="D362" s="328"/>
      <c r="E362" s="86"/>
      <c r="F362" s="338"/>
    </row>
    <row r="363" customFormat="false" ht="15" hidden="false" customHeight="false" outlineLevel="0" collapsed="false">
      <c r="A363" s="18" t="n">
        <v>6</v>
      </c>
      <c r="B363" s="50" t="s">
        <v>155</v>
      </c>
      <c r="C363" s="16"/>
      <c r="D363" s="328"/>
      <c r="E363" s="86"/>
      <c r="F363" s="338"/>
    </row>
    <row r="364" customFormat="false" ht="15" hidden="false" customHeight="false" outlineLevel="0" collapsed="false">
      <c r="A364" s="18" t="n">
        <v>7</v>
      </c>
      <c r="B364" s="50" t="s">
        <v>156</v>
      </c>
      <c r="C364" s="13"/>
      <c r="D364" s="51"/>
      <c r="E364" s="14"/>
      <c r="F364" s="338"/>
    </row>
    <row r="365" customFormat="false" ht="15" hidden="false" customHeight="false" outlineLevel="0" collapsed="false">
      <c r="A365" s="18" t="n">
        <v>8</v>
      </c>
      <c r="B365" s="50" t="s">
        <v>159</v>
      </c>
      <c r="C365" s="16"/>
      <c r="D365" s="328"/>
      <c r="E365" s="86"/>
      <c r="F365" s="338"/>
    </row>
    <row r="366" customFormat="false" ht="15" hidden="false" customHeight="false" outlineLevel="0" collapsed="false">
      <c r="A366" s="18" t="n">
        <v>9</v>
      </c>
      <c r="B366" s="50" t="s">
        <v>160</v>
      </c>
      <c r="C366" s="16"/>
      <c r="D366" s="328"/>
      <c r="E366" s="86"/>
      <c r="F366" s="338"/>
    </row>
    <row r="367" customFormat="false" ht="15" hidden="false" customHeight="false" outlineLevel="0" collapsed="false">
      <c r="A367" s="18" t="n">
        <v>10</v>
      </c>
      <c r="B367" s="50" t="s">
        <v>161</v>
      </c>
      <c r="C367" s="16"/>
      <c r="D367" s="328"/>
      <c r="E367" s="86"/>
      <c r="F367" s="338"/>
    </row>
    <row r="368" customFormat="false" ht="15" hidden="false" customHeight="false" outlineLevel="0" collapsed="false">
      <c r="A368" s="18" t="n">
        <v>11</v>
      </c>
      <c r="B368" s="50" t="s">
        <v>162</v>
      </c>
      <c r="C368" s="16"/>
      <c r="D368" s="328"/>
      <c r="E368" s="86"/>
      <c r="F368" s="338"/>
    </row>
    <row r="369" customFormat="false" ht="15" hidden="false" customHeight="false" outlineLevel="0" collapsed="false">
      <c r="A369" s="18" t="n">
        <v>12</v>
      </c>
      <c r="B369" s="50" t="s">
        <v>165</v>
      </c>
      <c r="C369" s="16"/>
      <c r="D369" s="328"/>
      <c r="E369" s="86"/>
      <c r="F369" s="338"/>
    </row>
    <row r="370" customFormat="false" ht="15" hidden="false" customHeight="false" outlineLevel="0" collapsed="false">
      <c r="A370" s="18" t="n">
        <v>13</v>
      </c>
      <c r="B370" s="50" t="s">
        <v>166</v>
      </c>
      <c r="C370" s="16"/>
      <c r="D370" s="328"/>
      <c r="E370" s="86"/>
      <c r="F370" s="338"/>
    </row>
    <row r="371" customFormat="false" ht="15" hidden="false" customHeight="false" outlineLevel="0" collapsed="false">
      <c r="A371" s="18" t="n">
        <v>14</v>
      </c>
      <c r="B371" s="50" t="s">
        <v>169</v>
      </c>
      <c r="C371" s="16"/>
      <c r="D371" s="328"/>
      <c r="E371" s="86"/>
      <c r="F371" s="338"/>
    </row>
    <row r="372" customFormat="false" ht="15" hidden="false" customHeight="false" outlineLevel="0" collapsed="false">
      <c r="A372" s="18" t="n">
        <v>15</v>
      </c>
      <c r="B372" s="50" t="s">
        <v>1375</v>
      </c>
      <c r="C372" s="16"/>
      <c r="D372" s="328"/>
      <c r="E372" s="86"/>
      <c r="F372" s="338"/>
    </row>
    <row r="373" customFormat="false" ht="15" hidden="false" customHeight="false" outlineLevel="0" collapsed="false">
      <c r="A373" s="18" t="n">
        <v>16</v>
      </c>
      <c r="B373" s="50" t="s">
        <v>1376</v>
      </c>
      <c r="C373" s="16"/>
      <c r="D373" s="328"/>
      <c r="E373" s="86"/>
      <c r="F373" s="338"/>
    </row>
    <row r="374" customFormat="false" ht="15" hidden="false" customHeight="false" outlineLevel="0" collapsed="false">
      <c r="A374" s="18" t="n">
        <v>17</v>
      </c>
      <c r="B374" s="50" t="s">
        <v>146</v>
      </c>
      <c r="C374" s="16"/>
      <c r="D374" s="328"/>
      <c r="E374" s="86"/>
      <c r="F374" s="338"/>
    </row>
    <row r="375" customFormat="false" ht="15" hidden="false" customHeight="false" outlineLevel="0" collapsed="false">
      <c r="A375" s="18" t="n">
        <v>18</v>
      </c>
      <c r="B375" s="50" t="s">
        <v>148</v>
      </c>
      <c r="C375" s="16"/>
      <c r="D375" s="328"/>
      <c r="E375" s="86"/>
      <c r="F375" s="338"/>
    </row>
    <row r="376" customFormat="false" ht="15" hidden="false" customHeight="false" outlineLevel="0" collapsed="false">
      <c r="A376" s="18" t="n">
        <v>19</v>
      </c>
      <c r="B376" s="50" t="s">
        <v>158</v>
      </c>
      <c r="C376" s="16"/>
      <c r="D376" s="328"/>
      <c r="E376" s="86"/>
      <c r="F376" s="338"/>
    </row>
    <row r="377" customFormat="false" ht="15" hidden="false" customHeight="false" outlineLevel="0" collapsed="false">
      <c r="A377" s="18" t="n">
        <v>20</v>
      </c>
      <c r="B377" s="50" t="s">
        <v>1377</v>
      </c>
      <c r="C377" s="16"/>
      <c r="D377" s="328"/>
      <c r="E377" s="86"/>
      <c r="F377" s="338"/>
    </row>
    <row r="378" customFormat="false" ht="15" hidden="false" customHeight="false" outlineLevel="0" collapsed="false">
      <c r="A378" s="18" t="n">
        <v>21</v>
      </c>
      <c r="B378" s="50" t="s">
        <v>149</v>
      </c>
      <c r="C378" s="16"/>
      <c r="D378" s="328"/>
      <c r="E378" s="86"/>
      <c r="F378" s="338"/>
    </row>
    <row r="379" customFormat="false" ht="15" hidden="false" customHeight="false" outlineLevel="0" collapsed="false">
      <c r="A379" s="18" t="n">
        <v>22</v>
      </c>
      <c r="B379" s="50" t="s">
        <v>174</v>
      </c>
      <c r="C379" s="16"/>
      <c r="D379" s="328"/>
      <c r="E379" s="86"/>
      <c r="F379" s="338"/>
    </row>
    <row r="380" customFormat="false" ht="17.35" hidden="false" customHeight="false" outlineLevel="0" collapsed="false">
      <c r="A380" s="18"/>
      <c r="B380" s="20" t="s">
        <v>22</v>
      </c>
      <c r="C380" s="21" t="n">
        <f aca="false">SUM(C358:C379)</f>
        <v>0</v>
      </c>
      <c r="D380" s="91" t="n">
        <f aca="false">SUM(D358:D379)</f>
        <v>0</v>
      </c>
      <c r="E380" s="96" t="n">
        <f aca="false">SUM(E358:E379)</f>
        <v>0</v>
      </c>
      <c r="F380" s="339"/>
    </row>
    <row r="381" customFormat="false" ht="17.35" hidden="false" customHeight="false" outlineLevel="0" collapsed="false">
      <c r="B381" s="36"/>
      <c r="C381" s="37"/>
      <c r="D381" s="331"/>
      <c r="E381" s="119"/>
    </row>
    <row r="382" customFormat="false" ht="17.35" hidden="false" customHeight="false" outlineLevel="0" collapsed="false">
      <c r="B382" s="36"/>
      <c r="C382" s="37"/>
      <c r="D382" s="331"/>
      <c r="E382" s="119"/>
    </row>
    <row r="383" customFormat="false" ht="19.7" hidden="false" customHeight="false" outlineLevel="0" collapsed="false">
      <c r="A383" s="46"/>
      <c r="B383" s="57"/>
      <c r="C383" s="58"/>
      <c r="D383" s="340"/>
      <c r="E383" s="341"/>
    </row>
    <row r="384" customFormat="false" ht="17.35" hidden="false" customHeight="false" outlineLevel="0" collapsed="false">
      <c r="B384" s="2" t="s">
        <v>504</v>
      </c>
      <c r="C384" s="2"/>
    </row>
    <row r="386" customFormat="false" ht="15" hidden="false" customHeight="false" outlineLevel="0" collapsed="false">
      <c r="A386" s="40"/>
    </row>
    <row r="387" customFormat="false" ht="17.25" hidden="false" customHeight="false" outlineLevel="0" collapsed="false">
      <c r="A387" s="40"/>
      <c r="B387" s="4" t="s">
        <v>118</v>
      </c>
      <c r="D387" s="77" t="s">
        <v>51</v>
      </c>
    </row>
    <row r="388" customFormat="false" ht="15" hidden="false" customHeight="false" outlineLevel="0" collapsed="false">
      <c r="A388" s="40"/>
    </row>
    <row r="389" customFormat="false" ht="15" hidden="false" customHeight="false" outlineLevel="0" collapsed="false">
      <c r="A389" s="6" t="s">
        <v>5</v>
      </c>
      <c r="B389" s="7" t="s">
        <v>6</v>
      </c>
      <c r="C389" s="8" t="s">
        <v>7</v>
      </c>
      <c r="D389" s="9" t="s">
        <v>8</v>
      </c>
      <c r="E389" s="93" t="s">
        <v>9</v>
      </c>
      <c r="F389" s="322" t="s">
        <v>1349</v>
      </c>
    </row>
    <row r="390" customFormat="false" ht="15" hidden="false" customHeight="false" outlineLevel="0" collapsed="false">
      <c r="A390" s="18" t="n">
        <v>1</v>
      </c>
      <c r="B390" s="50" t="s">
        <v>191</v>
      </c>
      <c r="C390" s="16"/>
      <c r="D390" s="328"/>
      <c r="E390" s="86"/>
      <c r="F390" s="338"/>
    </row>
    <row r="391" customFormat="false" ht="15" hidden="false" customHeight="false" outlineLevel="0" collapsed="false">
      <c r="A391" s="18" t="n">
        <v>2</v>
      </c>
      <c r="B391" s="50" t="s">
        <v>188</v>
      </c>
      <c r="C391" s="16"/>
      <c r="D391" s="328"/>
      <c r="E391" s="86"/>
      <c r="F391" s="338"/>
    </row>
    <row r="392" customFormat="false" ht="15" hidden="false" customHeight="false" outlineLevel="0" collapsed="false">
      <c r="A392" s="18" t="n">
        <v>3</v>
      </c>
      <c r="B392" s="50" t="s">
        <v>190</v>
      </c>
      <c r="C392" s="16"/>
      <c r="D392" s="328"/>
      <c r="E392" s="86"/>
      <c r="F392" s="338"/>
    </row>
    <row r="393" customFormat="false" ht="15" hidden="false" customHeight="false" outlineLevel="0" collapsed="false">
      <c r="A393" s="18" t="n">
        <v>4</v>
      </c>
      <c r="B393" s="50" t="s">
        <v>187</v>
      </c>
      <c r="C393" s="16"/>
      <c r="D393" s="328"/>
      <c r="E393" s="86"/>
      <c r="F393" s="338"/>
    </row>
    <row r="394" customFormat="false" ht="15" hidden="false" customHeight="false" outlineLevel="0" collapsed="false">
      <c r="A394" s="18" t="n">
        <v>6</v>
      </c>
      <c r="B394" s="50" t="s">
        <v>197</v>
      </c>
      <c r="C394" s="13"/>
      <c r="D394" s="51"/>
      <c r="E394" s="14"/>
      <c r="F394" s="338"/>
    </row>
    <row r="395" customFormat="false" ht="17.35" hidden="false" customHeight="false" outlineLevel="0" collapsed="false">
      <c r="A395" s="18"/>
      <c r="B395" s="20" t="s">
        <v>22</v>
      </c>
      <c r="C395" s="21" t="n">
        <f aca="false">SUM(C390:C394)</f>
        <v>0</v>
      </c>
      <c r="D395" s="91" t="n">
        <f aca="false">SUM(D390:D394)</f>
        <v>0</v>
      </c>
      <c r="E395" s="96" t="n">
        <f aca="false">SUM(E390:E394)</f>
        <v>0</v>
      </c>
      <c r="F395" s="339"/>
    </row>
    <row r="396" customFormat="false" ht="19.7" hidden="false" customHeight="false" outlineLevel="0" collapsed="false">
      <c r="A396" s="46"/>
      <c r="B396" s="57"/>
      <c r="C396" s="58"/>
      <c r="D396" s="340"/>
      <c r="E396" s="341"/>
    </row>
    <row r="399" customFormat="false" ht="17.35" hidden="false" customHeight="false" outlineLevel="0" collapsed="false">
      <c r="B399" s="2" t="s">
        <v>504</v>
      </c>
      <c r="C399" s="2"/>
    </row>
    <row r="401" customFormat="false" ht="15" hidden="false" customHeight="false" outlineLevel="0" collapsed="false">
      <c r="A401" s="40"/>
    </row>
    <row r="402" customFormat="false" ht="17.25" hidden="false" customHeight="false" outlineLevel="0" collapsed="false">
      <c r="A402" s="40"/>
      <c r="B402" s="4" t="s">
        <v>118</v>
      </c>
      <c r="D402" s="77" t="s">
        <v>23</v>
      </c>
    </row>
    <row r="403" customFormat="false" ht="15" hidden="false" customHeight="false" outlineLevel="0" collapsed="false">
      <c r="A403" s="40"/>
    </row>
    <row r="404" customFormat="false" ht="15" hidden="false" customHeight="false" outlineLevel="0" collapsed="false">
      <c r="A404" s="6" t="s">
        <v>5</v>
      </c>
      <c r="B404" s="7" t="s">
        <v>6</v>
      </c>
      <c r="C404" s="8" t="s">
        <v>7</v>
      </c>
      <c r="D404" s="9" t="s">
        <v>8</v>
      </c>
      <c r="E404" s="93" t="s">
        <v>9</v>
      </c>
      <c r="F404" s="322" t="s">
        <v>1349</v>
      </c>
    </row>
    <row r="405" customFormat="false" ht="15" hidden="false" customHeight="false" outlineLevel="0" collapsed="false">
      <c r="A405" s="49" t="n">
        <v>1</v>
      </c>
      <c r="B405" s="50" t="s">
        <v>1378</v>
      </c>
      <c r="C405" s="16"/>
      <c r="D405" s="328"/>
      <c r="E405" s="86"/>
      <c r="F405" s="342"/>
    </row>
    <row r="406" customFormat="false" ht="15" hidden="false" customHeight="false" outlineLevel="0" collapsed="false">
      <c r="A406" s="49" t="n">
        <v>2</v>
      </c>
      <c r="B406" s="50" t="s">
        <v>1379</v>
      </c>
      <c r="C406" s="16"/>
      <c r="D406" s="328"/>
      <c r="E406" s="86"/>
      <c r="F406" s="342"/>
    </row>
    <row r="407" customFormat="false" ht="15" hidden="false" customHeight="false" outlineLevel="0" collapsed="false">
      <c r="A407" s="18" t="n">
        <v>3</v>
      </c>
      <c r="B407" s="50" t="s">
        <v>1380</v>
      </c>
      <c r="C407" s="16"/>
      <c r="D407" s="328"/>
      <c r="E407" s="86"/>
      <c r="F407" s="342"/>
    </row>
    <row r="408" customFormat="false" ht="15" hidden="false" customHeight="false" outlineLevel="0" collapsed="false">
      <c r="A408" s="18" t="n">
        <v>4</v>
      </c>
      <c r="B408" s="50" t="s">
        <v>1381</v>
      </c>
      <c r="C408" s="16"/>
      <c r="D408" s="328"/>
      <c r="E408" s="86"/>
      <c r="F408" s="342"/>
    </row>
    <row r="409" customFormat="false" ht="15" hidden="false" customHeight="false" outlineLevel="0" collapsed="false">
      <c r="A409" s="18" t="n">
        <v>5</v>
      </c>
      <c r="B409" s="50" t="s">
        <v>1382</v>
      </c>
      <c r="C409" s="16"/>
      <c r="D409" s="328"/>
      <c r="E409" s="86"/>
      <c r="F409" s="342"/>
    </row>
    <row r="410" customFormat="false" ht="15" hidden="false" customHeight="false" outlineLevel="0" collapsed="false">
      <c r="A410" s="18" t="n">
        <v>6</v>
      </c>
      <c r="B410" s="50" t="s">
        <v>1383</v>
      </c>
      <c r="C410" s="16"/>
      <c r="D410" s="51"/>
      <c r="E410" s="86"/>
      <c r="F410" s="342"/>
    </row>
    <row r="411" customFormat="false" ht="15" hidden="false" customHeight="false" outlineLevel="0" collapsed="false">
      <c r="A411" s="18" t="n">
        <v>7</v>
      </c>
      <c r="B411" s="50" t="s">
        <v>1384</v>
      </c>
      <c r="C411" s="16"/>
      <c r="D411" s="328"/>
      <c r="E411" s="86"/>
      <c r="F411" s="342"/>
    </row>
    <row r="412" customFormat="false" ht="15" hidden="false" customHeight="false" outlineLevel="0" collapsed="false">
      <c r="A412" s="18" t="n">
        <v>8</v>
      </c>
      <c r="B412" s="50" t="s">
        <v>1385</v>
      </c>
      <c r="C412" s="16"/>
      <c r="D412" s="328"/>
      <c r="E412" s="86"/>
      <c r="F412" s="342"/>
    </row>
    <row r="413" customFormat="false" ht="15" hidden="false" customHeight="false" outlineLevel="0" collapsed="false">
      <c r="A413" s="18" t="n">
        <v>9</v>
      </c>
      <c r="B413" s="50" t="s">
        <v>1386</v>
      </c>
      <c r="C413" s="16"/>
      <c r="D413" s="328"/>
      <c r="E413" s="86"/>
      <c r="F413" s="342"/>
    </row>
    <row r="414" customFormat="false" ht="15" hidden="false" customHeight="false" outlineLevel="0" collapsed="false">
      <c r="A414" s="18" t="n">
        <v>10</v>
      </c>
      <c r="B414" s="50" t="s">
        <v>1387</v>
      </c>
      <c r="C414" s="16"/>
      <c r="D414" s="328"/>
      <c r="E414" s="86"/>
      <c r="F414" s="342"/>
    </row>
    <row r="415" customFormat="false" ht="15" hidden="false" customHeight="false" outlineLevel="0" collapsed="false">
      <c r="A415" s="18" t="n">
        <v>11</v>
      </c>
      <c r="B415" s="50" t="s">
        <v>1388</v>
      </c>
      <c r="C415" s="13"/>
      <c r="D415" s="51"/>
      <c r="E415" s="14"/>
      <c r="F415" s="342"/>
    </row>
    <row r="416" customFormat="false" ht="15" hidden="false" customHeight="false" outlineLevel="0" collapsed="false">
      <c r="A416" s="18" t="n">
        <v>12</v>
      </c>
      <c r="B416" s="50" t="s">
        <v>1389</v>
      </c>
      <c r="C416" s="13"/>
      <c r="D416" s="51"/>
      <c r="E416" s="14"/>
      <c r="F416" s="342"/>
    </row>
    <row r="417" customFormat="false" ht="15" hidden="false" customHeight="false" outlineLevel="0" collapsed="false">
      <c r="A417" s="18" t="n">
        <v>13</v>
      </c>
      <c r="B417" s="50" t="s">
        <v>1390</v>
      </c>
      <c r="C417" s="13"/>
      <c r="D417" s="51"/>
      <c r="E417" s="14"/>
      <c r="F417" s="342"/>
    </row>
    <row r="418" customFormat="false" ht="15" hidden="false" customHeight="false" outlineLevel="0" collapsed="false">
      <c r="A418" s="18" t="n">
        <v>14</v>
      </c>
      <c r="B418" s="50" t="s">
        <v>1391</v>
      </c>
      <c r="C418" s="16"/>
      <c r="D418" s="328"/>
      <c r="E418" s="86"/>
      <c r="F418" s="342"/>
    </row>
    <row r="419" customFormat="false" ht="17.35" hidden="false" customHeight="false" outlineLevel="0" collapsed="false">
      <c r="A419" s="18"/>
      <c r="B419" s="20" t="s">
        <v>22</v>
      </c>
      <c r="C419" s="21" t="n">
        <f aca="false">SUM(C405:C418)</f>
        <v>0</v>
      </c>
      <c r="D419" s="91" t="n">
        <f aca="false">SUM(D405:D418)</f>
        <v>0</v>
      </c>
      <c r="E419" s="96" t="n">
        <f aca="false">SUM(E405:E418)</f>
        <v>0</v>
      </c>
      <c r="F419" s="343"/>
    </row>
    <row r="420" customFormat="false" ht="17.35" hidden="false" customHeight="false" outlineLevel="0" collapsed="false">
      <c r="B420" s="36"/>
      <c r="C420" s="37"/>
      <c r="D420" s="331"/>
      <c r="E420" s="119"/>
    </row>
    <row r="421" customFormat="false" ht="17.35" hidden="false" customHeight="false" outlineLevel="0" collapsed="false">
      <c r="B421" s="36"/>
      <c r="C421" s="37"/>
      <c r="D421" s="331"/>
      <c r="E421" s="119"/>
    </row>
    <row r="422" customFormat="false" ht="17.35" hidden="false" customHeight="false" outlineLevel="0" collapsed="false">
      <c r="B422" s="36"/>
      <c r="C422" s="37"/>
      <c r="D422" s="331"/>
      <c r="E422" s="119"/>
    </row>
    <row r="423" customFormat="false" ht="17.35" hidden="false" customHeight="false" outlineLevel="0" collapsed="false">
      <c r="A423" s="40"/>
      <c r="B423" s="2" t="s">
        <v>504</v>
      </c>
    </row>
    <row r="424" customFormat="false" ht="17.35" hidden="false" customHeight="false" outlineLevel="0" collapsed="false">
      <c r="A424" s="62"/>
    </row>
    <row r="425" customFormat="false" ht="15" hidden="false" customHeight="false" outlineLevel="0" collapsed="false">
      <c r="A425" s="40"/>
    </row>
    <row r="426" customFormat="false" ht="17.25" hidden="false" customHeight="false" outlineLevel="0" collapsed="false">
      <c r="A426" s="40"/>
      <c r="B426" s="4" t="s">
        <v>198</v>
      </c>
    </row>
    <row r="427" customFormat="false" ht="15" hidden="false" customHeight="false" outlineLevel="0" collapsed="false">
      <c r="A427" s="40"/>
      <c r="D427" s="77" t="s">
        <v>4</v>
      </c>
    </row>
    <row r="428" customFormat="false" ht="15" hidden="false" customHeight="false" outlineLevel="0" collapsed="false">
      <c r="A428" s="40"/>
    </row>
    <row r="429" customFormat="false" ht="15" hidden="false" customHeight="false" outlineLevel="0" collapsed="false">
      <c r="A429" s="6" t="s">
        <v>5</v>
      </c>
      <c r="B429" s="7" t="s">
        <v>6</v>
      </c>
      <c r="C429" s="8" t="s">
        <v>7</v>
      </c>
      <c r="D429" s="9" t="s">
        <v>8</v>
      </c>
      <c r="E429" s="93" t="s">
        <v>9</v>
      </c>
      <c r="F429" s="344" t="s">
        <v>1349</v>
      </c>
    </row>
    <row r="430" customFormat="false" ht="15" hidden="false" customHeight="false" outlineLevel="0" collapsed="false">
      <c r="A430" s="49" t="n">
        <v>1</v>
      </c>
      <c r="B430" s="68" t="s">
        <v>223</v>
      </c>
      <c r="C430" s="16"/>
      <c r="D430" s="16"/>
      <c r="E430" s="86"/>
      <c r="F430" s="338"/>
    </row>
    <row r="431" customFormat="false" ht="15" hidden="false" customHeight="false" outlineLevel="0" collapsed="false">
      <c r="A431" s="49" t="n">
        <v>2</v>
      </c>
      <c r="B431" s="68" t="s">
        <v>224</v>
      </c>
      <c r="C431" s="16"/>
      <c r="D431" s="16"/>
      <c r="E431" s="86"/>
      <c r="F431" s="338"/>
    </row>
    <row r="432" customFormat="false" ht="15" hidden="false" customHeight="false" outlineLevel="0" collapsed="false">
      <c r="A432" s="72" t="n">
        <v>3</v>
      </c>
      <c r="B432" s="32" t="s">
        <v>229</v>
      </c>
      <c r="C432" s="16"/>
      <c r="D432" s="16"/>
      <c r="E432" s="86"/>
      <c r="F432" s="338"/>
    </row>
    <row r="433" customFormat="false" ht="15" hidden="false" customHeight="false" outlineLevel="0" collapsed="false">
      <c r="A433" s="18" t="n">
        <v>4</v>
      </c>
      <c r="B433" s="32" t="s">
        <v>230</v>
      </c>
      <c r="C433" s="16"/>
      <c r="D433" s="16"/>
      <c r="E433" s="86"/>
      <c r="F433" s="338"/>
    </row>
    <row r="434" customFormat="false" ht="15" hidden="false" customHeight="false" outlineLevel="0" collapsed="false">
      <c r="A434" s="72" t="n">
        <v>5</v>
      </c>
      <c r="B434" s="50" t="s">
        <v>1392</v>
      </c>
      <c r="C434" s="16"/>
      <c r="D434" s="16"/>
      <c r="E434" s="86"/>
      <c r="F434" s="338"/>
    </row>
    <row r="435" customFormat="false" ht="17.35" hidden="false" customHeight="false" outlineLevel="0" collapsed="false">
      <c r="A435" s="19"/>
      <c r="B435" s="20" t="s">
        <v>22</v>
      </c>
      <c r="C435" s="21" t="n">
        <f aca="false">SUM(C430:C434)</f>
        <v>0</v>
      </c>
      <c r="D435" s="91" t="n">
        <f aca="false">SUM(D430:D434)</f>
        <v>0</v>
      </c>
      <c r="E435" s="96" t="n">
        <f aca="false">SUM(E430:E434)</f>
        <v>0</v>
      </c>
      <c r="F435" s="339"/>
    </row>
    <row r="436" customFormat="false" ht="17.35" hidden="false" customHeight="false" outlineLevel="0" collapsed="false">
      <c r="B436" s="36"/>
      <c r="C436" s="37"/>
      <c r="D436" s="331"/>
      <c r="E436" s="119"/>
    </row>
    <row r="437" customFormat="false" ht="17.35" hidden="false" customHeight="false" outlineLevel="0" collapsed="false">
      <c r="B437" s="69"/>
      <c r="C437" s="58"/>
      <c r="D437" s="340"/>
      <c r="E437" s="341"/>
    </row>
    <row r="438" customFormat="false" ht="17.35" hidden="false" customHeight="false" outlineLevel="0" collapsed="false">
      <c r="A438" s="40"/>
      <c r="B438" s="2" t="s">
        <v>504</v>
      </c>
    </row>
    <row r="439" customFormat="false" ht="17.35" hidden="false" customHeight="false" outlineLevel="0" collapsed="false">
      <c r="A439" s="62"/>
    </row>
    <row r="440" customFormat="false" ht="15" hidden="false" customHeight="false" outlineLevel="0" collapsed="false">
      <c r="A440" s="40"/>
    </row>
    <row r="441" customFormat="false" ht="17.25" hidden="false" customHeight="false" outlineLevel="0" collapsed="false">
      <c r="A441" s="40"/>
      <c r="B441" s="4" t="s">
        <v>198</v>
      </c>
    </row>
    <row r="442" customFormat="false" ht="15" hidden="false" customHeight="false" outlineLevel="0" collapsed="false">
      <c r="A442" s="40"/>
      <c r="D442" s="77" t="s">
        <v>51</v>
      </c>
    </row>
    <row r="443" customFormat="false" ht="15" hidden="false" customHeight="false" outlineLevel="0" collapsed="false">
      <c r="A443" s="40"/>
    </row>
    <row r="444" customFormat="false" ht="15" hidden="false" customHeight="false" outlineLevel="0" collapsed="false">
      <c r="A444" s="6" t="s">
        <v>5</v>
      </c>
      <c r="B444" s="7" t="s">
        <v>6</v>
      </c>
      <c r="C444" s="8" t="s">
        <v>7</v>
      </c>
      <c r="D444" s="9" t="s">
        <v>8</v>
      </c>
      <c r="E444" s="93" t="s">
        <v>9</v>
      </c>
      <c r="F444" s="345" t="s">
        <v>1349</v>
      </c>
    </row>
    <row r="445" customFormat="false" ht="15" hidden="false" customHeight="false" outlineLevel="0" collapsed="false">
      <c r="A445" s="1" t="n">
        <v>1</v>
      </c>
      <c r="B445" s="50" t="s">
        <v>240</v>
      </c>
      <c r="C445" s="13"/>
      <c r="D445" s="13"/>
      <c r="E445" s="14"/>
      <c r="F445" s="338"/>
    </row>
    <row r="446" customFormat="false" ht="15" hidden="false" customHeight="false" outlineLevel="0" collapsed="false">
      <c r="A446" s="18" t="n">
        <v>2</v>
      </c>
      <c r="B446" s="32" t="s">
        <v>241</v>
      </c>
      <c r="C446" s="16"/>
      <c r="D446" s="16"/>
      <c r="E446" s="86"/>
      <c r="F446" s="338"/>
    </row>
    <row r="447" customFormat="false" ht="15" hidden="false" customHeight="false" outlineLevel="0" collapsed="false">
      <c r="A447" s="18" t="n">
        <v>3</v>
      </c>
      <c r="B447" s="50" t="s">
        <v>243</v>
      </c>
      <c r="C447" s="13"/>
      <c r="D447" s="13"/>
      <c r="E447" s="14"/>
      <c r="F447" s="338"/>
    </row>
    <row r="448" customFormat="false" ht="15" hidden="false" customHeight="false" outlineLevel="0" collapsed="false">
      <c r="A448" s="49" t="n">
        <v>4</v>
      </c>
      <c r="B448" s="68" t="s">
        <v>244</v>
      </c>
      <c r="C448" s="16"/>
      <c r="D448" s="16"/>
      <c r="E448" s="86"/>
      <c r="F448" s="338"/>
    </row>
    <row r="449" customFormat="false" ht="15" hidden="false" customHeight="false" outlineLevel="0" collapsed="false">
      <c r="A449" s="18" t="n">
        <v>5</v>
      </c>
      <c r="B449" s="32" t="s">
        <v>248</v>
      </c>
      <c r="C449" s="16"/>
      <c r="D449" s="16"/>
      <c r="E449" s="86"/>
      <c r="F449" s="338"/>
    </row>
    <row r="450" customFormat="false" ht="15" hidden="false" customHeight="false" outlineLevel="0" collapsed="false">
      <c r="A450" s="18" t="n">
        <v>6</v>
      </c>
      <c r="B450" s="32" t="s">
        <v>253</v>
      </c>
      <c r="C450" s="16"/>
      <c r="D450" s="16"/>
      <c r="E450" s="86"/>
      <c r="F450" s="338"/>
    </row>
    <row r="451" customFormat="false" ht="15" hidden="false" customHeight="false" outlineLevel="0" collapsed="false">
      <c r="A451" s="18" t="n">
        <v>7</v>
      </c>
      <c r="B451" s="68" t="s">
        <v>254</v>
      </c>
      <c r="C451" s="16"/>
      <c r="D451" s="16"/>
      <c r="E451" s="86"/>
      <c r="F451" s="338"/>
    </row>
    <row r="452" customFormat="false" ht="15" hidden="false" customHeight="false" outlineLevel="0" collapsed="false">
      <c r="A452" s="18" t="n">
        <v>8</v>
      </c>
      <c r="B452" s="50" t="s">
        <v>256</v>
      </c>
      <c r="C452" s="13"/>
      <c r="D452" s="13"/>
      <c r="E452" s="14"/>
      <c r="F452" s="338"/>
    </row>
    <row r="453" customFormat="false" ht="15" hidden="false" customHeight="false" outlineLevel="0" collapsed="false">
      <c r="A453" s="18" t="n">
        <v>9</v>
      </c>
      <c r="B453" s="50" t="s">
        <v>257</v>
      </c>
      <c r="C453" s="13"/>
      <c r="D453" s="13"/>
      <c r="E453" s="14"/>
      <c r="F453" s="338"/>
    </row>
    <row r="454" customFormat="false" ht="15" hidden="false" customHeight="false" outlineLevel="0" collapsed="false">
      <c r="A454" s="18" t="n">
        <v>10</v>
      </c>
      <c r="B454" s="68" t="s">
        <v>259</v>
      </c>
      <c r="C454" s="16"/>
      <c r="D454" s="16"/>
      <c r="E454" s="86"/>
      <c r="F454" s="338"/>
    </row>
    <row r="455" customFormat="false" ht="17.35" hidden="false" customHeight="false" outlineLevel="0" collapsed="false">
      <c r="A455" s="19"/>
      <c r="B455" s="20" t="s">
        <v>22</v>
      </c>
      <c r="C455" s="21" t="n">
        <f aca="false">SUM(C445:C454)</f>
        <v>0</v>
      </c>
      <c r="D455" s="91" t="n">
        <f aca="false">SUM(D445:D454)</f>
        <v>0</v>
      </c>
      <c r="E455" s="96" t="n">
        <f aca="false">SUM(E445:E454)</f>
        <v>0</v>
      </c>
      <c r="F455" s="339"/>
    </row>
    <row r="456" customFormat="false" ht="17.35" hidden="false" customHeight="false" outlineLevel="0" collapsed="false">
      <c r="B456" s="69"/>
      <c r="C456" s="58"/>
      <c r="D456" s="340"/>
      <c r="E456" s="341"/>
    </row>
    <row r="459" customFormat="false" ht="17.35" hidden="false" customHeight="false" outlineLevel="0" collapsed="false">
      <c r="A459" s="40"/>
      <c r="B459" s="2" t="s">
        <v>504</v>
      </c>
    </row>
    <row r="460" customFormat="false" ht="17.35" hidden="false" customHeight="false" outlineLevel="0" collapsed="false">
      <c r="A460" s="62"/>
    </row>
    <row r="461" customFormat="false" ht="15" hidden="false" customHeight="false" outlineLevel="0" collapsed="false">
      <c r="A461" s="40"/>
    </row>
    <row r="462" customFormat="false" ht="17.25" hidden="false" customHeight="false" outlineLevel="0" collapsed="false">
      <c r="A462" s="40"/>
      <c r="B462" s="4" t="s">
        <v>198</v>
      </c>
    </row>
    <row r="463" customFormat="false" ht="15" hidden="false" customHeight="false" outlineLevel="0" collapsed="false">
      <c r="A463" s="40"/>
      <c r="D463" s="77" t="s">
        <v>23</v>
      </c>
    </row>
    <row r="464" customFormat="false" ht="15" hidden="false" customHeight="false" outlineLevel="0" collapsed="false">
      <c r="A464" s="40"/>
    </row>
    <row r="465" customFormat="false" ht="15" hidden="false" customHeight="false" outlineLevel="0" collapsed="false">
      <c r="A465" s="6" t="s">
        <v>5</v>
      </c>
      <c r="B465" s="7" t="s">
        <v>6</v>
      </c>
      <c r="C465" s="8" t="s">
        <v>7</v>
      </c>
      <c r="D465" s="9" t="s">
        <v>8</v>
      </c>
      <c r="E465" s="93" t="s">
        <v>9</v>
      </c>
      <c r="F465" s="345" t="s">
        <v>1349</v>
      </c>
    </row>
    <row r="466" customFormat="false" ht="15" hidden="false" customHeight="false" outlineLevel="0" collapsed="false">
      <c r="A466" s="72" t="n">
        <v>1</v>
      </c>
      <c r="B466" s="32" t="s">
        <v>1393</v>
      </c>
      <c r="C466" s="16"/>
      <c r="D466" s="16"/>
      <c r="E466" s="86"/>
      <c r="F466" s="338"/>
    </row>
    <row r="467" customFormat="false" ht="15" hidden="false" customHeight="false" outlineLevel="0" collapsed="false">
      <c r="A467" s="72" t="n">
        <v>2</v>
      </c>
      <c r="B467" s="32" t="s">
        <v>1394</v>
      </c>
      <c r="C467" s="16"/>
      <c r="D467" s="16"/>
      <c r="E467" s="86"/>
      <c r="F467" s="338"/>
    </row>
    <row r="468" customFormat="false" ht="15" hidden="false" customHeight="false" outlineLevel="0" collapsed="false">
      <c r="A468" s="72" t="n">
        <v>3</v>
      </c>
      <c r="B468" s="32" t="s">
        <v>1395</v>
      </c>
      <c r="C468" s="16"/>
      <c r="D468" s="16"/>
      <c r="E468" s="86"/>
      <c r="F468" s="338"/>
    </row>
    <row r="469" customFormat="false" ht="15" hidden="false" customHeight="false" outlineLevel="0" collapsed="false">
      <c r="A469" s="18" t="n">
        <v>4</v>
      </c>
      <c r="B469" s="32" t="s">
        <v>1396</v>
      </c>
      <c r="C469" s="16"/>
      <c r="D469" s="16"/>
      <c r="E469" s="86"/>
      <c r="F469" s="338"/>
    </row>
    <row r="470" customFormat="false" ht="17.35" hidden="false" customHeight="false" outlineLevel="0" collapsed="false">
      <c r="A470" s="19"/>
      <c r="B470" s="20" t="s">
        <v>22</v>
      </c>
      <c r="C470" s="21" t="n">
        <f aca="false">SUM(C466:C469)</f>
        <v>0</v>
      </c>
      <c r="D470" s="91" t="n">
        <f aca="false">SUM(D466:D469)</f>
        <v>0</v>
      </c>
      <c r="E470" s="96" t="n">
        <f aca="false">SUM(E466:E469)</f>
        <v>0</v>
      </c>
      <c r="F470" s="339"/>
    </row>
    <row r="471" customFormat="false" ht="17.35" hidden="false" customHeight="false" outlineLevel="0" collapsed="false">
      <c r="B471" s="36"/>
      <c r="C471" s="37"/>
      <c r="D471" s="331"/>
      <c r="E471" s="119"/>
    </row>
    <row r="472" customFormat="false" ht="17.35" hidden="false" customHeight="false" outlineLevel="0" collapsed="false">
      <c r="B472" s="36"/>
      <c r="C472" s="37"/>
      <c r="D472" s="331"/>
      <c r="E472" s="119"/>
    </row>
    <row r="473" customFormat="false" ht="17.35" hidden="false" customHeight="false" outlineLevel="0" collapsed="false">
      <c r="B473" s="36"/>
      <c r="C473" s="37"/>
      <c r="D473" s="331"/>
      <c r="E473" s="119"/>
    </row>
    <row r="474" customFormat="false" ht="17.35" hidden="false" customHeight="false" outlineLevel="0" collapsed="false">
      <c r="B474" s="2" t="s">
        <v>504</v>
      </c>
    </row>
    <row r="475" customFormat="false" ht="15" hidden="false" customHeight="false" outlineLevel="0" collapsed="false">
      <c r="A475" s="40"/>
    </row>
    <row r="476" customFormat="false" ht="15" hidden="false" customHeight="false" outlineLevel="0" collapsed="false">
      <c r="A476" s="40"/>
    </row>
    <row r="477" customFormat="false" ht="17.25" hidden="false" customHeight="false" outlineLevel="0" collapsed="false">
      <c r="A477" s="40"/>
      <c r="B477" s="4" t="s">
        <v>261</v>
      </c>
    </row>
    <row r="478" customFormat="false" ht="15" hidden="false" customHeight="false" outlineLevel="0" collapsed="false">
      <c r="A478" s="40"/>
      <c r="E478" s="77" t="s">
        <v>4</v>
      </c>
    </row>
    <row r="479" customFormat="false" ht="15" hidden="false" customHeight="false" outlineLevel="0" collapsed="false">
      <c r="A479" s="40"/>
    </row>
    <row r="480" customFormat="false" ht="15" hidden="false" customHeight="false" outlineLevel="0" collapsed="false">
      <c r="A480" s="6" t="s">
        <v>5</v>
      </c>
      <c r="B480" s="7" t="s">
        <v>6</v>
      </c>
      <c r="C480" s="8" t="s">
        <v>7</v>
      </c>
      <c r="D480" s="9"/>
      <c r="E480" s="93" t="s">
        <v>9</v>
      </c>
      <c r="F480" s="345" t="s">
        <v>1349</v>
      </c>
    </row>
    <row r="481" customFormat="false" ht="15" hidden="false" customHeight="false" outlineLevel="0" collapsed="false">
      <c r="A481" s="18" t="n">
        <v>1</v>
      </c>
      <c r="B481" s="44" t="s">
        <v>273</v>
      </c>
      <c r="C481" s="16"/>
      <c r="D481" s="16"/>
      <c r="E481" s="86"/>
      <c r="F481" s="338"/>
    </row>
    <row r="482" customFormat="false" ht="15" hidden="false" customHeight="false" outlineLevel="0" collapsed="false">
      <c r="A482" s="18" t="n">
        <v>2</v>
      </c>
      <c r="B482" s="32" t="s">
        <v>274</v>
      </c>
      <c r="C482" s="16"/>
      <c r="D482" s="16"/>
      <c r="E482" s="86"/>
      <c r="F482" s="338"/>
    </row>
    <row r="483" customFormat="false" ht="15" hidden="false" customHeight="false" outlineLevel="0" collapsed="false">
      <c r="A483" s="56" t="n">
        <v>3</v>
      </c>
      <c r="B483" s="32" t="s">
        <v>275</v>
      </c>
      <c r="C483" s="16"/>
      <c r="D483" s="16"/>
      <c r="E483" s="86"/>
      <c r="F483" s="338"/>
    </row>
    <row r="484" customFormat="false" ht="15" hidden="false" customHeight="false" outlineLevel="0" collapsed="false">
      <c r="A484" s="18" t="n">
        <v>4</v>
      </c>
      <c r="B484" s="32" t="s">
        <v>276</v>
      </c>
      <c r="C484" s="16"/>
      <c r="D484" s="16"/>
      <c r="E484" s="86"/>
      <c r="F484" s="338"/>
    </row>
    <row r="485" customFormat="false" ht="15" hidden="false" customHeight="false" outlineLevel="0" collapsed="false">
      <c r="A485" s="18" t="n">
        <v>5</v>
      </c>
      <c r="B485" s="32" t="s">
        <v>277</v>
      </c>
      <c r="C485" s="16"/>
      <c r="D485" s="16"/>
      <c r="E485" s="86"/>
      <c r="F485" s="338"/>
    </row>
    <row r="486" customFormat="false" ht="15" hidden="false" customHeight="false" outlineLevel="0" collapsed="false">
      <c r="A486" s="18" t="n">
        <v>6</v>
      </c>
      <c r="B486" s="32" t="s">
        <v>278</v>
      </c>
      <c r="C486" s="16"/>
      <c r="D486" s="16"/>
      <c r="E486" s="86"/>
      <c r="F486" s="338"/>
    </row>
    <row r="487" customFormat="false" ht="15" hidden="false" customHeight="false" outlineLevel="0" collapsed="false">
      <c r="A487" s="18" t="n">
        <v>7</v>
      </c>
      <c r="B487" s="32" t="s">
        <v>279</v>
      </c>
      <c r="C487" s="16"/>
      <c r="D487" s="16"/>
      <c r="E487" s="86"/>
      <c r="F487" s="338"/>
    </row>
    <row r="488" customFormat="false" ht="15" hidden="false" customHeight="false" outlineLevel="0" collapsed="false">
      <c r="A488" s="18" t="n">
        <v>8</v>
      </c>
      <c r="B488" s="32" t="s">
        <v>280</v>
      </c>
      <c r="C488" s="16"/>
      <c r="D488" s="16"/>
      <c r="E488" s="86"/>
      <c r="F488" s="338"/>
    </row>
    <row r="489" customFormat="false" ht="15" hidden="false" customHeight="false" outlineLevel="0" collapsed="false">
      <c r="A489" s="18" t="n">
        <v>9</v>
      </c>
      <c r="B489" s="54" t="s">
        <v>281</v>
      </c>
      <c r="C489" s="16"/>
      <c r="D489" s="346"/>
      <c r="E489" s="86"/>
      <c r="F489" s="338"/>
    </row>
    <row r="490" customFormat="false" ht="15" hidden="false" customHeight="false" outlineLevel="0" collapsed="false">
      <c r="A490" s="18" t="n">
        <v>10</v>
      </c>
      <c r="B490" s="32" t="s">
        <v>282</v>
      </c>
      <c r="C490" s="16"/>
      <c r="D490" s="16"/>
      <c r="E490" s="86"/>
      <c r="F490" s="338"/>
    </row>
    <row r="491" customFormat="false" ht="15" hidden="false" customHeight="false" outlineLevel="0" collapsed="false">
      <c r="A491" s="18" t="n">
        <v>11</v>
      </c>
      <c r="B491" s="54" t="s">
        <v>283</v>
      </c>
      <c r="C491" s="16"/>
      <c r="D491" s="346"/>
      <c r="E491" s="86"/>
      <c r="F491" s="338"/>
    </row>
    <row r="492" customFormat="false" ht="15" hidden="false" customHeight="false" outlineLevel="0" collapsed="false">
      <c r="A492" s="18" t="n">
        <v>12</v>
      </c>
      <c r="B492" s="54" t="s">
        <v>285</v>
      </c>
      <c r="C492" s="16"/>
      <c r="D492" s="346"/>
      <c r="E492" s="86"/>
      <c r="F492" s="338"/>
    </row>
    <row r="493" customFormat="false" ht="15" hidden="false" customHeight="false" outlineLevel="0" collapsed="false">
      <c r="A493" s="18" t="n">
        <v>13</v>
      </c>
      <c r="B493" s="54" t="s">
        <v>286</v>
      </c>
      <c r="C493" s="16"/>
      <c r="D493" s="346"/>
      <c r="E493" s="86"/>
      <c r="F493" s="338"/>
    </row>
    <row r="494" customFormat="false" ht="15" hidden="false" customHeight="false" outlineLevel="0" collapsed="false">
      <c r="A494" s="18" t="n">
        <v>14</v>
      </c>
      <c r="B494" s="32" t="s">
        <v>287</v>
      </c>
      <c r="C494" s="16"/>
      <c r="D494" s="346"/>
      <c r="E494" s="86"/>
      <c r="F494" s="338"/>
    </row>
    <row r="495" customFormat="false" ht="15" hidden="false" customHeight="false" outlineLevel="0" collapsed="false">
      <c r="A495" s="18" t="n">
        <v>15</v>
      </c>
      <c r="B495" s="32" t="s">
        <v>288</v>
      </c>
      <c r="C495" s="16"/>
      <c r="D495" s="16"/>
      <c r="E495" s="86"/>
      <c r="F495" s="338"/>
    </row>
    <row r="496" customFormat="false" ht="15" hidden="false" customHeight="false" outlineLevel="0" collapsed="false">
      <c r="A496" s="18" t="n">
        <v>16</v>
      </c>
      <c r="B496" s="54" t="s">
        <v>289</v>
      </c>
      <c r="C496" s="16"/>
      <c r="D496" s="346"/>
      <c r="E496" s="86"/>
      <c r="F496" s="338"/>
    </row>
    <row r="497" customFormat="false" ht="15" hidden="false" customHeight="false" outlineLevel="0" collapsed="false">
      <c r="A497" s="18" t="n">
        <v>17</v>
      </c>
      <c r="B497" s="78" t="s">
        <v>1397</v>
      </c>
      <c r="C497" s="16"/>
      <c r="D497" s="346"/>
      <c r="E497" s="86"/>
      <c r="F497" s="338"/>
    </row>
    <row r="498" customFormat="false" ht="17.35" hidden="false" customHeight="false" outlineLevel="0" collapsed="false">
      <c r="A498" s="18"/>
      <c r="B498" s="20" t="s">
        <v>22</v>
      </c>
      <c r="C498" s="21" t="n">
        <f aca="false">SUM(C481:C497)</f>
        <v>0</v>
      </c>
      <c r="D498" s="91" t="n">
        <f aca="false">SUM(D481:D497)</f>
        <v>0</v>
      </c>
      <c r="E498" s="96" t="n">
        <f aca="false">SUM(E481:E497)</f>
        <v>0</v>
      </c>
      <c r="F498" s="339"/>
    </row>
    <row r="499" customFormat="false" ht="17.35" hidden="false" customHeight="false" outlineLevel="0" collapsed="false">
      <c r="B499" s="36"/>
      <c r="C499" s="37"/>
      <c r="D499" s="331"/>
      <c r="E499" s="119"/>
    </row>
    <row r="500" customFormat="false" ht="17.35" hidden="false" customHeight="false" outlineLevel="0" collapsed="false">
      <c r="B500" s="36"/>
      <c r="C500" s="37"/>
      <c r="D500" s="331"/>
      <c r="E500" s="119"/>
    </row>
    <row r="501" customFormat="false" ht="17.35" hidden="false" customHeight="false" outlineLevel="0" collapsed="false">
      <c r="B501" s="36"/>
      <c r="C501" s="37"/>
      <c r="D501" s="331"/>
      <c r="E501" s="119"/>
    </row>
    <row r="502" customFormat="false" ht="17.35" hidden="false" customHeight="false" outlineLevel="0" collapsed="false">
      <c r="B502" s="2" t="s">
        <v>504</v>
      </c>
    </row>
    <row r="503" customFormat="false" ht="15" hidden="false" customHeight="false" outlineLevel="0" collapsed="false">
      <c r="A503" s="40"/>
    </row>
    <row r="504" customFormat="false" ht="15" hidden="false" customHeight="false" outlineLevel="0" collapsed="false">
      <c r="A504" s="40"/>
    </row>
    <row r="505" customFormat="false" ht="17.25" hidden="false" customHeight="false" outlineLevel="0" collapsed="false">
      <c r="A505" s="40"/>
      <c r="B505" s="4" t="s">
        <v>261</v>
      </c>
    </row>
    <row r="506" customFormat="false" ht="15" hidden="false" customHeight="false" outlineLevel="0" collapsed="false">
      <c r="A506" s="40"/>
      <c r="E506" s="77" t="s">
        <v>51</v>
      </c>
    </row>
    <row r="507" customFormat="false" ht="15" hidden="false" customHeight="false" outlineLevel="0" collapsed="false">
      <c r="A507" s="40"/>
    </row>
    <row r="508" customFormat="false" ht="15" hidden="false" customHeight="false" outlineLevel="0" collapsed="false">
      <c r="A508" s="6" t="s">
        <v>5</v>
      </c>
      <c r="B508" s="7" t="s">
        <v>6</v>
      </c>
      <c r="C508" s="8" t="s">
        <v>7</v>
      </c>
      <c r="D508" s="9" t="s">
        <v>8</v>
      </c>
      <c r="E508" s="93" t="s">
        <v>9</v>
      </c>
      <c r="F508" s="345" t="s">
        <v>1349</v>
      </c>
    </row>
    <row r="509" customFormat="false" ht="15" hidden="false" customHeight="false" outlineLevel="0" collapsed="false">
      <c r="A509" s="18" t="n">
        <v>1</v>
      </c>
      <c r="B509" s="32" t="s">
        <v>290</v>
      </c>
      <c r="C509" s="16"/>
      <c r="D509" s="16"/>
      <c r="E509" s="86"/>
      <c r="F509" s="338"/>
    </row>
    <row r="510" customFormat="false" ht="15" hidden="false" customHeight="false" outlineLevel="0" collapsed="false">
      <c r="A510" s="18" t="n">
        <v>2</v>
      </c>
      <c r="B510" s="32" t="s">
        <v>291</v>
      </c>
      <c r="C510" s="16"/>
      <c r="D510" s="16"/>
      <c r="E510" s="86"/>
      <c r="F510" s="338"/>
    </row>
    <row r="511" customFormat="false" ht="15" hidden="false" customHeight="false" outlineLevel="0" collapsed="false">
      <c r="A511" s="18" t="n">
        <v>3</v>
      </c>
      <c r="B511" s="32" t="s">
        <v>296</v>
      </c>
      <c r="C511" s="16"/>
      <c r="D511" s="16"/>
      <c r="E511" s="86"/>
      <c r="F511" s="338"/>
    </row>
    <row r="512" customFormat="false" ht="15" hidden="false" customHeight="false" outlineLevel="0" collapsed="false">
      <c r="A512" s="18" t="n">
        <v>4</v>
      </c>
      <c r="B512" s="32" t="s">
        <v>297</v>
      </c>
      <c r="C512" s="16"/>
      <c r="D512" s="16"/>
      <c r="E512" s="86"/>
      <c r="F512" s="338"/>
    </row>
    <row r="513" customFormat="false" ht="15" hidden="false" customHeight="false" outlineLevel="0" collapsed="false">
      <c r="A513" s="18" t="n">
        <v>5</v>
      </c>
      <c r="B513" s="78" t="s">
        <v>298</v>
      </c>
      <c r="C513" s="16"/>
      <c r="D513" s="346"/>
      <c r="E513" s="86"/>
      <c r="F513" s="338"/>
    </row>
    <row r="514" customFormat="false" ht="15" hidden="false" customHeight="false" outlineLevel="0" collapsed="false">
      <c r="A514" s="18" t="n">
        <v>6</v>
      </c>
      <c r="B514" s="54" t="s">
        <v>300</v>
      </c>
      <c r="C514" s="16"/>
      <c r="D514" s="346"/>
      <c r="E514" s="86"/>
      <c r="F514" s="338"/>
    </row>
    <row r="515" customFormat="false" ht="15" hidden="false" customHeight="false" outlineLevel="0" collapsed="false">
      <c r="A515" s="18" t="n">
        <v>7</v>
      </c>
      <c r="B515" s="54" t="s">
        <v>302</v>
      </c>
      <c r="C515" s="16"/>
      <c r="D515" s="346"/>
      <c r="E515" s="86"/>
      <c r="F515" s="338"/>
    </row>
    <row r="516" customFormat="false" ht="15" hidden="false" customHeight="false" outlineLevel="0" collapsed="false">
      <c r="A516" s="18" t="n">
        <v>8</v>
      </c>
      <c r="B516" s="54" t="s">
        <v>299</v>
      </c>
      <c r="C516" s="16"/>
      <c r="D516" s="346"/>
      <c r="E516" s="86"/>
      <c r="F516" s="338"/>
    </row>
    <row r="517" customFormat="false" ht="15" hidden="false" customHeight="false" outlineLevel="0" collapsed="false">
      <c r="A517" s="18" t="n">
        <v>9</v>
      </c>
      <c r="B517" s="54" t="s">
        <v>305</v>
      </c>
      <c r="C517" s="16"/>
      <c r="D517" s="346"/>
      <c r="E517" s="86"/>
      <c r="F517" s="338"/>
    </row>
    <row r="518" customFormat="false" ht="17.35" hidden="false" customHeight="false" outlineLevel="0" collapsed="false">
      <c r="A518" s="18"/>
      <c r="B518" s="20" t="s">
        <v>22</v>
      </c>
      <c r="C518" s="21" t="n">
        <f aca="false">SUM(C509:C517)</f>
        <v>0</v>
      </c>
      <c r="D518" s="91" t="n">
        <f aca="false">SUM(D509:D517)</f>
        <v>0</v>
      </c>
      <c r="E518" s="96" t="n">
        <f aca="false">SUM(E509:E517)</f>
        <v>0</v>
      </c>
      <c r="F518" s="339"/>
    </row>
    <row r="519" customFormat="false" ht="17.35" hidden="false" customHeight="false" outlineLevel="0" collapsed="false">
      <c r="B519" s="36"/>
      <c r="C519" s="37"/>
      <c r="D519" s="331"/>
      <c r="E519" s="119"/>
    </row>
    <row r="521" customFormat="false" ht="17.35" hidden="false" customHeight="false" outlineLevel="0" collapsed="false">
      <c r="B521" s="2" t="s">
        <v>504</v>
      </c>
    </row>
    <row r="522" customFormat="false" ht="15" hidden="false" customHeight="false" outlineLevel="0" collapsed="false">
      <c r="A522" s="40"/>
    </row>
    <row r="523" customFormat="false" ht="15" hidden="false" customHeight="false" outlineLevel="0" collapsed="false">
      <c r="A523" s="40"/>
      <c r="B523" s="77" t="s">
        <v>23</v>
      </c>
    </row>
    <row r="524" customFormat="false" ht="17.25" hidden="false" customHeight="false" outlineLevel="0" collapsed="false">
      <c r="A524" s="40"/>
      <c r="B524" s="4" t="s">
        <v>261</v>
      </c>
    </row>
    <row r="525" customFormat="false" ht="15" hidden="false" customHeight="false" outlineLevel="0" collapsed="false">
      <c r="A525" s="40"/>
    </row>
    <row r="526" customFormat="false" ht="15" hidden="false" customHeight="false" outlineLevel="0" collapsed="false">
      <c r="A526" s="40"/>
    </row>
    <row r="527" customFormat="false" ht="15" hidden="false" customHeight="false" outlineLevel="0" collapsed="false">
      <c r="A527" s="6" t="s">
        <v>5</v>
      </c>
      <c r="B527" s="7" t="s">
        <v>6</v>
      </c>
      <c r="C527" s="8" t="s">
        <v>7</v>
      </c>
      <c r="D527" s="9" t="s">
        <v>8</v>
      </c>
      <c r="E527" s="93" t="s">
        <v>9</v>
      </c>
      <c r="F527" s="345" t="s">
        <v>1349</v>
      </c>
    </row>
    <row r="528" customFormat="false" ht="15" hidden="false" customHeight="false" outlineLevel="0" collapsed="false">
      <c r="A528" s="18" t="n">
        <v>1</v>
      </c>
      <c r="B528" s="32" t="s">
        <v>1398</v>
      </c>
      <c r="C528" s="16"/>
      <c r="D528" s="16"/>
      <c r="E528" s="86"/>
      <c r="F528" s="338"/>
    </row>
    <row r="529" customFormat="false" ht="15" hidden="false" customHeight="false" outlineLevel="0" collapsed="false">
      <c r="A529" s="18" t="n">
        <v>2</v>
      </c>
      <c r="B529" s="32" t="s">
        <v>1399</v>
      </c>
      <c r="C529" s="16"/>
      <c r="D529" s="16"/>
      <c r="E529" s="86"/>
      <c r="F529" s="338"/>
    </row>
    <row r="530" customFormat="false" ht="15" hidden="false" customHeight="false" outlineLevel="0" collapsed="false">
      <c r="A530" s="18" t="n">
        <v>3</v>
      </c>
      <c r="B530" s="32" t="s">
        <v>1400</v>
      </c>
      <c r="C530" s="16"/>
      <c r="D530" s="16"/>
      <c r="E530" s="86"/>
      <c r="F530" s="338"/>
    </row>
    <row r="531" customFormat="false" ht="15" hidden="false" customHeight="false" outlineLevel="0" collapsed="false">
      <c r="A531" s="18" t="n">
        <v>4</v>
      </c>
      <c r="B531" s="68" t="s">
        <v>1401</v>
      </c>
      <c r="C531" s="16"/>
      <c r="D531" s="16"/>
      <c r="E531" s="86"/>
      <c r="F531" s="338"/>
    </row>
    <row r="532" customFormat="false" ht="15" hidden="false" customHeight="false" outlineLevel="0" collapsed="false">
      <c r="A532" s="18" t="n">
        <v>5</v>
      </c>
      <c r="B532" s="32" t="s">
        <v>1402</v>
      </c>
      <c r="C532" s="16"/>
      <c r="D532" s="16"/>
      <c r="E532" s="86"/>
      <c r="F532" s="338"/>
    </row>
    <row r="533" customFormat="false" ht="15" hidden="false" customHeight="false" outlineLevel="0" collapsed="false">
      <c r="A533" s="18" t="n">
        <v>6</v>
      </c>
      <c r="B533" s="32" t="s">
        <v>1403</v>
      </c>
      <c r="C533" s="16"/>
      <c r="D533" s="16"/>
      <c r="E533" s="86"/>
      <c r="F533" s="338"/>
    </row>
    <row r="534" customFormat="false" ht="15" hidden="false" customHeight="false" outlineLevel="0" collapsed="false">
      <c r="A534" s="18" t="n">
        <v>7</v>
      </c>
      <c r="B534" s="32" t="s">
        <v>1404</v>
      </c>
      <c r="C534" s="16"/>
      <c r="D534" s="16"/>
      <c r="E534" s="86"/>
      <c r="F534" s="338"/>
    </row>
    <row r="535" customFormat="false" ht="15" hidden="false" customHeight="false" outlineLevel="0" collapsed="false">
      <c r="A535" s="18" t="n">
        <v>8</v>
      </c>
      <c r="B535" s="54" t="s">
        <v>1405</v>
      </c>
      <c r="C535" s="16"/>
      <c r="D535" s="346"/>
      <c r="E535" s="86"/>
      <c r="F535" s="338"/>
    </row>
    <row r="536" customFormat="false" ht="15" hidden="false" customHeight="false" outlineLevel="0" collapsed="false">
      <c r="A536" s="18" t="n">
        <v>9</v>
      </c>
      <c r="B536" s="54" t="s">
        <v>1406</v>
      </c>
      <c r="C536" s="16"/>
      <c r="D536" s="346"/>
      <c r="E536" s="86"/>
      <c r="F536" s="338"/>
    </row>
    <row r="537" customFormat="false" ht="15" hidden="false" customHeight="false" outlineLevel="0" collapsed="false">
      <c r="A537" s="18" t="n">
        <v>10</v>
      </c>
      <c r="B537" s="54" t="s">
        <v>1407</v>
      </c>
      <c r="C537" s="16"/>
      <c r="D537" s="346"/>
      <c r="E537" s="86"/>
      <c r="F537" s="338"/>
    </row>
    <row r="538" customFormat="false" ht="15" hidden="false" customHeight="false" outlineLevel="0" collapsed="false">
      <c r="A538" s="18" t="n">
        <v>12</v>
      </c>
      <c r="B538" s="54" t="s">
        <v>1408</v>
      </c>
      <c r="C538" s="16"/>
      <c r="D538" s="346"/>
      <c r="E538" s="86"/>
      <c r="F538" s="338"/>
    </row>
    <row r="539" customFormat="false" ht="15" hidden="false" customHeight="false" outlineLevel="0" collapsed="false">
      <c r="A539" s="56" t="n">
        <v>13</v>
      </c>
      <c r="B539" s="54" t="s">
        <v>1409</v>
      </c>
      <c r="C539" s="16"/>
      <c r="D539" s="346"/>
      <c r="E539" s="86"/>
      <c r="F539" s="338"/>
    </row>
    <row r="540" customFormat="false" ht="17.35" hidden="false" customHeight="false" outlineLevel="0" collapsed="false">
      <c r="A540" s="56"/>
      <c r="B540" s="20" t="s">
        <v>22</v>
      </c>
      <c r="C540" s="21" t="n">
        <f aca="false">SUM(C528:C539)</f>
        <v>0</v>
      </c>
      <c r="D540" s="91" t="n">
        <f aca="false">SUM(D528:D539)</f>
        <v>0</v>
      </c>
      <c r="E540" s="96" t="n">
        <f aca="false">SUM(E528:E539)</f>
        <v>0</v>
      </c>
      <c r="F540" s="339"/>
    </row>
    <row r="544" customFormat="false" ht="17.35" hidden="false" customHeight="false" outlineLevel="0" collapsed="false">
      <c r="A544" s="40"/>
      <c r="B544" s="2" t="s">
        <v>504</v>
      </c>
    </row>
    <row r="545" customFormat="false" ht="17.35" hidden="false" customHeight="false" outlineLevel="0" collapsed="false">
      <c r="A545" s="62"/>
    </row>
    <row r="546" customFormat="false" ht="15" hidden="false" customHeight="false" outlineLevel="0" collapsed="false">
      <c r="A546" s="40"/>
    </row>
    <row r="547" customFormat="false" ht="17.25" hidden="false" customHeight="false" outlineLevel="0" collapsed="false">
      <c r="A547" s="40"/>
      <c r="B547" s="4" t="s">
        <v>306</v>
      </c>
    </row>
    <row r="548" customFormat="false" ht="15" hidden="false" customHeight="false" outlineLevel="0" collapsed="false">
      <c r="A548" s="40"/>
      <c r="D548" s="77" t="s">
        <v>4</v>
      </c>
    </row>
    <row r="549" customFormat="false" ht="15" hidden="false" customHeight="false" outlineLevel="0" collapsed="false">
      <c r="A549" s="40"/>
    </row>
    <row r="550" customFormat="false" ht="15" hidden="false" customHeight="false" outlineLevel="0" collapsed="false">
      <c r="A550" s="6" t="s">
        <v>5</v>
      </c>
      <c r="B550" s="7" t="s">
        <v>6</v>
      </c>
      <c r="C550" s="8" t="s">
        <v>7</v>
      </c>
      <c r="D550" s="9" t="s">
        <v>8</v>
      </c>
      <c r="E550" s="93" t="s">
        <v>9</v>
      </c>
      <c r="F550" s="345" t="s">
        <v>1349</v>
      </c>
    </row>
    <row r="551" customFormat="false" ht="15" hidden="false" customHeight="false" outlineLevel="0" collapsed="false">
      <c r="A551" s="18" t="n">
        <v>1</v>
      </c>
      <c r="B551" s="32" t="s">
        <v>308</v>
      </c>
      <c r="C551" s="16"/>
      <c r="D551" s="16"/>
      <c r="E551" s="86"/>
      <c r="F551" s="338"/>
    </row>
    <row r="552" customFormat="false" ht="15" hidden="false" customHeight="false" outlineLevel="0" collapsed="false">
      <c r="A552" s="18" t="n">
        <v>2</v>
      </c>
      <c r="B552" s="32" t="s">
        <v>309</v>
      </c>
      <c r="C552" s="16"/>
      <c r="D552" s="16"/>
      <c r="E552" s="86"/>
      <c r="F552" s="338"/>
    </row>
    <row r="553" customFormat="false" ht="15" hidden="false" customHeight="false" outlineLevel="0" collapsed="false">
      <c r="A553" s="49" t="n">
        <v>3</v>
      </c>
      <c r="B553" s="32" t="s">
        <v>310</v>
      </c>
      <c r="C553" s="16"/>
      <c r="D553" s="16"/>
      <c r="E553" s="86"/>
      <c r="F553" s="338"/>
    </row>
    <row r="554" customFormat="false" ht="15" hidden="false" customHeight="false" outlineLevel="0" collapsed="false">
      <c r="A554" s="49" t="n">
        <v>4</v>
      </c>
      <c r="B554" s="32" t="s">
        <v>312</v>
      </c>
      <c r="C554" s="16"/>
      <c r="D554" s="16"/>
      <c r="E554" s="86"/>
      <c r="F554" s="338"/>
    </row>
    <row r="555" customFormat="false" ht="15" hidden="false" customHeight="false" outlineLevel="0" collapsed="false">
      <c r="A555" s="49" t="n">
        <v>5</v>
      </c>
      <c r="B555" s="32" t="s">
        <v>314</v>
      </c>
      <c r="C555" s="16"/>
      <c r="D555" s="16"/>
      <c r="E555" s="86"/>
      <c r="F555" s="338"/>
    </row>
    <row r="556" customFormat="false" ht="15" hidden="false" customHeight="false" outlineLevel="0" collapsed="false">
      <c r="A556" s="18" t="n">
        <v>6</v>
      </c>
      <c r="B556" s="32" t="s">
        <v>316</v>
      </c>
      <c r="C556" s="16"/>
      <c r="D556" s="16"/>
      <c r="E556" s="86"/>
      <c r="F556" s="338"/>
    </row>
    <row r="557" customFormat="false" ht="15" hidden="false" customHeight="false" outlineLevel="0" collapsed="false">
      <c r="A557" s="18" t="n">
        <v>7</v>
      </c>
      <c r="B557" s="32" t="s">
        <v>317</v>
      </c>
      <c r="C557" s="16"/>
      <c r="D557" s="16"/>
      <c r="E557" s="86"/>
      <c r="F557" s="338"/>
    </row>
    <row r="558" customFormat="false" ht="15" hidden="false" customHeight="false" outlineLevel="0" collapsed="false">
      <c r="A558" s="72" t="n">
        <v>8</v>
      </c>
      <c r="B558" s="32" t="s">
        <v>318</v>
      </c>
      <c r="C558" s="16"/>
      <c r="D558" s="16"/>
      <c r="E558" s="86"/>
      <c r="F558" s="338"/>
    </row>
    <row r="559" customFormat="false" ht="15" hidden="false" customHeight="false" outlineLevel="0" collapsed="false">
      <c r="A559" s="72" t="n">
        <v>9</v>
      </c>
      <c r="B559" s="32" t="s">
        <v>319</v>
      </c>
      <c r="C559" s="16"/>
      <c r="D559" s="16"/>
      <c r="E559" s="86"/>
      <c r="F559" s="342"/>
    </row>
    <row r="560" customFormat="false" ht="15" hidden="false" customHeight="false" outlineLevel="0" collapsed="false">
      <c r="A560" s="72" t="n">
        <v>10</v>
      </c>
      <c r="B560" s="32" t="s">
        <v>320</v>
      </c>
      <c r="C560" s="16"/>
      <c r="D560" s="16"/>
      <c r="E560" s="86"/>
      <c r="F560" s="338"/>
    </row>
    <row r="561" customFormat="false" ht="17.35" hidden="false" customHeight="false" outlineLevel="0" collapsed="false">
      <c r="A561" s="19"/>
      <c r="B561" s="20" t="s">
        <v>22</v>
      </c>
      <c r="C561" s="21" t="n">
        <f aca="false">SUM(C551:C560)</f>
        <v>0</v>
      </c>
      <c r="D561" s="91" t="n">
        <f aca="false">SUM(D551:D560)</f>
        <v>0</v>
      </c>
      <c r="E561" s="96" t="n">
        <f aca="false">SUM(E551:E560)</f>
        <v>0</v>
      </c>
      <c r="F561" s="339"/>
    </row>
    <row r="564" customFormat="false" ht="15" hidden="false" customHeight="false" outlineLevel="0" collapsed="false">
      <c r="A564" s="158"/>
    </row>
    <row r="565" customFormat="false" ht="15" hidden="false" customHeight="false" outlineLevel="0" collapsed="false">
      <c r="A565" s="46"/>
    </row>
    <row r="566" customFormat="false" ht="17.35" hidden="false" customHeight="false" outlineLevel="0" collapsed="false">
      <c r="A566" s="40"/>
      <c r="B566" s="2" t="s">
        <v>504</v>
      </c>
    </row>
    <row r="567" customFormat="false" ht="17.35" hidden="false" customHeight="false" outlineLevel="0" collapsed="false">
      <c r="A567" s="62"/>
    </row>
    <row r="568" customFormat="false" ht="15" hidden="false" customHeight="false" outlineLevel="0" collapsed="false">
      <c r="A568" s="40"/>
    </row>
    <row r="569" customFormat="false" ht="17.25" hidden="false" customHeight="false" outlineLevel="0" collapsed="false">
      <c r="A569" s="40"/>
      <c r="B569" s="4" t="s">
        <v>306</v>
      </c>
    </row>
    <row r="570" customFormat="false" ht="15" hidden="false" customHeight="false" outlineLevel="0" collapsed="false">
      <c r="A570" s="40"/>
      <c r="D570" s="77" t="s">
        <v>51</v>
      </c>
    </row>
    <row r="571" customFormat="false" ht="15" hidden="false" customHeight="false" outlineLevel="0" collapsed="false">
      <c r="A571" s="40"/>
    </row>
    <row r="572" customFormat="false" ht="15" hidden="false" customHeight="false" outlineLevel="0" collapsed="false">
      <c r="A572" s="6" t="s">
        <v>5</v>
      </c>
      <c r="B572" s="7" t="s">
        <v>6</v>
      </c>
      <c r="C572" s="8" t="s">
        <v>7</v>
      </c>
      <c r="D572" s="9" t="s">
        <v>8</v>
      </c>
      <c r="E572" s="93" t="s">
        <v>9</v>
      </c>
      <c r="F572" s="345" t="s">
        <v>1349</v>
      </c>
    </row>
    <row r="573" customFormat="false" ht="15" hidden="false" customHeight="false" outlineLevel="0" collapsed="false">
      <c r="A573" s="49" t="n">
        <v>1</v>
      </c>
      <c r="B573" s="32" t="s">
        <v>443</v>
      </c>
      <c r="C573" s="16"/>
      <c r="D573" s="16"/>
      <c r="E573" s="86"/>
      <c r="F573" s="338"/>
    </row>
    <row r="574" customFormat="false" ht="15" hidden="false" customHeight="false" outlineLevel="0" collapsed="false">
      <c r="A574" s="18" t="n">
        <v>2</v>
      </c>
      <c r="B574" s="44" t="s">
        <v>444</v>
      </c>
      <c r="C574" s="16"/>
      <c r="D574" s="16"/>
      <c r="E574" s="86"/>
      <c r="F574" s="338"/>
    </row>
    <row r="575" customFormat="false" ht="15" hidden="false" customHeight="false" outlineLevel="0" collapsed="false">
      <c r="A575" s="18" t="n">
        <v>3</v>
      </c>
      <c r="B575" s="32" t="s">
        <v>445</v>
      </c>
      <c r="C575" s="16"/>
      <c r="D575" s="16"/>
      <c r="E575" s="86"/>
      <c r="F575" s="338"/>
    </row>
    <row r="576" customFormat="false" ht="15" hidden="false" customHeight="false" outlineLevel="0" collapsed="false">
      <c r="A576" s="49" t="n">
        <v>4</v>
      </c>
      <c r="B576" s="32" t="s">
        <v>446</v>
      </c>
      <c r="C576" s="16"/>
      <c r="D576" s="16"/>
      <c r="E576" s="86"/>
      <c r="F576" s="338"/>
    </row>
    <row r="577" customFormat="false" ht="15" hidden="false" customHeight="false" outlineLevel="0" collapsed="false">
      <c r="A577" s="18" t="n">
        <v>5</v>
      </c>
      <c r="B577" s="32" t="s">
        <v>447</v>
      </c>
      <c r="C577" s="16"/>
      <c r="D577" s="16"/>
      <c r="E577" s="86"/>
      <c r="F577" s="338"/>
    </row>
    <row r="578" customFormat="false" ht="15" hidden="false" customHeight="false" outlineLevel="0" collapsed="false">
      <c r="A578" s="49" t="n">
        <v>6</v>
      </c>
      <c r="B578" s="32" t="s">
        <v>448</v>
      </c>
      <c r="C578" s="16"/>
      <c r="D578" s="16"/>
      <c r="E578" s="86"/>
      <c r="F578" s="338"/>
    </row>
    <row r="579" customFormat="false" ht="15" hidden="false" customHeight="false" outlineLevel="0" collapsed="false">
      <c r="A579" s="56" t="n">
        <v>7</v>
      </c>
      <c r="B579" s="32" t="s">
        <v>449</v>
      </c>
      <c r="C579" s="16"/>
      <c r="D579" s="16"/>
      <c r="E579" s="86"/>
      <c r="F579" s="338"/>
    </row>
    <row r="580" customFormat="false" ht="15" hidden="false" customHeight="false" outlineLevel="0" collapsed="false">
      <c r="A580" s="72" t="n">
        <v>8</v>
      </c>
      <c r="B580" s="32" t="s">
        <v>450</v>
      </c>
      <c r="C580" s="16"/>
      <c r="D580" s="16"/>
      <c r="E580" s="86"/>
      <c r="F580" s="338"/>
    </row>
    <row r="581" customFormat="false" ht="15" hidden="false" customHeight="false" outlineLevel="0" collapsed="false">
      <c r="A581" s="49" t="n">
        <v>9</v>
      </c>
      <c r="B581" s="32" t="s">
        <v>451</v>
      </c>
      <c r="C581" s="16"/>
      <c r="D581" s="16"/>
      <c r="E581" s="86"/>
      <c r="F581" s="338"/>
    </row>
    <row r="582" customFormat="false" ht="15" hidden="false" customHeight="false" outlineLevel="0" collapsed="false">
      <c r="A582" s="49" t="n">
        <v>10</v>
      </c>
      <c r="B582" s="44" t="s">
        <v>452</v>
      </c>
      <c r="C582" s="16"/>
      <c r="D582" s="16"/>
      <c r="E582" s="86"/>
      <c r="F582" s="338"/>
    </row>
    <row r="583" customFormat="false" ht="15" hidden="false" customHeight="false" outlineLevel="0" collapsed="false">
      <c r="A583" s="49" t="n">
        <v>11</v>
      </c>
      <c r="B583" s="32" t="s">
        <v>453</v>
      </c>
      <c r="C583" s="16"/>
      <c r="D583" s="16"/>
      <c r="E583" s="86"/>
      <c r="F583" s="338"/>
    </row>
    <row r="584" customFormat="false" ht="15" hidden="false" customHeight="false" outlineLevel="0" collapsed="false">
      <c r="A584" s="18" t="n">
        <v>12</v>
      </c>
      <c r="B584" s="32" t="s">
        <v>455</v>
      </c>
      <c r="C584" s="16"/>
      <c r="D584" s="16"/>
      <c r="E584" s="86"/>
      <c r="F584" s="338"/>
    </row>
    <row r="585" customFormat="false" ht="15" hidden="false" customHeight="false" outlineLevel="0" collapsed="false">
      <c r="A585" s="72" t="n">
        <v>13</v>
      </c>
      <c r="B585" s="32" t="s">
        <v>456</v>
      </c>
      <c r="C585" s="16"/>
      <c r="D585" s="16"/>
      <c r="E585" s="86"/>
      <c r="F585" s="338"/>
    </row>
    <row r="586" customFormat="false" ht="15" hidden="false" customHeight="false" outlineLevel="0" collapsed="false">
      <c r="A586" s="72" t="n">
        <v>14</v>
      </c>
      <c r="B586" s="32" t="s">
        <v>457</v>
      </c>
      <c r="C586" s="16"/>
      <c r="D586" s="16"/>
      <c r="E586" s="86"/>
      <c r="F586" s="338"/>
    </row>
    <row r="587" customFormat="false" ht="15" hidden="false" customHeight="false" outlineLevel="0" collapsed="false">
      <c r="A587" s="72" t="n">
        <v>15</v>
      </c>
      <c r="B587" s="32" t="s">
        <v>458</v>
      </c>
      <c r="C587" s="16"/>
      <c r="D587" s="16"/>
      <c r="E587" s="86"/>
      <c r="F587" s="338"/>
    </row>
    <row r="588" customFormat="false" ht="15" hidden="false" customHeight="false" outlineLevel="0" collapsed="false">
      <c r="A588" s="72" t="n">
        <v>16</v>
      </c>
      <c r="B588" s="32" t="s">
        <v>459</v>
      </c>
      <c r="C588" s="16"/>
      <c r="D588" s="16"/>
      <c r="E588" s="86"/>
      <c r="F588" s="338"/>
    </row>
    <row r="589" customFormat="false" ht="15" hidden="false" customHeight="false" outlineLevel="0" collapsed="false">
      <c r="A589" s="72" t="n">
        <v>17</v>
      </c>
      <c r="B589" s="44" t="s">
        <v>460</v>
      </c>
      <c r="C589" s="16"/>
      <c r="D589" s="16"/>
      <c r="E589" s="86"/>
      <c r="F589" s="338"/>
    </row>
    <row r="590" customFormat="false" ht="15" hidden="false" customHeight="false" outlineLevel="0" collapsed="false">
      <c r="A590" s="72" t="n">
        <v>18</v>
      </c>
      <c r="B590" s="32" t="s">
        <v>461</v>
      </c>
      <c r="C590" s="16"/>
      <c r="D590" s="16"/>
      <c r="E590" s="86"/>
      <c r="F590" s="338"/>
    </row>
    <row r="591" customFormat="false" ht="15" hidden="false" customHeight="false" outlineLevel="0" collapsed="false">
      <c r="A591" s="72" t="n">
        <v>19</v>
      </c>
      <c r="B591" s="32" t="s">
        <v>462</v>
      </c>
      <c r="C591" s="16"/>
      <c r="D591" s="16"/>
      <c r="E591" s="86"/>
      <c r="F591" s="338"/>
    </row>
    <row r="592" customFormat="false" ht="15" hidden="false" customHeight="false" outlineLevel="0" collapsed="false">
      <c r="A592" s="72" t="n">
        <v>20</v>
      </c>
      <c r="B592" s="32" t="s">
        <v>463</v>
      </c>
      <c r="C592" s="16"/>
      <c r="D592" s="16"/>
      <c r="E592" s="86"/>
      <c r="F592" s="338"/>
    </row>
    <row r="593" customFormat="false" ht="15" hidden="false" customHeight="false" outlineLevel="0" collapsed="false">
      <c r="A593" s="72" t="n">
        <v>21</v>
      </c>
      <c r="B593" s="32" t="s">
        <v>464</v>
      </c>
      <c r="C593" s="16"/>
      <c r="D593" s="16"/>
      <c r="E593" s="86"/>
      <c r="F593" s="338"/>
    </row>
    <row r="594" customFormat="false" ht="15" hidden="false" customHeight="false" outlineLevel="0" collapsed="false">
      <c r="A594" s="72" t="n">
        <v>22</v>
      </c>
      <c r="B594" s="44" t="s">
        <v>465</v>
      </c>
      <c r="C594" s="16"/>
      <c r="D594" s="16"/>
      <c r="E594" s="86"/>
      <c r="F594" s="338"/>
    </row>
    <row r="595" customFormat="false" ht="15" hidden="false" customHeight="false" outlineLevel="0" collapsed="false">
      <c r="A595" s="72" t="n">
        <v>23</v>
      </c>
      <c r="B595" s="32" t="s">
        <v>466</v>
      </c>
      <c r="C595" s="16"/>
      <c r="D595" s="16"/>
      <c r="E595" s="86"/>
      <c r="F595" s="338"/>
    </row>
    <row r="596" customFormat="false" ht="15" hidden="false" customHeight="false" outlineLevel="0" collapsed="false">
      <c r="A596" s="18" t="n">
        <v>24</v>
      </c>
      <c r="B596" s="32" t="s">
        <v>467</v>
      </c>
      <c r="C596" s="16"/>
      <c r="D596" s="16"/>
      <c r="E596" s="86"/>
      <c r="F596" s="338"/>
    </row>
    <row r="597" customFormat="false" ht="15" hidden="false" customHeight="false" outlineLevel="0" collapsed="false">
      <c r="A597" s="18" t="n">
        <v>25</v>
      </c>
      <c r="B597" s="32" t="s">
        <v>469</v>
      </c>
      <c r="C597" s="16"/>
      <c r="D597" s="16"/>
      <c r="E597" s="86"/>
      <c r="F597" s="338"/>
    </row>
    <row r="598" customFormat="false" ht="15" hidden="false" customHeight="false" outlineLevel="0" collapsed="false">
      <c r="A598" s="18" t="n">
        <v>26</v>
      </c>
      <c r="B598" s="32" t="s">
        <v>470</v>
      </c>
      <c r="C598" s="16"/>
      <c r="D598" s="16"/>
      <c r="E598" s="86"/>
      <c r="F598" s="338"/>
    </row>
    <row r="599" customFormat="false" ht="15" hidden="false" customHeight="false" outlineLevel="0" collapsed="false">
      <c r="A599" s="18" t="n">
        <v>27</v>
      </c>
      <c r="B599" s="32" t="s">
        <v>472</v>
      </c>
      <c r="C599" s="16"/>
      <c r="D599" s="16"/>
      <c r="E599" s="86"/>
      <c r="F599" s="338"/>
    </row>
    <row r="600" customFormat="false" ht="15" hidden="false" customHeight="false" outlineLevel="0" collapsed="false">
      <c r="A600" s="18" t="n">
        <v>28</v>
      </c>
      <c r="B600" s="32" t="s">
        <v>473</v>
      </c>
      <c r="C600" s="16"/>
      <c r="D600" s="16"/>
      <c r="E600" s="86"/>
      <c r="F600" s="338"/>
    </row>
    <row r="601" customFormat="false" ht="15" hidden="false" customHeight="false" outlineLevel="0" collapsed="false">
      <c r="A601" s="18" t="n">
        <v>29</v>
      </c>
      <c r="B601" s="32" t="s">
        <v>474</v>
      </c>
      <c r="C601" s="16"/>
      <c r="D601" s="16"/>
      <c r="E601" s="86"/>
      <c r="F601" s="338"/>
    </row>
    <row r="602" customFormat="false" ht="15" hidden="false" customHeight="false" outlineLevel="0" collapsed="false">
      <c r="A602" s="18" t="n">
        <v>30</v>
      </c>
      <c r="B602" s="68" t="s">
        <v>475</v>
      </c>
      <c r="C602" s="16"/>
      <c r="D602" s="16"/>
      <c r="E602" s="86"/>
      <c r="F602" s="338"/>
    </row>
    <row r="603" customFormat="false" ht="17.35" hidden="false" customHeight="false" outlineLevel="0" collapsed="false">
      <c r="A603" s="18"/>
      <c r="B603" s="20" t="s">
        <v>22</v>
      </c>
      <c r="C603" s="21" t="n">
        <f aca="false">SUM(C573:C602)</f>
        <v>0</v>
      </c>
      <c r="D603" s="91" t="n">
        <f aca="false">SUM(D573:D602)</f>
        <v>0</v>
      </c>
      <c r="E603" s="96" t="n">
        <f aca="false">SUM(E573:E602)</f>
        <v>0</v>
      </c>
      <c r="F603" s="339"/>
    </row>
    <row r="604" customFormat="false" ht="15" hidden="false" customHeight="false" outlineLevel="0" collapsed="false">
      <c r="A604" s="46"/>
    </row>
    <row r="605" customFormat="false" ht="15" hidden="false" customHeight="false" outlineLevel="0" collapsed="false">
      <c r="A605" s="46"/>
    </row>
    <row r="606" customFormat="false" ht="17.35" hidden="false" customHeight="false" outlineLevel="0" collapsed="false">
      <c r="A606" s="40"/>
      <c r="B606" s="2" t="s">
        <v>504</v>
      </c>
    </row>
    <row r="607" customFormat="false" ht="17.35" hidden="false" customHeight="false" outlineLevel="0" collapsed="false">
      <c r="A607" s="62"/>
    </row>
    <row r="608" customFormat="false" ht="15" hidden="false" customHeight="false" outlineLevel="0" collapsed="false">
      <c r="A608" s="40"/>
    </row>
    <row r="609" customFormat="false" ht="17.25" hidden="false" customHeight="false" outlineLevel="0" collapsed="false">
      <c r="A609" s="40"/>
      <c r="B609" s="4" t="s">
        <v>357</v>
      </c>
    </row>
    <row r="610" customFormat="false" ht="15" hidden="false" customHeight="false" outlineLevel="0" collapsed="false">
      <c r="A610" s="40"/>
      <c r="D610" s="77" t="s">
        <v>4</v>
      </c>
    </row>
    <row r="611" customFormat="false" ht="15" hidden="false" customHeight="false" outlineLevel="0" collapsed="false">
      <c r="A611" s="40"/>
    </row>
    <row r="612" customFormat="false" ht="15" hidden="false" customHeight="false" outlineLevel="0" collapsed="false">
      <c r="A612" s="6" t="s">
        <v>5</v>
      </c>
      <c r="B612" s="7" t="s">
        <v>6</v>
      </c>
      <c r="C612" s="8" t="s">
        <v>7</v>
      </c>
      <c r="D612" s="9" t="s">
        <v>8</v>
      </c>
      <c r="E612" s="93" t="s">
        <v>9</v>
      </c>
      <c r="F612" s="322" t="s">
        <v>1349</v>
      </c>
    </row>
    <row r="613" customFormat="false" ht="15" hidden="false" customHeight="false" outlineLevel="0" collapsed="false">
      <c r="A613" s="18" t="n">
        <v>1</v>
      </c>
      <c r="B613" s="32" t="s">
        <v>358</v>
      </c>
      <c r="C613" s="16"/>
      <c r="D613" s="16"/>
      <c r="E613" s="86"/>
      <c r="F613" s="347"/>
    </row>
    <row r="614" customFormat="false" ht="15" hidden="false" customHeight="false" outlineLevel="0" collapsed="false">
      <c r="A614" s="49" t="n">
        <v>2</v>
      </c>
      <c r="B614" s="32" t="s">
        <v>1410</v>
      </c>
      <c r="C614" s="16"/>
      <c r="D614" s="16"/>
      <c r="E614" s="86"/>
      <c r="F614" s="342"/>
    </row>
    <row r="615" customFormat="false" ht="15" hidden="false" customHeight="false" outlineLevel="0" collapsed="false">
      <c r="A615" s="18" t="n">
        <v>3</v>
      </c>
      <c r="B615" s="32" t="s">
        <v>307</v>
      </c>
      <c r="C615" s="16"/>
      <c r="D615" s="16"/>
      <c r="E615" s="86"/>
      <c r="F615" s="342"/>
    </row>
    <row r="616" customFormat="false" ht="15" hidden="false" customHeight="false" outlineLevel="0" collapsed="false">
      <c r="A616" s="49" t="n">
        <v>4</v>
      </c>
      <c r="B616" s="32" t="s">
        <v>360</v>
      </c>
      <c r="C616" s="16"/>
      <c r="D616" s="16"/>
      <c r="E616" s="86"/>
      <c r="F616" s="342"/>
    </row>
    <row r="617" customFormat="false" ht="15" hidden="false" customHeight="false" outlineLevel="0" collapsed="false">
      <c r="A617" s="49" t="n">
        <v>5</v>
      </c>
      <c r="B617" s="32" t="s">
        <v>361</v>
      </c>
      <c r="C617" s="16"/>
      <c r="D617" s="16"/>
      <c r="E617" s="86"/>
      <c r="F617" s="342"/>
    </row>
    <row r="618" customFormat="false" ht="15" hidden="false" customHeight="false" outlineLevel="0" collapsed="false">
      <c r="A618" s="18" t="n">
        <v>6</v>
      </c>
      <c r="B618" s="32" t="s">
        <v>364</v>
      </c>
      <c r="C618" s="16"/>
      <c r="D618" s="16"/>
      <c r="E618" s="86"/>
      <c r="F618" s="342"/>
    </row>
    <row r="619" customFormat="false" ht="15" hidden="false" customHeight="false" outlineLevel="0" collapsed="false">
      <c r="A619" s="49" t="n">
        <v>7</v>
      </c>
      <c r="B619" s="32" t="s">
        <v>365</v>
      </c>
      <c r="C619" s="16"/>
      <c r="D619" s="16"/>
      <c r="E619" s="86"/>
      <c r="F619" s="342"/>
    </row>
    <row r="620" customFormat="false" ht="15" hidden="false" customHeight="false" outlineLevel="0" collapsed="false">
      <c r="A620" s="72" t="n">
        <v>8</v>
      </c>
      <c r="B620" s="32" t="s">
        <v>367</v>
      </c>
      <c r="C620" s="16"/>
      <c r="D620" s="16"/>
      <c r="E620" s="86"/>
      <c r="F620" s="342"/>
    </row>
    <row r="621" customFormat="false" ht="15" hidden="false" customHeight="false" outlineLevel="0" collapsed="false">
      <c r="A621" s="49" t="n">
        <v>9</v>
      </c>
      <c r="B621" s="32" t="s">
        <v>368</v>
      </c>
      <c r="C621" s="16"/>
      <c r="D621" s="16"/>
      <c r="E621" s="86"/>
      <c r="F621" s="342"/>
    </row>
    <row r="622" customFormat="false" ht="15" hidden="false" customHeight="false" outlineLevel="0" collapsed="false">
      <c r="A622" s="18" t="n">
        <v>10</v>
      </c>
      <c r="B622" s="32" t="s">
        <v>369</v>
      </c>
      <c r="C622" s="16"/>
      <c r="D622" s="16"/>
      <c r="E622" s="86"/>
      <c r="F622" s="342"/>
    </row>
    <row r="623" customFormat="false" ht="15" hidden="false" customHeight="false" outlineLevel="0" collapsed="false">
      <c r="A623" s="72" t="n">
        <v>11</v>
      </c>
      <c r="B623" s="32" t="s">
        <v>370</v>
      </c>
      <c r="C623" s="16"/>
      <c r="D623" s="16"/>
      <c r="E623" s="86"/>
      <c r="F623" s="342"/>
    </row>
    <row r="624" customFormat="false" ht="15" hidden="false" customHeight="false" outlineLevel="0" collapsed="false">
      <c r="A624" s="72" t="n">
        <v>12</v>
      </c>
      <c r="B624" s="32" t="s">
        <v>1411</v>
      </c>
      <c r="C624" s="16"/>
      <c r="D624" s="16"/>
      <c r="E624" s="86"/>
      <c r="F624" s="342"/>
    </row>
    <row r="625" customFormat="false" ht="15" hidden="false" customHeight="false" outlineLevel="0" collapsed="false">
      <c r="A625" s="72" t="n">
        <v>13</v>
      </c>
      <c r="B625" s="32" t="s">
        <v>371</v>
      </c>
      <c r="C625" s="16"/>
      <c r="D625" s="16"/>
      <c r="E625" s="86"/>
      <c r="F625" s="342"/>
    </row>
    <row r="626" customFormat="false" ht="15" hidden="false" customHeight="false" outlineLevel="0" collapsed="false">
      <c r="A626" s="72" t="n">
        <v>14</v>
      </c>
      <c r="B626" s="32" t="s">
        <v>372</v>
      </c>
      <c r="C626" s="16"/>
      <c r="D626" s="16"/>
      <c r="E626" s="86"/>
      <c r="F626" s="342"/>
    </row>
    <row r="627" customFormat="false" ht="15" hidden="false" customHeight="false" outlineLevel="0" collapsed="false">
      <c r="A627" s="72" t="n">
        <v>15</v>
      </c>
      <c r="B627" s="32" t="s">
        <v>374</v>
      </c>
      <c r="C627" s="16"/>
      <c r="D627" s="16"/>
      <c r="E627" s="86"/>
      <c r="F627" s="342"/>
    </row>
    <row r="628" customFormat="false" ht="15" hidden="false" customHeight="false" outlineLevel="0" collapsed="false">
      <c r="A628" s="72" t="n">
        <v>16</v>
      </c>
      <c r="B628" s="32" t="s">
        <v>375</v>
      </c>
      <c r="C628" s="16"/>
      <c r="D628" s="16"/>
      <c r="E628" s="86"/>
      <c r="F628" s="342"/>
    </row>
    <row r="629" customFormat="false" ht="15" hidden="false" customHeight="false" outlineLevel="0" collapsed="false">
      <c r="A629" s="72" t="n">
        <v>17</v>
      </c>
      <c r="B629" s="32" t="s">
        <v>378</v>
      </c>
      <c r="C629" s="16"/>
      <c r="D629" s="16"/>
      <c r="E629" s="86"/>
      <c r="F629" s="342"/>
    </row>
    <row r="630" customFormat="false" ht="15" hidden="false" customHeight="false" outlineLevel="0" collapsed="false">
      <c r="A630" s="72" t="n">
        <v>18</v>
      </c>
      <c r="B630" s="32" t="s">
        <v>379</v>
      </c>
      <c r="C630" s="16"/>
      <c r="D630" s="16"/>
      <c r="E630" s="86"/>
      <c r="F630" s="342"/>
    </row>
    <row r="631" customFormat="false" ht="15" hidden="false" customHeight="false" outlineLevel="0" collapsed="false">
      <c r="A631" s="72" t="n">
        <v>19</v>
      </c>
      <c r="B631" s="32" t="s">
        <v>380</v>
      </c>
      <c r="C631" s="16"/>
      <c r="D631" s="16"/>
      <c r="E631" s="86"/>
      <c r="F631" s="342"/>
    </row>
    <row r="632" customFormat="false" ht="15" hidden="false" customHeight="false" outlineLevel="0" collapsed="false">
      <c r="A632" s="72" t="n">
        <v>20</v>
      </c>
      <c r="B632" s="32" t="s">
        <v>381</v>
      </c>
      <c r="C632" s="16"/>
      <c r="D632" s="16"/>
      <c r="E632" s="86"/>
      <c r="F632" s="342"/>
    </row>
    <row r="633" customFormat="false" ht="15" hidden="false" customHeight="false" outlineLevel="0" collapsed="false">
      <c r="A633" s="72" t="n">
        <v>21</v>
      </c>
      <c r="B633" s="32" t="s">
        <v>382</v>
      </c>
      <c r="C633" s="16"/>
      <c r="D633" s="16"/>
      <c r="E633" s="86"/>
      <c r="F633" s="342"/>
    </row>
    <row r="634" customFormat="false" ht="15" hidden="false" customHeight="false" outlineLevel="0" collapsed="false">
      <c r="A634" s="72" t="n">
        <v>22</v>
      </c>
      <c r="B634" s="32" t="s">
        <v>383</v>
      </c>
      <c r="C634" s="16"/>
      <c r="D634" s="16"/>
      <c r="E634" s="86"/>
      <c r="F634" s="342"/>
    </row>
    <row r="635" customFormat="false" ht="15" hidden="false" customHeight="false" outlineLevel="0" collapsed="false">
      <c r="A635" s="72" t="n">
        <v>23</v>
      </c>
      <c r="B635" s="32" t="s">
        <v>384</v>
      </c>
      <c r="C635" s="16"/>
      <c r="D635" s="16"/>
      <c r="E635" s="86"/>
      <c r="F635" s="342"/>
    </row>
    <row r="636" customFormat="false" ht="15" hidden="false" customHeight="false" outlineLevel="0" collapsed="false">
      <c r="A636" s="72" t="n">
        <v>24</v>
      </c>
      <c r="B636" s="32" t="s">
        <v>385</v>
      </c>
      <c r="C636" s="16"/>
      <c r="D636" s="16"/>
      <c r="E636" s="86"/>
      <c r="F636" s="342"/>
    </row>
    <row r="637" customFormat="false" ht="15" hidden="false" customHeight="false" outlineLevel="0" collapsed="false">
      <c r="A637" s="72" t="n">
        <v>25</v>
      </c>
      <c r="B637" s="32" t="s">
        <v>386</v>
      </c>
      <c r="C637" s="16"/>
      <c r="D637" s="16"/>
      <c r="E637" s="86"/>
      <c r="F637" s="342"/>
    </row>
    <row r="638" customFormat="false" ht="15" hidden="false" customHeight="false" outlineLevel="0" collapsed="false">
      <c r="A638" s="72" t="n">
        <v>26</v>
      </c>
      <c r="B638" s="32" t="s">
        <v>387</v>
      </c>
      <c r="C638" s="16"/>
      <c r="D638" s="16"/>
      <c r="E638" s="86"/>
      <c r="F638" s="342"/>
    </row>
    <row r="639" customFormat="false" ht="15" hidden="false" customHeight="false" outlineLevel="0" collapsed="false">
      <c r="A639" s="72" t="n">
        <v>27</v>
      </c>
      <c r="B639" s="32" t="s">
        <v>388</v>
      </c>
      <c r="C639" s="16"/>
      <c r="D639" s="16"/>
      <c r="E639" s="86"/>
      <c r="F639" s="342"/>
    </row>
    <row r="640" customFormat="false" ht="15" hidden="false" customHeight="false" outlineLevel="0" collapsed="false">
      <c r="A640" s="72" t="n">
        <v>28</v>
      </c>
      <c r="B640" s="32" t="s">
        <v>1412</v>
      </c>
      <c r="C640" s="16"/>
      <c r="D640" s="16"/>
      <c r="E640" s="86"/>
      <c r="F640" s="342"/>
    </row>
    <row r="641" customFormat="false" ht="15" hidden="false" customHeight="false" outlineLevel="0" collapsed="false">
      <c r="A641" s="72" t="n">
        <v>29</v>
      </c>
      <c r="B641" s="32" t="s">
        <v>390</v>
      </c>
      <c r="C641" s="16"/>
      <c r="D641" s="16"/>
      <c r="E641" s="86"/>
      <c r="F641" s="342"/>
    </row>
    <row r="642" customFormat="false" ht="15" hidden="false" customHeight="false" outlineLevel="0" collapsed="false">
      <c r="A642" s="72" t="n">
        <v>30</v>
      </c>
      <c r="B642" s="32" t="s">
        <v>391</v>
      </c>
      <c r="C642" s="16"/>
      <c r="D642" s="16"/>
      <c r="E642" s="86"/>
      <c r="F642" s="342"/>
    </row>
    <row r="643" customFormat="false" ht="15" hidden="false" customHeight="false" outlineLevel="0" collapsed="false">
      <c r="A643" s="72" t="n">
        <v>31</v>
      </c>
      <c r="B643" s="32" t="s">
        <v>392</v>
      </c>
      <c r="C643" s="16"/>
      <c r="D643" s="16"/>
      <c r="E643" s="86"/>
      <c r="F643" s="342"/>
    </row>
    <row r="644" customFormat="false" ht="15" hidden="false" customHeight="false" outlineLevel="0" collapsed="false">
      <c r="A644" s="72" t="n">
        <v>32</v>
      </c>
      <c r="B644" s="32" t="s">
        <v>393</v>
      </c>
      <c r="C644" s="16"/>
      <c r="D644" s="16"/>
      <c r="E644" s="86"/>
      <c r="F644" s="342"/>
    </row>
    <row r="645" customFormat="false" ht="15" hidden="false" customHeight="false" outlineLevel="0" collapsed="false">
      <c r="A645" s="72" t="n">
        <v>33</v>
      </c>
      <c r="B645" s="32" t="s">
        <v>394</v>
      </c>
      <c r="C645" s="16"/>
      <c r="D645" s="16"/>
      <c r="E645" s="86"/>
      <c r="F645" s="342"/>
    </row>
    <row r="646" customFormat="false" ht="15" hidden="false" customHeight="false" outlineLevel="0" collapsed="false">
      <c r="A646" s="72" t="n">
        <v>34</v>
      </c>
      <c r="B646" s="32" t="s">
        <v>395</v>
      </c>
      <c r="C646" s="16"/>
      <c r="D646" s="16"/>
      <c r="E646" s="86"/>
      <c r="F646" s="342"/>
    </row>
    <row r="647" customFormat="false" ht="15" hidden="false" customHeight="false" outlineLevel="0" collapsed="false">
      <c r="A647" s="72" t="n">
        <v>35</v>
      </c>
      <c r="B647" s="32" t="s">
        <v>396</v>
      </c>
      <c r="C647" s="16"/>
      <c r="D647" s="16"/>
      <c r="E647" s="86"/>
      <c r="F647" s="342"/>
    </row>
    <row r="648" customFormat="false" ht="15" hidden="false" customHeight="false" outlineLevel="0" collapsed="false">
      <c r="A648" s="72" t="n">
        <v>36</v>
      </c>
      <c r="B648" s="32" t="s">
        <v>398</v>
      </c>
      <c r="C648" s="16"/>
      <c r="D648" s="16"/>
      <c r="E648" s="86"/>
      <c r="F648" s="342"/>
    </row>
    <row r="649" customFormat="false" ht="15" hidden="false" customHeight="false" outlineLevel="0" collapsed="false">
      <c r="A649" s="72" t="n">
        <v>37</v>
      </c>
      <c r="B649" s="32" t="s">
        <v>399</v>
      </c>
      <c r="C649" s="16"/>
      <c r="D649" s="16"/>
      <c r="E649" s="86"/>
      <c r="F649" s="342"/>
    </row>
    <row r="650" customFormat="false" ht="15" hidden="false" customHeight="false" outlineLevel="0" collapsed="false">
      <c r="A650" s="72" t="n">
        <v>38</v>
      </c>
      <c r="B650" s="32" t="s">
        <v>400</v>
      </c>
      <c r="C650" s="16"/>
      <c r="D650" s="16"/>
      <c r="E650" s="86"/>
      <c r="F650" s="342"/>
    </row>
    <row r="651" customFormat="false" ht="15" hidden="false" customHeight="false" outlineLevel="0" collapsed="false">
      <c r="A651" s="72" t="n">
        <v>39</v>
      </c>
      <c r="B651" s="32" t="s">
        <v>401</v>
      </c>
      <c r="C651" s="16"/>
      <c r="D651" s="16"/>
      <c r="E651" s="86"/>
      <c r="F651" s="342"/>
    </row>
    <row r="652" customFormat="false" ht="15" hidden="false" customHeight="false" outlineLevel="0" collapsed="false">
      <c r="A652" s="72" t="n">
        <v>40</v>
      </c>
      <c r="B652" s="32" t="s">
        <v>402</v>
      </c>
      <c r="C652" s="16"/>
      <c r="D652" s="16"/>
      <c r="E652" s="86"/>
      <c r="F652" s="342"/>
    </row>
    <row r="653" customFormat="false" ht="15" hidden="false" customHeight="false" outlineLevel="0" collapsed="false">
      <c r="A653" s="72" t="n">
        <v>41</v>
      </c>
      <c r="B653" s="32" t="s">
        <v>403</v>
      </c>
      <c r="C653" s="16"/>
      <c r="D653" s="16"/>
      <c r="E653" s="86"/>
      <c r="F653" s="342"/>
    </row>
    <row r="654" customFormat="false" ht="15" hidden="false" customHeight="false" outlineLevel="0" collapsed="false">
      <c r="A654" s="72" t="n">
        <v>42</v>
      </c>
      <c r="B654" s="32" t="s">
        <v>404</v>
      </c>
      <c r="C654" s="16"/>
      <c r="D654" s="16"/>
      <c r="E654" s="86"/>
      <c r="F654" s="342"/>
    </row>
    <row r="655" customFormat="false" ht="15" hidden="false" customHeight="false" outlineLevel="0" collapsed="false">
      <c r="A655" s="72" t="n">
        <v>43</v>
      </c>
      <c r="B655" s="32" t="s">
        <v>405</v>
      </c>
      <c r="C655" s="16"/>
      <c r="D655" s="16"/>
      <c r="E655" s="86"/>
      <c r="F655" s="342"/>
    </row>
    <row r="656" customFormat="false" ht="15" hidden="false" customHeight="false" outlineLevel="0" collapsed="false">
      <c r="A656" s="72" t="n">
        <v>44</v>
      </c>
      <c r="B656" s="32" t="s">
        <v>406</v>
      </c>
      <c r="C656" s="16"/>
      <c r="D656" s="16"/>
      <c r="E656" s="86"/>
      <c r="F656" s="342"/>
    </row>
    <row r="657" customFormat="false" ht="15" hidden="false" customHeight="false" outlineLevel="0" collapsed="false">
      <c r="A657" s="72" t="n">
        <v>45</v>
      </c>
      <c r="B657" s="32" t="s">
        <v>407</v>
      </c>
      <c r="C657" s="16"/>
      <c r="D657" s="16"/>
      <c r="E657" s="86"/>
      <c r="F657" s="342"/>
    </row>
    <row r="658" customFormat="false" ht="15" hidden="false" customHeight="false" outlineLevel="0" collapsed="false">
      <c r="A658" s="72" t="n">
        <v>46</v>
      </c>
      <c r="B658" s="32" t="s">
        <v>408</v>
      </c>
      <c r="C658" s="16"/>
      <c r="D658" s="16"/>
      <c r="E658" s="86"/>
      <c r="F658" s="342"/>
    </row>
    <row r="659" customFormat="false" ht="15" hidden="false" customHeight="false" outlineLevel="0" collapsed="false">
      <c r="A659" s="72" t="n">
        <v>47</v>
      </c>
      <c r="B659" s="32" t="s">
        <v>409</v>
      </c>
      <c r="C659" s="16"/>
      <c r="D659" s="16"/>
      <c r="E659" s="86"/>
      <c r="F659" s="342"/>
    </row>
    <row r="660" customFormat="false" ht="15" hidden="false" customHeight="false" outlineLevel="0" collapsed="false">
      <c r="A660" s="72" t="n">
        <v>48</v>
      </c>
      <c r="B660" s="32" t="s">
        <v>410</v>
      </c>
      <c r="C660" s="16"/>
      <c r="D660" s="16"/>
      <c r="E660" s="86"/>
      <c r="F660" s="342"/>
    </row>
    <row r="661" customFormat="false" ht="15" hidden="false" customHeight="false" outlineLevel="0" collapsed="false">
      <c r="A661" s="72" t="n">
        <v>49</v>
      </c>
      <c r="B661" s="32" t="s">
        <v>411</v>
      </c>
      <c r="C661" s="16"/>
      <c r="D661" s="16"/>
      <c r="E661" s="86"/>
      <c r="F661" s="342"/>
    </row>
    <row r="662" customFormat="false" ht="15" hidden="false" customHeight="false" outlineLevel="0" collapsed="false">
      <c r="A662" s="72" t="n">
        <v>50</v>
      </c>
      <c r="B662" s="32" t="s">
        <v>412</v>
      </c>
      <c r="C662" s="16"/>
      <c r="D662" s="16"/>
      <c r="E662" s="86"/>
      <c r="F662" s="342"/>
    </row>
    <row r="663" customFormat="false" ht="15" hidden="false" customHeight="false" outlineLevel="0" collapsed="false">
      <c r="A663" s="72" t="n">
        <v>51</v>
      </c>
      <c r="B663" s="54" t="s">
        <v>413</v>
      </c>
      <c r="C663" s="16"/>
      <c r="D663" s="346"/>
      <c r="E663" s="86"/>
      <c r="F663" s="342"/>
    </row>
    <row r="664" customFormat="false" ht="15" hidden="false" customHeight="false" outlineLevel="0" collapsed="false">
      <c r="A664" s="56" t="n">
        <v>52</v>
      </c>
      <c r="B664" s="54" t="s">
        <v>414</v>
      </c>
      <c r="C664" s="16"/>
      <c r="D664" s="346"/>
      <c r="E664" s="86"/>
      <c r="F664" s="342"/>
    </row>
    <row r="665" customFormat="false" ht="17.35" hidden="false" customHeight="false" outlineLevel="0" collapsed="false">
      <c r="A665" s="72"/>
      <c r="B665" s="20" t="s">
        <v>22</v>
      </c>
      <c r="C665" s="21" t="n">
        <f aca="false">SUM(C613:C664)</f>
        <v>0</v>
      </c>
      <c r="D665" s="91" t="n">
        <f aca="false">SUM(D613:D664)</f>
        <v>0</v>
      </c>
      <c r="E665" s="96" t="n">
        <f aca="false">SUM(E613:E664)</f>
        <v>0</v>
      </c>
      <c r="F665" s="343"/>
    </row>
    <row r="666" customFormat="false" ht="15" hidden="false" customHeight="false" outlineLevel="0" collapsed="false">
      <c r="A666" s="46"/>
    </row>
    <row r="667" customFormat="false" ht="15" hidden="false" customHeight="false" outlineLevel="0" collapsed="false">
      <c r="A667" s="46"/>
    </row>
    <row r="668" customFormat="false" ht="15" hidden="false" customHeight="false" outlineLevel="0" collapsed="false">
      <c r="A668" s="46"/>
    </row>
    <row r="669" customFormat="false" ht="17.35" hidden="false" customHeight="false" outlineLevel="0" collapsed="false">
      <c r="A669" s="40"/>
      <c r="B669" s="2" t="s">
        <v>504</v>
      </c>
    </row>
    <row r="670" customFormat="false" ht="17.35" hidden="false" customHeight="false" outlineLevel="0" collapsed="false">
      <c r="A670" s="62"/>
    </row>
    <row r="671" customFormat="false" ht="15" hidden="false" customHeight="false" outlineLevel="0" collapsed="false">
      <c r="A671" s="40"/>
    </row>
    <row r="672" customFormat="false" ht="17.25" hidden="false" customHeight="false" outlineLevel="0" collapsed="false">
      <c r="A672" s="40"/>
      <c r="B672" s="4" t="s">
        <v>357</v>
      </c>
    </row>
    <row r="673" customFormat="false" ht="15" hidden="false" customHeight="false" outlineLevel="0" collapsed="false">
      <c r="A673" s="40"/>
      <c r="D673" s="77" t="s">
        <v>51</v>
      </c>
    </row>
    <row r="674" customFormat="false" ht="15" hidden="false" customHeight="false" outlineLevel="0" collapsed="false">
      <c r="A674" s="40"/>
    </row>
    <row r="675" customFormat="false" ht="15" hidden="false" customHeight="false" outlineLevel="0" collapsed="false">
      <c r="A675" s="6" t="s">
        <v>5</v>
      </c>
      <c r="B675" s="7" t="s">
        <v>6</v>
      </c>
      <c r="C675" s="8" t="s">
        <v>7</v>
      </c>
      <c r="D675" s="9" t="s">
        <v>8</v>
      </c>
      <c r="E675" s="93" t="s">
        <v>9</v>
      </c>
      <c r="F675" s="322" t="s">
        <v>1349</v>
      </c>
    </row>
    <row r="676" customFormat="false" ht="15" hidden="false" customHeight="false" outlineLevel="0" collapsed="false">
      <c r="A676" s="18" t="n">
        <v>1</v>
      </c>
      <c r="B676" s="32" t="s">
        <v>417</v>
      </c>
      <c r="C676" s="16"/>
      <c r="D676" s="16"/>
      <c r="E676" s="86"/>
      <c r="F676" s="338"/>
    </row>
    <row r="677" customFormat="false" ht="15" hidden="false" customHeight="false" outlineLevel="0" collapsed="false">
      <c r="A677" s="49" t="n">
        <v>2</v>
      </c>
      <c r="B677" s="32" t="s">
        <v>418</v>
      </c>
      <c r="C677" s="16"/>
      <c r="D677" s="16"/>
      <c r="E677" s="86"/>
      <c r="F677" s="338"/>
    </row>
    <row r="678" customFormat="false" ht="15" hidden="false" customHeight="false" outlineLevel="0" collapsed="false">
      <c r="A678" s="18" t="n">
        <v>3</v>
      </c>
      <c r="B678" s="32" t="s">
        <v>419</v>
      </c>
      <c r="C678" s="16"/>
      <c r="D678" s="16"/>
      <c r="E678" s="86"/>
      <c r="F678" s="338"/>
    </row>
    <row r="679" customFormat="false" ht="15" hidden="false" customHeight="false" outlineLevel="0" collapsed="false">
      <c r="A679" s="49" t="n">
        <v>4</v>
      </c>
      <c r="B679" s="32" t="s">
        <v>420</v>
      </c>
      <c r="C679" s="16"/>
      <c r="D679" s="16"/>
      <c r="E679" s="86"/>
      <c r="F679" s="338"/>
    </row>
    <row r="680" customFormat="false" ht="15" hidden="false" customHeight="false" outlineLevel="0" collapsed="false">
      <c r="A680" s="18" t="n">
        <v>5</v>
      </c>
      <c r="B680" s="32" t="s">
        <v>421</v>
      </c>
      <c r="C680" s="16"/>
      <c r="D680" s="16"/>
      <c r="E680" s="86"/>
      <c r="F680" s="338"/>
    </row>
    <row r="681" customFormat="false" ht="15" hidden="false" customHeight="false" outlineLevel="0" collapsed="false">
      <c r="A681" s="49" t="n">
        <v>6</v>
      </c>
      <c r="B681" s="32" t="s">
        <v>422</v>
      </c>
      <c r="C681" s="16"/>
      <c r="D681" s="16"/>
      <c r="E681" s="86"/>
      <c r="F681" s="338"/>
    </row>
    <row r="682" customFormat="false" ht="15" hidden="false" customHeight="false" outlineLevel="0" collapsed="false">
      <c r="A682" s="18" t="n">
        <v>7</v>
      </c>
      <c r="B682" s="32" t="s">
        <v>423</v>
      </c>
      <c r="C682" s="16"/>
      <c r="D682" s="16"/>
      <c r="E682" s="86"/>
      <c r="F682" s="338"/>
    </row>
    <row r="683" customFormat="false" ht="15" hidden="false" customHeight="false" outlineLevel="0" collapsed="false">
      <c r="A683" s="49" t="n">
        <v>8</v>
      </c>
      <c r="B683" s="32" t="s">
        <v>424</v>
      </c>
      <c r="C683" s="16"/>
      <c r="D683" s="16"/>
      <c r="E683" s="86"/>
      <c r="F683" s="338"/>
    </row>
    <row r="684" customFormat="false" ht="15" hidden="false" customHeight="false" outlineLevel="0" collapsed="false">
      <c r="A684" s="18" t="n">
        <v>9</v>
      </c>
      <c r="B684" s="32" t="s">
        <v>425</v>
      </c>
      <c r="C684" s="13"/>
      <c r="D684" s="13"/>
      <c r="E684" s="14"/>
      <c r="F684" s="338"/>
    </row>
    <row r="685" customFormat="false" ht="15" hidden="false" customHeight="false" outlineLevel="0" collapsed="false">
      <c r="A685" s="49" t="n">
        <v>10</v>
      </c>
      <c r="B685" s="32" t="s">
        <v>1413</v>
      </c>
      <c r="C685" s="16"/>
      <c r="D685" s="16"/>
      <c r="E685" s="86"/>
      <c r="F685" s="338"/>
    </row>
    <row r="686" customFormat="false" ht="15" hidden="false" customHeight="false" outlineLevel="0" collapsed="false">
      <c r="A686" s="18" t="n">
        <v>11</v>
      </c>
      <c r="B686" s="32" t="s">
        <v>426</v>
      </c>
      <c r="C686" s="16"/>
      <c r="D686" s="16"/>
      <c r="E686" s="86"/>
      <c r="F686" s="338"/>
    </row>
    <row r="687" customFormat="false" ht="15" hidden="false" customHeight="false" outlineLevel="0" collapsed="false">
      <c r="A687" s="72" t="n">
        <v>12</v>
      </c>
      <c r="B687" s="32" t="s">
        <v>427</v>
      </c>
      <c r="C687" s="16"/>
      <c r="D687" s="16"/>
      <c r="E687" s="86"/>
      <c r="F687" s="338"/>
    </row>
    <row r="688" customFormat="false" ht="15" hidden="false" customHeight="false" outlineLevel="0" collapsed="false">
      <c r="A688" s="49" t="n">
        <v>13</v>
      </c>
      <c r="B688" s="32" t="s">
        <v>428</v>
      </c>
      <c r="C688" s="16"/>
      <c r="D688" s="16"/>
      <c r="E688" s="86"/>
      <c r="F688" s="338"/>
    </row>
    <row r="689" customFormat="false" ht="15" hidden="false" customHeight="false" outlineLevel="0" collapsed="false">
      <c r="A689" s="18" t="n">
        <v>14</v>
      </c>
      <c r="B689" s="32" t="s">
        <v>429</v>
      </c>
      <c r="C689" s="16"/>
      <c r="D689" s="16"/>
      <c r="E689" s="86"/>
      <c r="F689" s="338"/>
    </row>
    <row r="690" customFormat="false" ht="15" hidden="false" customHeight="false" outlineLevel="0" collapsed="false">
      <c r="A690" s="72" t="n">
        <v>15</v>
      </c>
      <c r="B690" s="32" t="s">
        <v>430</v>
      </c>
      <c r="C690" s="16"/>
      <c r="D690" s="16"/>
      <c r="E690" s="86"/>
      <c r="F690" s="338"/>
    </row>
    <row r="691" customFormat="false" ht="15" hidden="false" customHeight="false" outlineLevel="0" collapsed="false">
      <c r="A691" s="72" t="n">
        <v>16</v>
      </c>
      <c r="B691" s="32" t="s">
        <v>431</v>
      </c>
      <c r="C691" s="16"/>
      <c r="D691" s="16"/>
      <c r="E691" s="86"/>
      <c r="F691" s="338"/>
    </row>
    <row r="692" customFormat="false" ht="15" hidden="false" customHeight="false" outlineLevel="0" collapsed="false">
      <c r="A692" s="72" t="n">
        <v>17</v>
      </c>
      <c r="B692" s="32" t="s">
        <v>432</v>
      </c>
      <c r="C692" s="16"/>
      <c r="D692" s="16"/>
      <c r="E692" s="86"/>
      <c r="F692" s="338"/>
    </row>
    <row r="693" customFormat="false" ht="15" hidden="false" customHeight="false" outlineLevel="0" collapsed="false">
      <c r="A693" s="72" t="n">
        <v>18</v>
      </c>
      <c r="B693" s="32" t="s">
        <v>433</v>
      </c>
      <c r="C693" s="16"/>
      <c r="D693" s="16"/>
      <c r="E693" s="86"/>
      <c r="F693" s="338"/>
    </row>
    <row r="694" customFormat="false" ht="15" hidden="false" customHeight="false" outlineLevel="0" collapsed="false">
      <c r="A694" s="72" t="n">
        <v>19</v>
      </c>
      <c r="B694" s="32" t="s">
        <v>435</v>
      </c>
      <c r="C694" s="16"/>
      <c r="D694" s="16"/>
      <c r="E694" s="86"/>
      <c r="F694" s="338"/>
    </row>
    <row r="695" customFormat="false" ht="15" hidden="false" customHeight="false" outlineLevel="0" collapsed="false">
      <c r="A695" s="72" t="n">
        <v>20</v>
      </c>
      <c r="B695" s="32" t="s">
        <v>436</v>
      </c>
      <c r="C695" s="16"/>
      <c r="D695" s="16"/>
      <c r="E695" s="86"/>
      <c r="F695" s="338"/>
    </row>
    <row r="696" customFormat="false" ht="15" hidden="false" customHeight="false" outlineLevel="0" collapsed="false">
      <c r="A696" s="72" t="n">
        <v>21</v>
      </c>
      <c r="B696" s="32" t="s">
        <v>437</v>
      </c>
      <c r="C696" s="16"/>
      <c r="D696" s="16"/>
      <c r="E696" s="86"/>
      <c r="F696" s="338"/>
    </row>
    <row r="697" customFormat="false" ht="15" hidden="false" customHeight="false" outlineLevel="0" collapsed="false">
      <c r="A697" s="72" t="n">
        <v>22</v>
      </c>
      <c r="B697" s="32" t="s">
        <v>438</v>
      </c>
      <c r="C697" s="16"/>
      <c r="D697" s="16"/>
      <c r="E697" s="86"/>
      <c r="F697" s="338"/>
    </row>
    <row r="698" customFormat="false" ht="15" hidden="false" customHeight="false" outlineLevel="0" collapsed="false">
      <c r="A698" s="72" t="n">
        <v>23</v>
      </c>
      <c r="B698" s="32" t="s">
        <v>439</v>
      </c>
      <c r="C698" s="16"/>
      <c r="D698" s="16"/>
      <c r="E698" s="86"/>
      <c r="F698" s="338"/>
    </row>
    <row r="699" customFormat="false" ht="15" hidden="false" customHeight="false" outlineLevel="0" collapsed="false">
      <c r="A699" s="72" t="n">
        <v>24</v>
      </c>
      <c r="B699" s="32" t="s">
        <v>440</v>
      </c>
      <c r="C699" s="16"/>
      <c r="D699" s="16"/>
      <c r="E699" s="86"/>
      <c r="F699" s="338"/>
    </row>
    <row r="700" customFormat="false" ht="15" hidden="false" customHeight="false" outlineLevel="0" collapsed="false">
      <c r="A700" s="72" t="n">
        <v>25</v>
      </c>
      <c r="B700" s="32" t="s">
        <v>441</v>
      </c>
      <c r="C700" s="16"/>
      <c r="D700" s="16"/>
      <c r="E700" s="86"/>
      <c r="F700" s="338"/>
    </row>
    <row r="701" customFormat="false" ht="17.35" hidden="false" customHeight="false" outlineLevel="0" collapsed="false">
      <c r="A701" s="19"/>
      <c r="B701" s="20" t="s">
        <v>22</v>
      </c>
      <c r="C701" s="21" t="n">
        <f aca="false">SUM(C676:C700)</f>
        <v>0</v>
      </c>
      <c r="D701" s="91" t="n">
        <f aca="false">SUM(D676:D700)</f>
        <v>0</v>
      </c>
      <c r="E701" s="96" t="n">
        <f aca="false">SUM(E676:E700)</f>
        <v>0</v>
      </c>
      <c r="F701" s="339"/>
    </row>
    <row r="702" customFormat="false" ht="15" hidden="false" customHeight="false" outlineLevel="0" collapsed="false">
      <c r="A702" s="46"/>
    </row>
    <row r="704" customFormat="false" ht="17.35" hidden="false" customHeight="false" outlineLevel="0" collapsed="false">
      <c r="B704" s="2" t="s">
        <v>504</v>
      </c>
    </row>
    <row r="705" customFormat="false" ht="15" hidden="false" customHeight="false" outlineLevel="0" collapsed="false">
      <c r="A705" s="40"/>
    </row>
    <row r="706" customFormat="false" ht="15" hidden="false" customHeight="false" outlineLevel="0" collapsed="false">
      <c r="A706" s="40"/>
    </row>
    <row r="707" customFormat="false" ht="17.25" hidden="false" customHeight="false" outlineLevel="0" collapsed="false">
      <c r="A707" s="40"/>
      <c r="B707" s="4" t="s">
        <v>442</v>
      </c>
    </row>
    <row r="708" customFormat="false" ht="15" hidden="false" customHeight="false" outlineLevel="0" collapsed="false">
      <c r="A708" s="40"/>
      <c r="D708" s="77" t="s">
        <v>23</v>
      </c>
    </row>
    <row r="709" customFormat="false" ht="15" hidden="false" customHeight="false" outlineLevel="0" collapsed="false">
      <c r="A709" s="40"/>
    </row>
    <row r="710" customFormat="false" ht="15" hidden="false" customHeight="false" outlineLevel="0" collapsed="false">
      <c r="A710" s="6" t="s">
        <v>5</v>
      </c>
      <c r="B710" s="7" t="s">
        <v>6</v>
      </c>
      <c r="C710" s="8" t="s">
        <v>7</v>
      </c>
      <c r="D710" s="9" t="s">
        <v>8</v>
      </c>
      <c r="E710" s="93" t="s">
        <v>9</v>
      </c>
      <c r="F710" s="322" t="s">
        <v>1349</v>
      </c>
    </row>
    <row r="711" customFormat="false" ht="15" hidden="false" customHeight="false" outlineLevel="0" collapsed="false">
      <c r="A711" s="49" t="n">
        <v>1</v>
      </c>
      <c r="B711" s="15" t="s">
        <v>1414</v>
      </c>
      <c r="C711" s="16"/>
      <c r="D711" s="16"/>
      <c r="E711" s="86"/>
      <c r="F711" s="344"/>
    </row>
    <row r="712" customFormat="false" ht="15" hidden="false" customHeight="false" outlineLevel="0" collapsed="false">
      <c r="A712" s="18" t="n">
        <v>2</v>
      </c>
      <c r="B712" s="44" t="s">
        <v>1415</v>
      </c>
      <c r="C712" s="16"/>
      <c r="D712" s="16"/>
      <c r="E712" s="86"/>
      <c r="F712" s="338"/>
    </row>
    <row r="713" customFormat="false" ht="15" hidden="false" customHeight="false" outlineLevel="0" collapsed="false">
      <c r="A713" s="49" t="n">
        <v>3</v>
      </c>
      <c r="B713" s="44" t="s">
        <v>1416</v>
      </c>
      <c r="C713" s="16"/>
      <c r="D713" s="16"/>
      <c r="E713" s="86"/>
      <c r="F713" s="348"/>
    </row>
    <row r="714" customFormat="false" ht="15" hidden="false" customHeight="false" outlineLevel="0" collapsed="false">
      <c r="A714" s="18" t="n">
        <v>4</v>
      </c>
      <c r="B714" s="44" t="s">
        <v>1417</v>
      </c>
      <c r="C714" s="16"/>
      <c r="D714" s="16"/>
      <c r="E714" s="86"/>
      <c r="F714" s="338"/>
    </row>
    <row r="715" customFormat="false" ht="15" hidden="false" customHeight="false" outlineLevel="0" collapsed="false">
      <c r="A715" s="18" t="n">
        <v>5</v>
      </c>
      <c r="B715" s="44" t="s">
        <v>1418</v>
      </c>
      <c r="C715" s="16"/>
      <c r="D715" s="16"/>
      <c r="E715" s="86"/>
      <c r="F715" s="338"/>
    </row>
    <row r="716" customFormat="false" ht="15" hidden="false" customHeight="false" outlineLevel="0" collapsed="false">
      <c r="A716" s="49" t="n">
        <v>6</v>
      </c>
      <c r="B716" s="44" t="s">
        <v>1419</v>
      </c>
      <c r="C716" s="16"/>
      <c r="D716" s="16"/>
      <c r="E716" s="86"/>
      <c r="F716" s="338"/>
    </row>
    <row r="717" customFormat="false" ht="15" hidden="false" customHeight="false" outlineLevel="0" collapsed="false">
      <c r="A717" s="18" t="n">
        <v>7</v>
      </c>
      <c r="B717" s="44" t="s">
        <v>1420</v>
      </c>
      <c r="C717" s="16"/>
      <c r="D717" s="16"/>
      <c r="E717" s="86"/>
      <c r="F717" s="338"/>
    </row>
    <row r="718" customFormat="false" ht="15" hidden="false" customHeight="false" outlineLevel="0" collapsed="false">
      <c r="A718" s="18" t="n">
        <v>8</v>
      </c>
      <c r="B718" s="44" t="s">
        <v>1421</v>
      </c>
      <c r="C718" s="16"/>
      <c r="D718" s="16"/>
      <c r="E718" s="86"/>
      <c r="F718" s="338"/>
    </row>
    <row r="719" customFormat="false" ht="15" hidden="false" customHeight="false" outlineLevel="0" collapsed="false">
      <c r="A719" s="18" t="n">
        <v>9</v>
      </c>
      <c r="B719" s="44" t="s">
        <v>1422</v>
      </c>
      <c r="C719" s="16"/>
      <c r="D719" s="16"/>
      <c r="E719" s="86"/>
      <c r="F719" s="338"/>
    </row>
    <row r="720" customFormat="false" ht="15" hidden="false" customHeight="false" outlineLevel="0" collapsed="false">
      <c r="A720" s="18" t="n">
        <v>10</v>
      </c>
      <c r="B720" s="44" t="s">
        <v>1423</v>
      </c>
      <c r="C720" s="16"/>
      <c r="D720" s="16"/>
      <c r="E720" s="86"/>
      <c r="F720" s="338"/>
    </row>
    <row r="721" customFormat="false" ht="15" hidden="false" customHeight="false" outlineLevel="0" collapsed="false">
      <c r="A721" s="18" t="n">
        <v>11</v>
      </c>
      <c r="B721" s="44" t="s">
        <v>1424</v>
      </c>
      <c r="C721" s="16"/>
      <c r="D721" s="16"/>
      <c r="E721" s="86"/>
      <c r="F721" s="338"/>
    </row>
    <row r="722" customFormat="false" ht="15" hidden="false" customHeight="false" outlineLevel="0" collapsed="false">
      <c r="A722" s="18" t="n">
        <v>12</v>
      </c>
      <c r="B722" s="44" t="s">
        <v>1425</v>
      </c>
      <c r="C722" s="16"/>
      <c r="D722" s="16"/>
      <c r="E722" s="86"/>
      <c r="F722" s="338"/>
    </row>
    <row r="723" customFormat="false" ht="15" hidden="false" customHeight="false" outlineLevel="0" collapsed="false">
      <c r="A723" s="18" t="n">
        <v>13</v>
      </c>
      <c r="B723" s="44" t="s">
        <v>1426</v>
      </c>
      <c r="C723" s="16"/>
      <c r="D723" s="16"/>
      <c r="E723" s="86"/>
      <c r="F723" s="338"/>
    </row>
    <row r="724" customFormat="false" ht="15" hidden="false" customHeight="false" outlineLevel="0" collapsed="false">
      <c r="A724" s="18" t="n">
        <v>14</v>
      </c>
      <c r="B724" s="44" t="s">
        <v>1427</v>
      </c>
      <c r="C724" s="16"/>
      <c r="D724" s="16"/>
      <c r="E724" s="86"/>
      <c r="F724" s="338"/>
    </row>
    <row r="725" customFormat="false" ht="15" hidden="false" customHeight="false" outlineLevel="0" collapsed="false">
      <c r="A725" s="18" t="n">
        <v>15</v>
      </c>
      <c r="B725" s="44" t="s">
        <v>1428</v>
      </c>
      <c r="C725" s="16"/>
      <c r="D725" s="16"/>
      <c r="E725" s="86"/>
      <c r="F725" s="338"/>
    </row>
    <row r="726" customFormat="false" ht="15" hidden="false" customHeight="false" outlineLevel="0" collapsed="false">
      <c r="A726" s="18" t="n">
        <v>16</v>
      </c>
      <c r="B726" s="44" t="s">
        <v>1429</v>
      </c>
      <c r="C726" s="16"/>
      <c r="D726" s="16"/>
      <c r="E726" s="86"/>
      <c r="F726" s="338"/>
    </row>
    <row r="727" customFormat="false" ht="15" hidden="false" customHeight="false" outlineLevel="0" collapsed="false">
      <c r="A727" s="18" t="n">
        <v>17</v>
      </c>
      <c r="B727" s="44" t="s">
        <v>1430</v>
      </c>
      <c r="C727" s="16"/>
      <c r="D727" s="16"/>
      <c r="E727" s="86"/>
      <c r="F727" s="338"/>
    </row>
    <row r="728" customFormat="false" ht="15" hidden="false" customHeight="false" outlineLevel="0" collapsed="false">
      <c r="A728" s="18" t="n">
        <v>18</v>
      </c>
      <c r="B728" s="44" t="s">
        <v>1431</v>
      </c>
      <c r="C728" s="16"/>
      <c r="D728" s="16"/>
      <c r="E728" s="86"/>
      <c r="F728" s="338"/>
    </row>
    <row r="729" customFormat="false" ht="15" hidden="false" customHeight="false" outlineLevel="0" collapsed="false">
      <c r="A729" s="18" t="n">
        <v>19</v>
      </c>
      <c r="B729" s="44" t="s">
        <v>1432</v>
      </c>
      <c r="C729" s="16"/>
      <c r="D729" s="16"/>
      <c r="E729" s="86"/>
      <c r="F729" s="338"/>
    </row>
    <row r="730" customFormat="false" ht="15" hidden="false" customHeight="false" outlineLevel="0" collapsed="false">
      <c r="A730" s="18" t="n">
        <v>20</v>
      </c>
      <c r="B730" s="44" t="s">
        <v>1433</v>
      </c>
      <c r="C730" s="16"/>
      <c r="D730" s="16"/>
      <c r="E730" s="86"/>
      <c r="F730" s="338"/>
    </row>
    <row r="731" customFormat="false" ht="15" hidden="false" customHeight="false" outlineLevel="0" collapsed="false">
      <c r="A731" s="18" t="n">
        <v>21</v>
      </c>
      <c r="B731" s="44" t="s">
        <v>1434</v>
      </c>
      <c r="C731" s="16"/>
      <c r="D731" s="16"/>
      <c r="E731" s="86"/>
      <c r="F731" s="338"/>
    </row>
    <row r="732" customFormat="false" ht="15" hidden="false" customHeight="false" outlineLevel="0" collapsed="false">
      <c r="A732" s="18" t="n">
        <v>22</v>
      </c>
      <c r="B732" s="44" t="s">
        <v>1435</v>
      </c>
      <c r="C732" s="16"/>
      <c r="D732" s="16"/>
      <c r="E732" s="86"/>
      <c r="F732" s="338"/>
    </row>
    <row r="733" customFormat="false" ht="15" hidden="false" customHeight="false" outlineLevel="0" collapsed="false">
      <c r="A733" s="18" t="n">
        <v>23</v>
      </c>
      <c r="B733" s="44" t="s">
        <v>1436</v>
      </c>
      <c r="C733" s="16"/>
      <c r="D733" s="16"/>
      <c r="E733" s="86"/>
      <c r="F733" s="338"/>
    </row>
    <row r="734" customFormat="false" ht="15" hidden="false" customHeight="false" outlineLevel="0" collapsed="false">
      <c r="A734" s="18" t="n">
        <v>24</v>
      </c>
      <c r="B734" s="44" t="s">
        <v>1437</v>
      </c>
      <c r="C734" s="16"/>
      <c r="D734" s="16"/>
      <c r="E734" s="86"/>
      <c r="F734" s="338"/>
    </row>
    <row r="735" customFormat="false" ht="15" hidden="false" customHeight="false" outlineLevel="0" collapsed="false">
      <c r="A735" s="18" t="n">
        <v>25</v>
      </c>
      <c r="B735" s="44" t="s">
        <v>1438</v>
      </c>
      <c r="C735" s="16"/>
      <c r="D735" s="16"/>
      <c r="E735" s="86"/>
      <c r="F735" s="338"/>
    </row>
    <row r="736" customFormat="false" ht="15" hidden="false" customHeight="false" outlineLevel="0" collapsed="false">
      <c r="A736" s="18" t="n">
        <v>26</v>
      </c>
      <c r="B736" s="44" t="s">
        <v>1439</v>
      </c>
      <c r="C736" s="16"/>
      <c r="D736" s="16"/>
      <c r="E736" s="86"/>
      <c r="F736" s="338"/>
    </row>
    <row r="737" customFormat="false" ht="15" hidden="false" customHeight="false" outlineLevel="0" collapsed="false">
      <c r="A737" s="18" t="n">
        <v>27</v>
      </c>
      <c r="B737" s="44" t="s">
        <v>1440</v>
      </c>
      <c r="C737" s="16"/>
      <c r="D737" s="16"/>
      <c r="E737" s="86"/>
      <c r="F737" s="338"/>
    </row>
    <row r="738" customFormat="false" ht="15" hidden="false" customHeight="false" outlineLevel="0" collapsed="false">
      <c r="A738" s="18" t="n">
        <v>28</v>
      </c>
      <c r="B738" s="44" t="s">
        <v>1441</v>
      </c>
      <c r="C738" s="16"/>
      <c r="D738" s="16"/>
      <c r="E738" s="86"/>
      <c r="F738" s="338"/>
    </row>
    <row r="739" customFormat="false" ht="15" hidden="false" customHeight="false" outlineLevel="0" collapsed="false">
      <c r="A739" s="18" t="n">
        <v>29</v>
      </c>
      <c r="B739" s="44" t="s">
        <v>1442</v>
      </c>
      <c r="C739" s="16"/>
      <c r="D739" s="16"/>
      <c r="E739" s="86"/>
      <c r="F739" s="348"/>
    </row>
    <row r="740" customFormat="false" ht="15" hidden="false" customHeight="false" outlineLevel="0" collapsed="false">
      <c r="A740" s="18" t="n">
        <v>30</v>
      </c>
      <c r="B740" s="44" t="s">
        <v>1443</v>
      </c>
      <c r="C740" s="16"/>
      <c r="D740" s="16"/>
      <c r="E740" s="86"/>
      <c r="F740" s="348"/>
    </row>
    <row r="741" customFormat="false" ht="15" hidden="false" customHeight="false" outlineLevel="0" collapsed="false">
      <c r="A741" s="18" t="n">
        <v>31</v>
      </c>
      <c r="B741" s="44" t="s">
        <v>1444</v>
      </c>
      <c r="C741" s="16"/>
      <c r="D741" s="16"/>
      <c r="E741" s="86"/>
      <c r="F741" s="348"/>
    </row>
    <row r="742" customFormat="false" ht="15" hidden="false" customHeight="false" outlineLevel="0" collapsed="false">
      <c r="A742" s="18" t="n">
        <v>32</v>
      </c>
      <c r="B742" s="44" t="s">
        <v>1445</v>
      </c>
      <c r="C742" s="16"/>
      <c r="D742" s="16"/>
      <c r="E742" s="86"/>
      <c r="F742" s="348"/>
    </row>
    <row r="743" customFormat="false" ht="15" hidden="false" customHeight="false" outlineLevel="0" collapsed="false">
      <c r="A743" s="18" t="n">
        <v>33</v>
      </c>
      <c r="B743" s="44" t="s">
        <v>1446</v>
      </c>
      <c r="C743" s="16"/>
      <c r="D743" s="16"/>
      <c r="E743" s="86"/>
      <c r="F743" s="348"/>
    </row>
    <row r="744" customFormat="false" ht="15" hidden="false" customHeight="false" outlineLevel="0" collapsed="false">
      <c r="A744" s="18" t="n">
        <v>34</v>
      </c>
      <c r="B744" s="44" t="s">
        <v>1447</v>
      </c>
      <c r="C744" s="16"/>
      <c r="D744" s="16"/>
      <c r="E744" s="86"/>
      <c r="F744" s="348"/>
    </row>
    <row r="745" customFormat="false" ht="15" hidden="false" customHeight="false" outlineLevel="0" collapsed="false">
      <c r="A745" s="18" t="n">
        <v>35</v>
      </c>
      <c r="B745" s="44" t="s">
        <v>1448</v>
      </c>
      <c r="C745" s="16"/>
      <c r="D745" s="16"/>
      <c r="E745" s="86"/>
      <c r="F745" s="338"/>
    </row>
    <row r="746" customFormat="false" ht="15" hidden="false" customHeight="false" outlineLevel="0" collapsed="false">
      <c r="A746" s="18" t="n">
        <v>36</v>
      </c>
      <c r="B746" s="44" t="s">
        <v>1449</v>
      </c>
      <c r="C746" s="16"/>
      <c r="D746" s="16"/>
      <c r="E746" s="86"/>
      <c r="F746" s="338"/>
    </row>
    <row r="747" customFormat="false" ht="15" hidden="false" customHeight="false" outlineLevel="0" collapsed="false">
      <c r="A747" s="49" t="n">
        <v>37</v>
      </c>
      <c r="B747" s="44" t="s">
        <v>1450</v>
      </c>
      <c r="C747" s="16"/>
      <c r="D747" s="16"/>
      <c r="E747" s="86"/>
      <c r="F747" s="338"/>
    </row>
    <row r="748" customFormat="false" ht="15" hidden="false" customHeight="false" outlineLevel="0" collapsed="false">
      <c r="A748" s="49" t="n">
        <v>38</v>
      </c>
      <c r="B748" s="44" t="s">
        <v>1451</v>
      </c>
      <c r="C748" s="16"/>
      <c r="D748" s="16"/>
      <c r="E748" s="86"/>
      <c r="F748" s="338"/>
    </row>
    <row r="749" customFormat="false" ht="15" hidden="false" customHeight="false" outlineLevel="0" collapsed="false">
      <c r="A749" s="49" t="n">
        <v>39</v>
      </c>
      <c r="B749" s="44" t="s">
        <v>1452</v>
      </c>
      <c r="C749" s="16"/>
      <c r="D749" s="16"/>
      <c r="E749" s="86"/>
      <c r="F749" s="338"/>
    </row>
    <row r="750" customFormat="false" ht="15" hidden="false" customHeight="false" outlineLevel="0" collapsed="false">
      <c r="A750" s="18" t="n">
        <v>40</v>
      </c>
      <c r="B750" s="44" t="s">
        <v>1453</v>
      </c>
      <c r="C750" s="16"/>
      <c r="D750" s="16"/>
      <c r="E750" s="86"/>
      <c r="F750" s="338"/>
    </row>
    <row r="751" customFormat="false" ht="15" hidden="false" customHeight="false" outlineLevel="0" collapsed="false">
      <c r="A751" s="18" t="n">
        <v>41</v>
      </c>
      <c r="B751" s="44" t="s">
        <v>1454</v>
      </c>
      <c r="C751" s="16"/>
      <c r="D751" s="16"/>
      <c r="E751" s="86"/>
      <c r="F751" s="338"/>
    </row>
    <row r="752" customFormat="false" ht="15" hidden="false" customHeight="false" outlineLevel="0" collapsed="false">
      <c r="A752" s="18" t="n">
        <v>42</v>
      </c>
      <c r="B752" s="79" t="s">
        <v>1455</v>
      </c>
      <c r="C752" s="346"/>
      <c r="D752" s="346"/>
      <c r="E752" s="86"/>
      <c r="F752" s="338"/>
    </row>
    <row r="753" customFormat="false" ht="15" hidden="false" customHeight="false" outlineLevel="0" collapsed="false">
      <c r="A753" s="18" t="n">
        <v>43</v>
      </c>
      <c r="B753" s="44" t="s">
        <v>1456</v>
      </c>
      <c r="C753" s="16"/>
      <c r="D753" s="16"/>
      <c r="E753" s="86"/>
      <c r="F753" s="338"/>
    </row>
    <row r="754" customFormat="false" ht="15" hidden="false" customHeight="false" outlineLevel="0" collapsed="false">
      <c r="A754" s="18" t="n">
        <v>44</v>
      </c>
      <c r="B754" s="44" t="s">
        <v>1457</v>
      </c>
      <c r="C754" s="16"/>
      <c r="D754" s="16"/>
      <c r="E754" s="86"/>
      <c r="F754" s="338"/>
    </row>
    <row r="755" customFormat="false" ht="15" hidden="false" customHeight="false" outlineLevel="0" collapsed="false">
      <c r="A755" s="72" t="n">
        <v>45</v>
      </c>
      <c r="B755" s="44" t="s">
        <v>1458</v>
      </c>
      <c r="C755" s="16"/>
      <c r="D755" s="16"/>
      <c r="E755" s="86"/>
      <c r="F755" s="338"/>
    </row>
    <row r="756" customFormat="false" ht="15" hidden="false" customHeight="false" outlineLevel="0" collapsed="false">
      <c r="A756" s="72" t="n">
        <v>46</v>
      </c>
      <c r="B756" s="44" t="s">
        <v>1459</v>
      </c>
      <c r="C756" s="16"/>
      <c r="D756" s="16"/>
      <c r="E756" s="86"/>
      <c r="F756" s="338"/>
    </row>
    <row r="757" customFormat="false" ht="15" hidden="false" customHeight="false" outlineLevel="0" collapsed="false">
      <c r="A757" s="49" t="n">
        <v>47</v>
      </c>
      <c r="B757" s="44" t="s">
        <v>1460</v>
      </c>
      <c r="C757" s="16"/>
      <c r="D757" s="16"/>
      <c r="E757" s="86"/>
      <c r="F757" s="338"/>
    </row>
    <row r="758" customFormat="false" ht="15" hidden="false" customHeight="false" outlineLevel="0" collapsed="false">
      <c r="A758" s="18" t="n">
        <v>48</v>
      </c>
      <c r="B758" s="44" t="s">
        <v>1461</v>
      </c>
      <c r="C758" s="16"/>
      <c r="D758" s="16"/>
      <c r="E758" s="86"/>
      <c r="F758" s="338"/>
    </row>
    <row r="759" customFormat="false" ht="15" hidden="false" customHeight="false" outlineLevel="0" collapsed="false">
      <c r="A759" s="49" t="n">
        <v>49</v>
      </c>
      <c r="B759" s="44" t="s">
        <v>1462</v>
      </c>
      <c r="C759" s="16"/>
      <c r="D759" s="16"/>
      <c r="E759" s="86"/>
      <c r="F759" s="338"/>
    </row>
    <row r="760" customFormat="false" ht="15" hidden="false" customHeight="false" outlineLevel="0" collapsed="false">
      <c r="A760" s="18" t="n">
        <v>50</v>
      </c>
      <c r="B760" s="44" t="s">
        <v>1463</v>
      </c>
      <c r="C760" s="16"/>
      <c r="D760" s="16"/>
      <c r="E760" s="86"/>
      <c r="F760" s="338"/>
    </row>
    <row r="761" customFormat="false" ht="15" hidden="false" customHeight="false" outlineLevel="0" collapsed="false">
      <c r="A761" s="49" t="n">
        <v>51</v>
      </c>
      <c r="B761" s="44" t="s">
        <v>1464</v>
      </c>
      <c r="C761" s="16"/>
      <c r="D761" s="16"/>
      <c r="E761" s="86"/>
      <c r="F761" s="338"/>
    </row>
    <row r="762" customFormat="false" ht="15" hidden="false" customHeight="false" outlineLevel="0" collapsed="false">
      <c r="A762" s="18" t="n">
        <v>52</v>
      </c>
      <c r="B762" s="44" t="s">
        <v>1465</v>
      </c>
      <c r="C762" s="16"/>
      <c r="D762" s="16"/>
      <c r="E762" s="86"/>
      <c r="F762" s="338"/>
    </row>
    <row r="763" customFormat="false" ht="15" hidden="false" customHeight="false" outlineLevel="0" collapsed="false">
      <c r="A763" s="49" t="n">
        <v>53</v>
      </c>
      <c r="B763" s="44" t="s">
        <v>1466</v>
      </c>
      <c r="C763" s="16"/>
      <c r="D763" s="16"/>
      <c r="E763" s="86"/>
      <c r="F763" s="338"/>
    </row>
    <row r="764" customFormat="false" ht="15" hidden="false" customHeight="false" outlineLevel="0" collapsed="false">
      <c r="A764" s="18" t="n">
        <v>54</v>
      </c>
      <c r="B764" s="44" t="s">
        <v>1467</v>
      </c>
      <c r="C764" s="16"/>
      <c r="D764" s="16"/>
      <c r="E764" s="86"/>
      <c r="F764" s="338"/>
    </row>
    <row r="765" customFormat="false" ht="15" hidden="false" customHeight="false" outlineLevel="0" collapsed="false">
      <c r="A765" s="49" t="n">
        <v>55</v>
      </c>
      <c r="B765" s="44" t="s">
        <v>1468</v>
      </c>
      <c r="C765" s="16"/>
      <c r="D765" s="16"/>
      <c r="E765" s="86"/>
      <c r="F765" s="338"/>
    </row>
    <row r="766" customFormat="false" ht="15" hidden="false" customHeight="false" outlineLevel="0" collapsed="false">
      <c r="A766" s="49" t="n">
        <v>56</v>
      </c>
      <c r="B766" s="44" t="s">
        <v>1469</v>
      </c>
      <c r="C766" s="16"/>
      <c r="D766" s="16"/>
      <c r="E766" s="86"/>
      <c r="F766" s="338"/>
    </row>
    <row r="767" customFormat="false" ht="15" hidden="false" customHeight="false" outlineLevel="0" collapsed="false">
      <c r="A767" s="49" t="n">
        <v>57</v>
      </c>
      <c r="B767" s="44" t="s">
        <v>1470</v>
      </c>
      <c r="C767" s="16"/>
      <c r="D767" s="16"/>
      <c r="E767" s="86"/>
      <c r="F767" s="338"/>
    </row>
    <row r="768" customFormat="false" ht="15" hidden="false" customHeight="false" outlineLevel="0" collapsed="false">
      <c r="A768" s="49" t="n">
        <v>58</v>
      </c>
      <c r="B768" s="44" t="s">
        <v>1471</v>
      </c>
      <c r="C768" s="16"/>
      <c r="D768" s="16"/>
      <c r="E768" s="86"/>
      <c r="F768" s="338"/>
    </row>
    <row r="769" customFormat="false" ht="15" hidden="false" customHeight="false" outlineLevel="0" collapsed="false">
      <c r="A769" s="49" t="n">
        <v>59</v>
      </c>
      <c r="B769" s="44" t="s">
        <v>1472</v>
      </c>
      <c r="C769" s="16"/>
      <c r="D769" s="16"/>
      <c r="E769" s="86"/>
      <c r="F769" s="338"/>
    </row>
    <row r="770" customFormat="false" ht="15" hidden="false" customHeight="false" outlineLevel="0" collapsed="false">
      <c r="A770" s="49" t="n">
        <v>60</v>
      </c>
      <c r="B770" s="44" t="s">
        <v>1473</v>
      </c>
      <c r="C770" s="16"/>
      <c r="D770" s="16"/>
      <c r="E770" s="86"/>
      <c r="F770" s="338"/>
    </row>
    <row r="771" customFormat="false" ht="15" hidden="false" customHeight="false" outlineLevel="0" collapsed="false">
      <c r="A771" s="49" t="n">
        <v>61</v>
      </c>
      <c r="B771" s="44" t="s">
        <v>1474</v>
      </c>
      <c r="C771" s="16"/>
      <c r="D771" s="16"/>
      <c r="E771" s="86"/>
      <c r="F771" s="338"/>
    </row>
    <row r="772" customFormat="false" ht="15" hidden="false" customHeight="false" outlineLevel="0" collapsed="false">
      <c r="A772" s="49" t="n">
        <v>62</v>
      </c>
      <c r="B772" s="44" t="s">
        <v>1475</v>
      </c>
      <c r="C772" s="16"/>
      <c r="D772" s="16"/>
      <c r="E772" s="14"/>
      <c r="F772" s="338"/>
    </row>
    <row r="773" customFormat="false" ht="15" hidden="false" customHeight="false" outlineLevel="0" collapsed="false">
      <c r="A773" s="49" t="n">
        <v>63</v>
      </c>
      <c r="B773" s="44" t="s">
        <v>1476</v>
      </c>
      <c r="C773" s="16"/>
      <c r="D773" s="16"/>
      <c r="E773" s="86"/>
      <c r="F773" s="338"/>
    </row>
    <row r="774" customFormat="false" ht="15" hidden="false" customHeight="false" outlineLevel="0" collapsed="false">
      <c r="A774" s="49" t="n">
        <v>64</v>
      </c>
      <c r="B774" s="44" t="s">
        <v>1477</v>
      </c>
      <c r="C774" s="16"/>
      <c r="D774" s="16"/>
      <c r="E774" s="86"/>
      <c r="F774" s="338"/>
    </row>
    <row r="775" customFormat="false" ht="15" hidden="false" customHeight="false" outlineLevel="0" collapsed="false">
      <c r="A775" s="49" t="n">
        <v>65</v>
      </c>
      <c r="B775" s="44" t="s">
        <v>1478</v>
      </c>
      <c r="C775" s="16"/>
      <c r="D775" s="16"/>
      <c r="E775" s="86"/>
      <c r="F775" s="338"/>
    </row>
    <row r="776" customFormat="false" ht="15" hidden="false" customHeight="false" outlineLevel="0" collapsed="false">
      <c r="A776" s="49" t="n">
        <v>66</v>
      </c>
      <c r="B776" s="44" t="s">
        <v>1479</v>
      </c>
      <c r="C776" s="16"/>
      <c r="D776" s="16"/>
      <c r="E776" s="86"/>
      <c r="F776" s="338"/>
    </row>
    <row r="777" customFormat="false" ht="15" hidden="false" customHeight="false" outlineLevel="0" collapsed="false">
      <c r="A777" s="49" t="n">
        <v>67</v>
      </c>
      <c r="B777" s="44" t="s">
        <v>1480</v>
      </c>
      <c r="C777" s="16"/>
      <c r="D777" s="16"/>
      <c r="E777" s="86"/>
      <c r="F777" s="338"/>
    </row>
    <row r="778" customFormat="false" ht="15" hidden="false" customHeight="false" outlineLevel="0" collapsed="false">
      <c r="A778" s="49" t="n">
        <v>68</v>
      </c>
      <c r="B778" s="44" t="s">
        <v>1481</v>
      </c>
      <c r="C778" s="16"/>
      <c r="D778" s="16"/>
      <c r="E778" s="86"/>
      <c r="F778" s="338"/>
    </row>
    <row r="779" customFormat="false" ht="15" hidden="false" customHeight="false" outlineLevel="0" collapsed="false">
      <c r="A779" s="49" t="n">
        <v>69</v>
      </c>
      <c r="B779" s="44" t="s">
        <v>1482</v>
      </c>
      <c r="C779" s="16"/>
      <c r="D779" s="16"/>
      <c r="E779" s="86"/>
      <c r="F779" s="338"/>
    </row>
    <row r="780" customFormat="false" ht="15" hidden="false" customHeight="false" outlineLevel="0" collapsed="false">
      <c r="A780" s="49" t="n">
        <v>70</v>
      </c>
      <c r="B780" s="44" t="s">
        <v>1483</v>
      </c>
      <c r="C780" s="16"/>
      <c r="D780" s="16"/>
      <c r="E780" s="86"/>
      <c r="F780" s="338"/>
    </row>
    <row r="781" customFormat="false" ht="15" hidden="false" customHeight="false" outlineLevel="0" collapsed="false">
      <c r="A781" s="49" t="n">
        <v>71</v>
      </c>
      <c r="B781" s="44" t="s">
        <v>1484</v>
      </c>
      <c r="C781" s="16"/>
      <c r="D781" s="16"/>
      <c r="E781" s="86"/>
      <c r="F781" s="338"/>
    </row>
    <row r="782" customFormat="false" ht="15" hidden="false" customHeight="false" outlineLevel="0" collapsed="false">
      <c r="A782" s="49" t="n">
        <v>72</v>
      </c>
      <c r="B782" s="44" t="s">
        <v>1485</v>
      </c>
      <c r="C782" s="16"/>
      <c r="D782" s="16"/>
      <c r="E782" s="86"/>
      <c r="F782" s="338"/>
    </row>
    <row r="783" customFormat="false" ht="15" hidden="false" customHeight="false" outlineLevel="0" collapsed="false">
      <c r="A783" s="49" t="n">
        <v>73</v>
      </c>
      <c r="B783" s="44" t="s">
        <v>1486</v>
      </c>
      <c r="C783" s="16"/>
      <c r="D783" s="16"/>
      <c r="E783" s="86"/>
      <c r="F783" s="338"/>
    </row>
    <row r="784" customFormat="false" ht="15" hidden="false" customHeight="false" outlineLevel="0" collapsed="false">
      <c r="A784" s="49" t="n">
        <v>74</v>
      </c>
      <c r="B784" s="44" t="s">
        <v>1487</v>
      </c>
      <c r="C784" s="16"/>
      <c r="D784" s="16"/>
      <c r="E784" s="86"/>
      <c r="F784" s="338"/>
    </row>
    <row r="785" customFormat="false" ht="15" hidden="false" customHeight="false" outlineLevel="0" collapsed="false">
      <c r="A785" s="49" t="n">
        <v>75</v>
      </c>
      <c r="B785" s="44" t="s">
        <v>1488</v>
      </c>
      <c r="C785" s="16"/>
      <c r="D785" s="16"/>
      <c r="E785" s="86"/>
      <c r="F785" s="338"/>
    </row>
    <row r="786" customFormat="false" ht="15" hidden="false" customHeight="false" outlineLevel="0" collapsed="false">
      <c r="A786" s="49" t="n">
        <v>76</v>
      </c>
      <c r="B786" s="79" t="s">
        <v>1489</v>
      </c>
      <c r="C786" s="346"/>
      <c r="D786" s="346"/>
      <c r="E786" s="86"/>
      <c r="F786" s="338"/>
    </row>
    <row r="787" customFormat="false" ht="15" hidden="false" customHeight="false" outlineLevel="0" collapsed="false">
      <c r="A787" s="49" t="n">
        <v>77</v>
      </c>
      <c r="B787" s="44" t="s">
        <v>1490</v>
      </c>
      <c r="C787" s="16"/>
      <c r="D787" s="16"/>
      <c r="E787" s="86"/>
      <c r="F787" s="338"/>
    </row>
    <row r="788" customFormat="false" ht="15" hidden="false" customHeight="false" outlineLevel="0" collapsed="false">
      <c r="A788" s="49" t="n">
        <v>78</v>
      </c>
      <c r="B788" s="44" t="s">
        <v>1491</v>
      </c>
      <c r="C788" s="16"/>
      <c r="D788" s="16"/>
      <c r="E788" s="86"/>
      <c r="F788" s="338"/>
    </row>
    <row r="789" customFormat="false" ht="15" hidden="false" customHeight="false" outlineLevel="0" collapsed="false">
      <c r="A789" s="49" t="n">
        <v>79</v>
      </c>
      <c r="B789" s="44" t="s">
        <v>1492</v>
      </c>
      <c r="C789" s="16"/>
      <c r="D789" s="16"/>
      <c r="E789" s="86"/>
      <c r="F789" s="338"/>
    </row>
    <row r="790" customFormat="false" ht="15" hidden="false" customHeight="false" outlineLevel="0" collapsed="false">
      <c r="A790" s="49" t="n">
        <v>80</v>
      </c>
      <c r="B790" s="44" t="s">
        <v>1493</v>
      </c>
      <c r="C790" s="16"/>
      <c r="D790" s="16"/>
      <c r="E790" s="86"/>
      <c r="F790" s="338"/>
    </row>
    <row r="791" customFormat="false" ht="15" hidden="false" customHeight="false" outlineLevel="0" collapsed="false">
      <c r="A791" s="49" t="n">
        <v>81</v>
      </c>
      <c r="B791" s="44" t="s">
        <v>1494</v>
      </c>
      <c r="C791" s="16"/>
      <c r="D791" s="16"/>
      <c r="E791" s="86"/>
      <c r="F791" s="338"/>
    </row>
    <row r="792" customFormat="false" ht="15" hidden="false" customHeight="false" outlineLevel="0" collapsed="false">
      <c r="A792" s="49" t="n">
        <v>82</v>
      </c>
      <c r="B792" s="44" t="s">
        <v>1495</v>
      </c>
      <c r="C792" s="16"/>
      <c r="D792" s="16"/>
      <c r="E792" s="86"/>
      <c r="F792" s="338"/>
    </row>
    <row r="793" customFormat="false" ht="17.35" hidden="false" customHeight="false" outlineLevel="0" collapsed="false">
      <c r="A793" s="83"/>
      <c r="B793" s="20" t="s">
        <v>22</v>
      </c>
      <c r="C793" s="21" t="n">
        <f aca="false">SUM(C711:C792)</f>
        <v>0</v>
      </c>
      <c r="D793" s="91" t="n">
        <f aca="false">SUM(D711:D792)</f>
        <v>0</v>
      </c>
      <c r="E793" s="96" t="n">
        <f aca="false">SUM(E711:E792)</f>
        <v>0</v>
      </c>
      <c r="F793" s="339"/>
    </row>
    <row r="794" customFormat="false" ht="17.35" hidden="false" customHeight="false" outlineLevel="0" collapsed="false">
      <c r="A794" s="84"/>
      <c r="B794" s="36"/>
      <c r="C794" s="37"/>
      <c r="D794" s="331"/>
      <c r="E794" s="119"/>
    </row>
    <row r="795" customFormat="false" ht="17.35" hidden="false" customHeight="false" outlineLevel="0" collapsed="false">
      <c r="A795" s="84"/>
      <c r="B795" s="36"/>
      <c r="C795" s="37"/>
      <c r="D795" s="331"/>
      <c r="E795" s="119"/>
    </row>
    <row r="796" customFormat="false" ht="17.35" hidden="false" customHeight="false" outlineLevel="0" collapsed="false">
      <c r="A796" s="40"/>
      <c r="B796" s="2" t="s">
        <v>504</v>
      </c>
    </row>
    <row r="797" customFormat="false" ht="17.35" hidden="false" customHeight="false" outlineLevel="0" collapsed="false">
      <c r="A797" s="62"/>
    </row>
    <row r="798" customFormat="false" ht="15" hidden="false" customHeight="false" outlineLevel="0" collapsed="false">
      <c r="A798" s="40"/>
    </row>
    <row r="799" customFormat="false" ht="17.25" hidden="false" customHeight="false" outlineLevel="0" collapsed="false">
      <c r="A799" s="40"/>
      <c r="B799" s="4" t="s">
        <v>476</v>
      </c>
    </row>
    <row r="800" customFormat="false" ht="15" hidden="false" customHeight="false" outlineLevel="0" collapsed="false">
      <c r="A800" s="40"/>
      <c r="D800" s="77" t="s">
        <v>51</v>
      </c>
    </row>
    <row r="801" customFormat="false" ht="15" hidden="false" customHeight="false" outlineLevel="0" collapsed="false">
      <c r="A801" s="40"/>
    </row>
    <row r="802" customFormat="false" ht="15" hidden="false" customHeight="false" outlineLevel="0" collapsed="false">
      <c r="A802" s="6" t="s">
        <v>5</v>
      </c>
      <c r="B802" s="7" t="s">
        <v>6</v>
      </c>
      <c r="C802" s="8" t="s">
        <v>7</v>
      </c>
      <c r="D802" s="9" t="s">
        <v>8</v>
      </c>
      <c r="E802" s="93" t="s">
        <v>9</v>
      </c>
      <c r="F802" s="322" t="s">
        <v>1349</v>
      </c>
    </row>
    <row r="803" customFormat="false" ht="15" hidden="false" customHeight="false" outlineLevel="0" collapsed="false">
      <c r="A803" s="349" t="n">
        <v>1</v>
      </c>
      <c r="B803" s="15" t="s">
        <v>484</v>
      </c>
      <c r="C803" s="16"/>
      <c r="D803" s="16"/>
      <c r="E803" s="86"/>
      <c r="F803" s="344"/>
    </row>
    <row r="804" customFormat="false" ht="15" hidden="false" customHeight="false" outlineLevel="0" collapsed="false">
      <c r="A804" s="49" t="n">
        <v>2</v>
      </c>
      <c r="B804" s="32" t="s">
        <v>487</v>
      </c>
      <c r="C804" s="13"/>
      <c r="D804" s="13"/>
      <c r="E804" s="14"/>
      <c r="F804" s="338"/>
    </row>
    <row r="805" customFormat="false" ht="15" hidden="false" customHeight="false" outlineLevel="0" collapsed="false">
      <c r="A805" s="18" t="n">
        <v>3</v>
      </c>
      <c r="B805" s="32" t="s">
        <v>493</v>
      </c>
      <c r="C805" s="16"/>
      <c r="D805" s="16"/>
      <c r="E805" s="86"/>
      <c r="F805" s="338"/>
    </row>
    <row r="806" customFormat="false" ht="17.35" hidden="false" customHeight="false" outlineLevel="0" collapsed="false">
      <c r="A806" s="19"/>
      <c r="B806" s="20" t="s">
        <v>22</v>
      </c>
      <c r="C806" s="21" t="n">
        <f aca="false">SUM(C803:C805)</f>
        <v>0</v>
      </c>
      <c r="D806" s="91" t="n">
        <f aca="false">SUM(D803:D805)</f>
        <v>0</v>
      </c>
      <c r="E806" s="96" t="n">
        <f aca="false">SUM(E803:E805)</f>
        <v>0</v>
      </c>
      <c r="F806" s="339"/>
    </row>
    <row r="807" customFormat="false" ht="17.35" hidden="false" customHeight="false" outlineLevel="0" collapsed="false">
      <c r="A807" s="84"/>
      <c r="B807" s="36"/>
      <c r="C807" s="37"/>
      <c r="D807" s="331"/>
      <c r="E807" s="119"/>
    </row>
    <row r="809" customFormat="false" ht="17.35" hidden="false" customHeight="false" outlineLevel="0" collapsed="false">
      <c r="B809" s="2" t="s">
        <v>504</v>
      </c>
    </row>
    <row r="810" customFormat="false" ht="17.35" hidden="false" customHeight="false" outlineLevel="0" collapsed="false">
      <c r="A810" s="62"/>
    </row>
    <row r="811" customFormat="false" ht="15" hidden="false" customHeight="false" outlineLevel="0" collapsed="false">
      <c r="A811" s="40"/>
    </row>
    <row r="812" customFormat="false" ht="17.25" hidden="false" customHeight="false" outlineLevel="0" collapsed="false">
      <c r="A812" s="40"/>
      <c r="B812" s="4" t="s">
        <v>483</v>
      </c>
    </row>
    <row r="813" customFormat="false" ht="15" hidden="false" customHeight="false" outlineLevel="0" collapsed="false">
      <c r="A813" s="40"/>
      <c r="D813" s="77" t="s">
        <v>23</v>
      </c>
    </row>
    <row r="814" customFormat="false" ht="15" hidden="false" customHeight="false" outlineLevel="0" collapsed="false">
      <c r="A814" s="40"/>
    </row>
    <row r="815" customFormat="false" ht="15" hidden="false" customHeight="false" outlineLevel="0" collapsed="false">
      <c r="A815" s="6" t="s">
        <v>5</v>
      </c>
      <c r="B815" s="7" t="s">
        <v>6</v>
      </c>
      <c r="C815" s="8" t="s">
        <v>7</v>
      </c>
      <c r="D815" s="9" t="s">
        <v>8</v>
      </c>
      <c r="E815" s="93" t="s">
        <v>9</v>
      </c>
      <c r="F815" s="322" t="s">
        <v>1349</v>
      </c>
    </row>
    <row r="816" customFormat="false" ht="15" hidden="false" customHeight="false" outlineLevel="0" collapsed="false">
      <c r="A816" s="18" t="n">
        <v>1</v>
      </c>
      <c r="B816" s="32" t="s">
        <v>1496</v>
      </c>
      <c r="C816" s="16"/>
      <c r="D816" s="16"/>
      <c r="E816" s="86"/>
      <c r="F816" s="344"/>
    </row>
    <row r="817" customFormat="false" ht="15" hidden="false" customHeight="false" outlineLevel="0" collapsed="false">
      <c r="A817" s="18" t="n">
        <v>2</v>
      </c>
      <c r="B817" s="50" t="s">
        <v>1497</v>
      </c>
      <c r="C817" s="16"/>
      <c r="D817" s="16"/>
      <c r="E817" s="86"/>
      <c r="F817" s="338"/>
    </row>
    <row r="818" customFormat="false" ht="15" hidden="false" customHeight="false" outlineLevel="0" collapsed="false">
      <c r="A818" s="56" t="n">
        <v>3</v>
      </c>
      <c r="B818" s="32" t="s">
        <v>1498</v>
      </c>
      <c r="C818" s="16"/>
      <c r="D818" s="16"/>
      <c r="E818" s="86"/>
      <c r="F818" s="338"/>
    </row>
    <row r="819" customFormat="false" ht="15" hidden="false" customHeight="false" outlineLevel="0" collapsed="false">
      <c r="A819" s="18" t="n">
        <v>4</v>
      </c>
      <c r="B819" s="32" t="s">
        <v>1499</v>
      </c>
      <c r="C819" s="16"/>
      <c r="D819" s="16"/>
      <c r="E819" s="86"/>
      <c r="F819" s="338"/>
    </row>
    <row r="820" customFormat="false" ht="15" hidden="false" customHeight="false" outlineLevel="0" collapsed="false">
      <c r="A820" s="18" t="n">
        <v>5</v>
      </c>
      <c r="B820" s="32" t="s">
        <v>1500</v>
      </c>
      <c r="C820" s="16"/>
      <c r="D820" s="16"/>
      <c r="E820" s="86"/>
      <c r="F820" s="338"/>
    </row>
    <row r="821" customFormat="false" ht="15" hidden="false" customHeight="false" outlineLevel="0" collapsed="false">
      <c r="A821" s="18" t="n">
        <v>6</v>
      </c>
      <c r="B821" s="32" t="s">
        <v>1501</v>
      </c>
      <c r="C821" s="16"/>
      <c r="D821" s="16"/>
      <c r="E821" s="86"/>
      <c r="F821" s="338"/>
    </row>
    <row r="822" customFormat="false" ht="17.35" hidden="false" customHeight="false" outlineLevel="0" collapsed="false">
      <c r="A822" s="18"/>
      <c r="B822" s="55" t="s">
        <v>22</v>
      </c>
      <c r="C822" s="21" t="n">
        <f aca="false">SUM(C816:C821)</f>
        <v>0</v>
      </c>
      <c r="D822" s="350" t="n">
        <f aca="false">SUM(D816:D821)</f>
        <v>0</v>
      </c>
      <c r="E822" s="96" t="n">
        <f aca="false">SUM(E816:E821)</f>
        <v>0</v>
      </c>
      <c r="F822" s="339"/>
    </row>
    <row r="823" customFormat="false" ht="15" hidden="false" customHeight="false" outlineLevel="0" collapsed="false">
      <c r="F823" s="24"/>
    </row>
    <row r="827" customFormat="false" ht="17.35" hidden="false" customHeight="false" outlineLevel="0" collapsed="false">
      <c r="A827" s="40"/>
      <c r="B827" s="2" t="s">
        <v>504</v>
      </c>
    </row>
    <row r="828" customFormat="false" ht="17.35" hidden="false" customHeight="false" outlineLevel="0" collapsed="false">
      <c r="A828" s="62"/>
    </row>
    <row r="829" customFormat="false" ht="15" hidden="false" customHeight="false" outlineLevel="0" collapsed="false">
      <c r="A829" s="40"/>
    </row>
    <row r="830" customFormat="false" ht="17.25" hidden="false" customHeight="false" outlineLevel="0" collapsed="false">
      <c r="A830" s="40"/>
      <c r="B830" s="4" t="s">
        <v>494</v>
      </c>
    </row>
    <row r="831" customFormat="false" ht="15" hidden="false" customHeight="false" outlineLevel="0" collapsed="false">
      <c r="A831" s="40"/>
      <c r="D831" s="77" t="s">
        <v>51</v>
      </c>
    </row>
    <row r="832" customFormat="false" ht="15" hidden="false" customHeight="false" outlineLevel="0" collapsed="false">
      <c r="A832" s="40"/>
    </row>
    <row r="833" customFormat="false" ht="15" hidden="false" customHeight="false" outlineLevel="0" collapsed="false">
      <c r="A833" s="6" t="s">
        <v>5</v>
      </c>
      <c r="B833" s="7" t="s">
        <v>6</v>
      </c>
      <c r="C833" s="8" t="s">
        <v>7</v>
      </c>
      <c r="D833" s="9" t="s">
        <v>8</v>
      </c>
      <c r="E833" s="93" t="s">
        <v>9</v>
      </c>
      <c r="F833" s="322" t="s">
        <v>1349</v>
      </c>
    </row>
    <row r="834" customFormat="false" ht="15" hidden="false" customHeight="false" outlineLevel="0" collapsed="false">
      <c r="A834" s="49" t="n">
        <v>1</v>
      </c>
      <c r="B834" s="32" t="s">
        <v>505</v>
      </c>
      <c r="C834" s="16"/>
      <c r="D834" s="16"/>
      <c r="E834" s="86"/>
      <c r="F834" s="344"/>
    </row>
    <row r="835" customFormat="false" ht="15" hidden="false" customHeight="false" outlineLevel="0" collapsed="false">
      <c r="A835" s="49" t="n">
        <v>2</v>
      </c>
      <c r="B835" s="32" t="s">
        <v>508</v>
      </c>
      <c r="C835" s="16"/>
      <c r="D835" s="16"/>
      <c r="E835" s="86"/>
      <c r="F835" s="338"/>
    </row>
    <row r="836" customFormat="false" ht="15" hidden="false" customHeight="false" outlineLevel="0" collapsed="false">
      <c r="A836" s="49" t="n">
        <v>3</v>
      </c>
      <c r="B836" s="32" t="s">
        <v>509</v>
      </c>
      <c r="C836" s="86"/>
      <c r="D836" s="65"/>
      <c r="E836" s="86"/>
      <c r="F836" s="338"/>
    </row>
    <row r="837" customFormat="false" ht="17.35" hidden="false" customHeight="false" outlineLevel="0" collapsed="false">
      <c r="A837" s="19"/>
      <c r="B837" s="20" t="s">
        <v>22</v>
      </c>
      <c r="C837" s="21" t="n">
        <f aca="false">SUM(C834:C836)</f>
        <v>0</v>
      </c>
      <c r="D837" s="91" t="n">
        <f aca="false">SUM(D834:D836)</f>
        <v>0</v>
      </c>
      <c r="E837" s="96" t="n">
        <f aca="false">SUM(E834:E836)</f>
        <v>0</v>
      </c>
      <c r="F837" s="339"/>
    </row>
    <row r="841" customFormat="false" ht="17.35" hidden="false" customHeight="false" outlineLevel="0" collapsed="false">
      <c r="B841" s="2" t="s">
        <v>504</v>
      </c>
    </row>
    <row r="843" customFormat="false" ht="17.25" hidden="false" customHeight="false" outlineLevel="0" collapsed="false">
      <c r="B843" s="3" t="s">
        <v>1502</v>
      </c>
    </row>
    <row r="844" customFormat="false" ht="15" hidden="false" customHeight="false" outlineLevel="0" collapsed="false">
      <c r="B844" s="4"/>
      <c r="E844" s="77" t="s">
        <v>23</v>
      </c>
    </row>
    <row r="847" customFormat="false" ht="15" hidden="false" customHeight="false" outlineLevel="0" collapsed="false">
      <c r="A847" s="6" t="s">
        <v>5</v>
      </c>
      <c r="B847" s="7" t="s">
        <v>6</v>
      </c>
      <c r="C847" s="8" t="s">
        <v>7</v>
      </c>
      <c r="D847" s="9" t="s">
        <v>8</v>
      </c>
      <c r="E847" s="93" t="s">
        <v>9</v>
      </c>
      <c r="F847" s="322" t="s">
        <v>1349</v>
      </c>
    </row>
    <row r="848" customFormat="false" ht="15" hidden="false" customHeight="false" outlineLevel="0" collapsed="false">
      <c r="A848" s="49" t="n">
        <v>1</v>
      </c>
      <c r="B848" s="88" t="s">
        <v>1503</v>
      </c>
      <c r="C848" s="86"/>
      <c r="D848" s="65"/>
      <c r="E848" s="86"/>
      <c r="F848" s="344"/>
    </row>
    <row r="849" customFormat="false" ht="15" hidden="false" customHeight="false" outlineLevel="0" collapsed="false">
      <c r="A849" s="49" t="n">
        <v>2</v>
      </c>
      <c r="B849" s="88" t="s">
        <v>1504</v>
      </c>
      <c r="C849" s="86"/>
      <c r="D849" s="16"/>
      <c r="E849" s="86"/>
      <c r="F849" s="338"/>
    </row>
    <row r="850" customFormat="false" ht="15" hidden="false" customHeight="false" outlineLevel="0" collapsed="false">
      <c r="A850" s="49" t="n">
        <v>3</v>
      </c>
      <c r="B850" s="88" t="s">
        <v>1505</v>
      </c>
      <c r="C850" s="86"/>
      <c r="D850" s="16"/>
      <c r="E850" s="86"/>
      <c r="F850" s="338"/>
    </row>
    <row r="851" customFormat="false" ht="15" hidden="false" customHeight="false" outlineLevel="0" collapsed="false">
      <c r="A851" s="18" t="n">
        <v>4</v>
      </c>
      <c r="B851" s="88" t="s">
        <v>1506</v>
      </c>
      <c r="C851" s="86"/>
      <c r="D851" s="16"/>
      <c r="E851" s="86"/>
      <c r="F851" s="338"/>
    </row>
    <row r="852" customFormat="false" ht="15" hidden="false" customHeight="false" outlineLevel="0" collapsed="false">
      <c r="A852" s="18" t="n">
        <v>5</v>
      </c>
      <c r="B852" s="88" t="s">
        <v>1507</v>
      </c>
      <c r="C852" s="86"/>
      <c r="D852" s="16"/>
      <c r="E852" s="86"/>
      <c r="F852" s="338"/>
    </row>
    <row r="853" customFormat="false" ht="15" hidden="false" customHeight="false" outlineLevel="0" collapsed="false">
      <c r="A853" s="18" t="n">
        <v>6</v>
      </c>
      <c r="B853" s="88" t="s">
        <v>1508</v>
      </c>
      <c r="C853" s="86"/>
      <c r="D853" s="16"/>
      <c r="E853" s="86"/>
      <c r="F853" s="338"/>
    </row>
    <row r="854" customFormat="false" ht="15" hidden="false" customHeight="false" outlineLevel="0" collapsed="false">
      <c r="A854" s="18" t="n">
        <v>7</v>
      </c>
      <c r="B854" s="88" t="s">
        <v>1509</v>
      </c>
      <c r="C854" s="86"/>
      <c r="D854" s="16"/>
      <c r="E854" s="86"/>
      <c r="F854" s="338"/>
    </row>
    <row r="855" customFormat="false" ht="17.35" hidden="false" customHeight="false" outlineLevel="0" collapsed="false">
      <c r="A855" s="18"/>
      <c r="B855" s="20" t="s">
        <v>22</v>
      </c>
      <c r="C855" s="21" t="n">
        <f aca="false">SUM(C848:C854)</f>
        <v>0</v>
      </c>
      <c r="D855" s="91" t="n">
        <f aca="false">SUM(D848:D854)</f>
        <v>0</v>
      </c>
      <c r="E855" s="96" t="n">
        <f aca="false">SUM(E848:E854)</f>
        <v>0</v>
      </c>
      <c r="F855" s="339"/>
    </row>
    <row r="859" customFormat="false" ht="17.35" hidden="false" customHeight="false" outlineLevel="0" collapsed="false">
      <c r="A859" s="62"/>
      <c r="B859" s="2" t="s">
        <v>504</v>
      </c>
      <c r="C859" s="2"/>
    </row>
    <row r="860" customFormat="false" ht="15" hidden="false" customHeight="false" outlineLevel="0" collapsed="false">
      <c r="A860" s="40"/>
    </row>
    <row r="861" customFormat="false" ht="15" hidden="false" customHeight="false" outlineLevel="0" collapsed="false">
      <c r="A861" s="0"/>
      <c r="B861" s="0"/>
      <c r="C861" s="0"/>
      <c r="D861" s="0"/>
      <c r="E861" s="0"/>
      <c r="F861" s="0"/>
      <c r="G861" s="0"/>
    </row>
    <row r="862" customFormat="false" ht="15" hidden="false" customHeight="false" outlineLevel="0" collapsed="false">
      <c r="A862" s="0"/>
      <c r="B862" s="0"/>
      <c r="C862" s="0"/>
      <c r="D862" s="0"/>
      <c r="E862" s="0"/>
      <c r="F862" s="0"/>
      <c r="G862" s="0"/>
    </row>
    <row r="863" customFormat="false" ht="15" hidden="false" customHeight="false" outlineLevel="0" collapsed="false">
      <c r="A863" s="0"/>
      <c r="B863" s="0"/>
      <c r="C863" s="0"/>
      <c r="D863" s="0"/>
      <c r="E863" s="0"/>
      <c r="F863" s="0"/>
      <c r="G863" s="0"/>
    </row>
    <row r="864" customFormat="false" ht="15" hidden="false" customHeight="false" outlineLevel="0" collapsed="false">
      <c r="A864" s="0"/>
      <c r="B864" s="0"/>
      <c r="C864" s="0"/>
      <c r="D864" s="0"/>
      <c r="E864" s="0"/>
      <c r="F864" s="0"/>
      <c r="G864" s="0"/>
    </row>
    <row r="865" customFormat="false" ht="15" hidden="false" customHeight="false" outlineLevel="0" collapsed="false">
      <c r="A865" s="0"/>
      <c r="B865" s="0"/>
      <c r="C865" s="0"/>
      <c r="D865" s="0"/>
      <c r="E865" s="0"/>
      <c r="F865" s="0"/>
      <c r="G865" s="0"/>
    </row>
    <row r="866" customFormat="false" ht="15" hidden="false" customHeight="false" outlineLevel="0" collapsed="false">
      <c r="A866" s="0"/>
      <c r="B866" s="0"/>
      <c r="C866" s="0"/>
      <c r="D866" s="0"/>
      <c r="E866" s="0"/>
      <c r="F866" s="0"/>
      <c r="G866" s="0"/>
    </row>
    <row r="867" customFormat="false" ht="15" hidden="false" customHeight="false" outlineLevel="0" collapsed="false">
      <c r="A867" s="0"/>
      <c r="B867" s="0"/>
      <c r="C867" s="0"/>
      <c r="D867" s="0"/>
      <c r="E867" s="0"/>
      <c r="F867" s="0"/>
      <c r="G867" s="0"/>
    </row>
    <row r="868" customFormat="false" ht="15" hidden="false" customHeight="false" outlineLevel="0" collapsed="false">
      <c r="A868" s="0"/>
      <c r="B868" s="0"/>
      <c r="C868" s="0"/>
      <c r="D868" s="0"/>
      <c r="E868" s="0"/>
      <c r="F868" s="0"/>
      <c r="G868" s="0"/>
    </row>
    <row r="873" customFormat="false" ht="17.35" hidden="false" customHeight="false" outlineLevel="0" collapsed="false">
      <c r="A873" s="62"/>
      <c r="B873" s="2" t="s">
        <v>504</v>
      </c>
      <c r="C873" s="2"/>
    </row>
    <row r="874" customFormat="false" ht="15" hidden="false" customHeight="false" outlineLevel="0" collapsed="false">
      <c r="A874" s="40"/>
    </row>
    <row r="875" customFormat="false" ht="15" hidden="false" customHeight="false" outlineLevel="0" collapsed="false">
      <c r="A875" s="40"/>
    </row>
    <row r="876" customFormat="false" ht="17.25" hidden="false" customHeight="false" outlineLevel="0" collapsed="false">
      <c r="A876" s="40"/>
      <c r="B876" s="4" t="s">
        <v>520</v>
      </c>
      <c r="D876" s="77" t="s">
        <v>23</v>
      </c>
    </row>
    <row r="877" customFormat="false" ht="15" hidden="false" customHeight="false" outlineLevel="0" collapsed="false">
      <c r="A877" s="40"/>
    </row>
    <row r="878" customFormat="false" ht="15" hidden="false" customHeight="false" outlineLevel="0" collapsed="false">
      <c r="A878" s="6" t="s">
        <v>5</v>
      </c>
      <c r="B878" s="7" t="s">
        <v>6</v>
      </c>
      <c r="C878" s="8" t="s">
        <v>7</v>
      </c>
      <c r="D878" s="9" t="s">
        <v>8</v>
      </c>
      <c r="E878" s="93" t="s">
        <v>9</v>
      </c>
      <c r="F878" s="322" t="s">
        <v>1349</v>
      </c>
    </row>
    <row r="879" customFormat="false" ht="15" hidden="false" customHeight="false" outlineLevel="0" collapsed="false">
      <c r="A879" s="18" t="n">
        <v>1</v>
      </c>
      <c r="B879" s="32" t="s">
        <v>1510</v>
      </c>
      <c r="C879" s="94"/>
      <c r="D879" s="94"/>
      <c r="E879" s="95"/>
      <c r="F879" s="351"/>
    </row>
    <row r="880" customFormat="false" ht="15" hidden="false" customHeight="false" outlineLevel="0" collapsed="false">
      <c r="A880" s="18" t="n">
        <v>2</v>
      </c>
      <c r="B880" s="32" t="s">
        <v>1511</v>
      </c>
      <c r="C880" s="94"/>
      <c r="D880" s="94"/>
      <c r="E880" s="95"/>
      <c r="F880" s="351"/>
    </row>
    <row r="881" customFormat="false" ht="17.35" hidden="false" customHeight="false" outlineLevel="0" collapsed="false">
      <c r="A881" s="19"/>
      <c r="B881" s="20" t="s">
        <v>22</v>
      </c>
      <c r="C881" s="21" t="n">
        <f aca="false">SUM(C879:C880)</f>
        <v>0</v>
      </c>
      <c r="D881" s="91" t="n">
        <f aca="false">SUM(D879:D880)</f>
        <v>0</v>
      </c>
      <c r="E881" s="96" t="n">
        <f aca="false">SUM(E879:E880)</f>
        <v>0</v>
      </c>
      <c r="F881" s="352"/>
    </row>
    <row r="890" customFormat="false" ht="17.35" hidden="false" customHeight="false" outlineLevel="0" collapsed="false">
      <c r="A890" s="40"/>
      <c r="B890" s="2" t="s">
        <v>504</v>
      </c>
    </row>
    <row r="891" customFormat="false" ht="17.35" hidden="false" customHeight="false" outlineLevel="0" collapsed="false">
      <c r="A891" s="62"/>
    </row>
    <row r="892" customFormat="false" ht="15" hidden="false" customHeight="false" outlineLevel="0" collapsed="false">
      <c r="A892" s="40"/>
    </row>
    <row r="893" customFormat="false" ht="15" hidden="false" customHeight="false" outlineLevel="0" collapsed="false">
      <c r="A893" s="40"/>
      <c r="B893" s="4" t="s">
        <v>1348</v>
      </c>
    </row>
    <row r="894" customFormat="false" ht="15" hidden="false" customHeight="false" outlineLevel="0" collapsed="false">
      <c r="A894" s="40"/>
      <c r="D894" s="77" t="s">
        <v>514</v>
      </c>
    </row>
    <row r="895" customFormat="false" ht="15" hidden="false" customHeight="false" outlineLevel="0" collapsed="false">
      <c r="A895" s="40"/>
    </row>
    <row r="896" customFormat="false" ht="15" hidden="false" customHeight="false" outlineLevel="0" collapsed="false">
      <c r="A896" s="6" t="s">
        <v>5</v>
      </c>
      <c r="B896" s="7" t="s">
        <v>6</v>
      </c>
      <c r="C896" s="8" t="s">
        <v>7</v>
      </c>
      <c r="D896" s="9" t="s">
        <v>8</v>
      </c>
      <c r="E896" s="89" t="s">
        <v>9</v>
      </c>
      <c r="F896" s="322" t="s">
        <v>1349</v>
      </c>
    </row>
    <row r="897" customFormat="false" ht="15" hidden="false" customHeight="false" outlineLevel="0" collapsed="false">
      <c r="A897" s="49" t="n">
        <v>1</v>
      </c>
      <c r="B897" s="15" t="s">
        <v>1350</v>
      </c>
      <c r="C897" s="16"/>
      <c r="D897" s="323"/>
      <c r="E897" s="324"/>
      <c r="F897" s="325"/>
    </row>
    <row r="898" customFormat="false" ht="15" hidden="false" customHeight="false" outlineLevel="0" collapsed="false">
      <c r="A898" s="49" t="n">
        <v>2</v>
      </c>
      <c r="B898" s="15" t="s">
        <v>12</v>
      </c>
      <c r="C898" s="16"/>
      <c r="D898" s="326"/>
      <c r="E898" s="324"/>
      <c r="F898" s="327"/>
    </row>
    <row r="899" customFormat="false" ht="15" hidden="false" customHeight="false" outlineLevel="0" collapsed="false">
      <c r="A899" s="49" t="n">
        <v>3</v>
      </c>
      <c r="B899" s="15" t="s">
        <v>13</v>
      </c>
      <c r="C899" s="16"/>
      <c r="D899" s="326"/>
      <c r="E899" s="324"/>
      <c r="F899" s="327"/>
    </row>
    <row r="900" customFormat="false" ht="15" hidden="false" customHeight="false" outlineLevel="0" collapsed="false">
      <c r="A900" s="49" t="n">
        <v>4</v>
      </c>
      <c r="B900" s="15" t="s">
        <v>14</v>
      </c>
      <c r="C900" s="16"/>
      <c r="D900" s="326"/>
      <c r="E900" s="324"/>
      <c r="F900" s="327"/>
    </row>
    <row r="901" customFormat="false" ht="15" hidden="false" customHeight="false" outlineLevel="0" collapsed="false">
      <c r="A901" s="49" t="n">
        <v>5</v>
      </c>
      <c r="B901" s="15" t="s">
        <v>15</v>
      </c>
      <c r="C901" s="16"/>
      <c r="D901" s="326"/>
      <c r="E901" s="324"/>
      <c r="F901" s="327"/>
    </row>
    <row r="902" customFormat="false" ht="15" hidden="false" customHeight="false" outlineLevel="0" collapsed="false">
      <c r="A902" s="49" t="n">
        <v>6</v>
      </c>
      <c r="B902" s="15" t="s">
        <v>16</v>
      </c>
      <c r="C902" s="16"/>
      <c r="D902" s="326"/>
      <c r="E902" s="324"/>
      <c r="F902" s="327"/>
    </row>
    <row r="903" customFormat="false" ht="15" hidden="false" customHeight="false" outlineLevel="0" collapsed="false">
      <c r="A903" s="49" t="n">
        <v>7</v>
      </c>
      <c r="B903" s="15" t="s">
        <v>18</v>
      </c>
      <c r="C903" s="16"/>
      <c r="D903" s="328"/>
      <c r="E903" s="324"/>
      <c r="F903" s="327"/>
    </row>
    <row r="904" customFormat="false" ht="15" hidden="false" customHeight="false" outlineLevel="0" collapsed="false">
      <c r="A904" s="49" t="n">
        <v>8</v>
      </c>
      <c r="B904" s="15" t="s">
        <v>19</v>
      </c>
      <c r="C904" s="16"/>
      <c r="D904" s="328"/>
      <c r="E904" s="324"/>
      <c r="F904" s="327"/>
    </row>
    <row r="905" customFormat="false" ht="15" hidden="false" customHeight="false" outlineLevel="0" collapsed="false">
      <c r="A905" s="49" t="n">
        <v>9</v>
      </c>
      <c r="B905" s="15" t="s">
        <v>20</v>
      </c>
      <c r="C905" s="16"/>
      <c r="D905" s="328"/>
      <c r="E905" s="324"/>
      <c r="F905" s="327"/>
    </row>
    <row r="906" customFormat="false" ht="15" hidden="false" customHeight="false" outlineLevel="0" collapsed="false">
      <c r="A906" s="49" t="n">
        <v>10</v>
      </c>
      <c r="B906" s="15" t="s">
        <v>17</v>
      </c>
      <c r="C906" s="16"/>
      <c r="D906" s="328"/>
      <c r="E906" s="324"/>
      <c r="F906" s="327"/>
    </row>
    <row r="907" customFormat="false" ht="15" hidden="false" customHeight="false" outlineLevel="0" collapsed="false">
      <c r="A907" s="49" t="n">
        <v>11</v>
      </c>
      <c r="B907" s="15" t="s">
        <v>21</v>
      </c>
      <c r="C907" s="16"/>
      <c r="D907" s="68"/>
      <c r="E907" s="324"/>
      <c r="F907" s="327"/>
    </row>
    <row r="908" customFormat="false" ht="17.35" hidden="false" customHeight="false" outlineLevel="0" collapsed="false">
      <c r="A908" s="19"/>
      <c r="B908" s="20" t="s">
        <v>22</v>
      </c>
      <c r="C908" s="21"/>
      <c r="D908" s="91"/>
      <c r="E908" s="92"/>
      <c r="F908" s="329"/>
    </row>
    <row r="909" customFormat="false" ht="17.35" hidden="false" customHeight="false" outlineLevel="0" collapsed="false">
      <c r="A909" s="330"/>
      <c r="B909" s="36"/>
      <c r="C909" s="37"/>
      <c r="D909" s="331"/>
      <c r="E909" s="119"/>
    </row>
    <row r="915" customFormat="false" ht="15" hidden="false" customHeight="false" outlineLevel="0" collapsed="false">
      <c r="A915" s="0"/>
      <c r="B915" s="0"/>
      <c r="C915" s="0"/>
      <c r="D915" s="0"/>
      <c r="E915" s="0"/>
      <c r="F915" s="0"/>
      <c r="G915" s="0"/>
    </row>
    <row r="916" customFormat="false" ht="15" hidden="false" customHeight="false" outlineLevel="0" collapsed="false">
      <c r="A916" s="0"/>
      <c r="B916" s="0"/>
      <c r="C916" s="0"/>
      <c r="D916" s="0"/>
      <c r="E916" s="0"/>
      <c r="F916" s="0"/>
      <c r="G916" s="0"/>
    </row>
    <row r="917" customFormat="false" ht="15" hidden="false" customHeight="false" outlineLevel="0" collapsed="false">
      <c r="A917" s="0"/>
      <c r="B917" s="0"/>
      <c r="C917" s="0"/>
      <c r="D917" s="0"/>
      <c r="E917" s="0"/>
      <c r="F917" s="0"/>
      <c r="G917" s="0"/>
    </row>
    <row r="918" customFormat="false" ht="15" hidden="false" customHeight="false" outlineLevel="0" collapsed="false">
      <c r="A918" s="0"/>
      <c r="B918" s="0"/>
      <c r="C918" s="0"/>
      <c r="D918" s="0"/>
      <c r="E918" s="0"/>
      <c r="F918" s="0"/>
      <c r="G918" s="0"/>
    </row>
    <row r="919" customFormat="false" ht="15" hidden="false" customHeight="false" outlineLevel="0" collapsed="false">
      <c r="A919" s="0"/>
      <c r="B919" s="0"/>
      <c r="C919" s="0"/>
      <c r="D919" s="0"/>
      <c r="E919" s="0"/>
      <c r="F919" s="0"/>
      <c r="G919" s="0"/>
    </row>
    <row r="920" customFormat="false" ht="15" hidden="false" customHeight="false" outlineLevel="0" collapsed="false">
      <c r="A920" s="0"/>
      <c r="B920" s="0"/>
      <c r="C920" s="0"/>
      <c r="D920" s="0"/>
      <c r="E920" s="0"/>
      <c r="F920" s="0"/>
      <c r="G920" s="0"/>
    </row>
    <row r="921" customFormat="false" ht="15" hidden="false" customHeight="false" outlineLevel="0" collapsed="false">
      <c r="A921" s="0"/>
      <c r="B921" s="0"/>
      <c r="C921" s="0"/>
      <c r="D921" s="0"/>
      <c r="E921" s="0"/>
      <c r="F921" s="0"/>
      <c r="G921" s="0"/>
    </row>
    <row r="922" customFormat="false" ht="15" hidden="false" customHeight="false" outlineLevel="0" collapsed="false">
      <c r="A922" s="0"/>
      <c r="B922" s="0"/>
      <c r="C922" s="0"/>
      <c r="D922" s="0"/>
      <c r="E922" s="0"/>
      <c r="F922" s="0"/>
      <c r="G922" s="0"/>
    </row>
    <row r="923" customFormat="false" ht="15" hidden="false" customHeight="false" outlineLevel="0" collapsed="false">
      <c r="A923" s="0"/>
      <c r="B923" s="0"/>
      <c r="C923" s="0"/>
      <c r="D923" s="0"/>
      <c r="E923" s="0"/>
      <c r="F923" s="0"/>
      <c r="G923" s="0"/>
    </row>
    <row r="924" customFormat="false" ht="15" hidden="false" customHeight="false" outlineLevel="0" collapsed="false">
      <c r="A924" s="0"/>
      <c r="B924" s="0"/>
      <c r="C924" s="0"/>
      <c r="D924" s="0"/>
      <c r="E924" s="0"/>
      <c r="F924" s="0"/>
      <c r="G924" s="0"/>
    </row>
    <row r="925" customFormat="false" ht="15" hidden="false" customHeight="false" outlineLevel="0" collapsed="false">
      <c r="A925" s="0"/>
      <c r="B925" s="0"/>
      <c r="C925" s="0"/>
      <c r="D925" s="0"/>
      <c r="E925" s="0"/>
      <c r="F925" s="0"/>
      <c r="G925" s="0"/>
    </row>
    <row r="926" customFormat="false" ht="15" hidden="false" customHeight="false" outlineLevel="0" collapsed="false">
      <c r="A926" s="0"/>
      <c r="B926" s="0"/>
      <c r="C926" s="0"/>
      <c r="D926" s="0"/>
      <c r="E926" s="0"/>
      <c r="F926" s="0"/>
      <c r="G926" s="0"/>
    </row>
    <row r="927" customFormat="false" ht="15" hidden="false" customHeight="false" outlineLevel="0" collapsed="false">
      <c r="A927" s="0"/>
      <c r="B927" s="0"/>
      <c r="C927" s="0"/>
      <c r="D927" s="0"/>
      <c r="E927" s="0"/>
      <c r="F927" s="0"/>
      <c r="G927" s="0"/>
    </row>
    <row r="928" customFormat="false" ht="15" hidden="false" customHeight="false" outlineLevel="0" collapsed="false">
      <c r="A928" s="0"/>
      <c r="B928" s="0"/>
      <c r="C928" s="0"/>
      <c r="D928" s="0"/>
      <c r="E928" s="0"/>
      <c r="F928" s="0"/>
      <c r="G928" s="0"/>
    </row>
    <row r="929" customFormat="false" ht="15" hidden="false" customHeight="false" outlineLevel="0" collapsed="false">
      <c r="A929" s="0"/>
      <c r="B929" s="0"/>
      <c r="C929" s="0"/>
      <c r="D929" s="0"/>
      <c r="E929" s="0"/>
      <c r="F929" s="0"/>
      <c r="G929" s="0"/>
    </row>
    <row r="930" customFormat="false" ht="15" hidden="false" customHeight="false" outlineLevel="0" collapsed="false">
      <c r="A930" s="0"/>
      <c r="B930" s="0"/>
      <c r="C930" s="0"/>
      <c r="D930" s="0"/>
      <c r="E930" s="0"/>
      <c r="F930" s="0"/>
      <c r="G930" s="0"/>
    </row>
    <row r="931" customFormat="false" ht="15" hidden="false" customHeight="false" outlineLevel="0" collapsed="false">
      <c r="A931" s="0"/>
      <c r="B931" s="0"/>
      <c r="C931" s="0"/>
      <c r="D931" s="0"/>
      <c r="E931" s="0"/>
      <c r="F931" s="0"/>
      <c r="G931" s="0"/>
    </row>
    <row r="932" customFormat="false" ht="15" hidden="false" customHeight="false" outlineLevel="0" collapsed="false">
      <c r="A932" s="0"/>
      <c r="B932" s="0"/>
      <c r="C932" s="0"/>
      <c r="D932" s="0"/>
      <c r="E932" s="0"/>
      <c r="F932" s="0"/>
      <c r="G932" s="0"/>
    </row>
    <row r="933" customFormat="false" ht="15" hidden="false" customHeight="false" outlineLevel="0" collapsed="false">
      <c r="A933" s="0"/>
      <c r="B933" s="0"/>
      <c r="C933" s="0"/>
      <c r="D933" s="0"/>
      <c r="E933" s="0"/>
      <c r="F933" s="0"/>
      <c r="G933" s="0"/>
    </row>
    <row r="934" customFormat="false" ht="15" hidden="false" customHeight="false" outlineLevel="0" collapsed="false">
      <c r="A934" s="0"/>
      <c r="B934" s="0"/>
      <c r="C934" s="0"/>
      <c r="D934" s="0"/>
      <c r="E934" s="0"/>
      <c r="F934" s="0"/>
      <c r="G934" s="0"/>
    </row>
    <row r="935" customFormat="false" ht="15" hidden="false" customHeight="false" outlineLevel="0" collapsed="false">
      <c r="A935" s="0"/>
      <c r="B935" s="0"/>
      <c r="C935" s="0"/>
      <c r="D935" s="0"/>
      <c r="E935" s="0"/>
      <c r="F935" s="0"/>
      <c r="G935" s="0"/>
    </row>
    <row r="936" customFormat="false" ht="15" hidden="false" customHeight="false" outlineLevel="0" collapsed="false">
      <c r="A936" s="0"/>
      <c r="B936" s="0"/>
      <c r="C936" s="0"/>
      <c r="D936" s="0"/>
      <c r="E936" s="0"/>
      <c r="F936" s="0"/>
      <c r="G936" s="0"/>
    </row>
    <row r="937" customFormat="false" ht="15" hidden="false" customHeight="false" outlineLevel="0" collapsed="false">
      <c r="A937" s="0"/>
      <c r="B937" s="0"/>
      <c r="C937" s="0"/>
      <c r="D937" s="0"/>
      <c r="E937" s="0"/>
      <c r="F937" s="0"/>
      <c r="G937" s="0"/>
    </row>
    <row r="938" customFormat="false" ht="15" hidden="false" customHeight="false" outlineLevel="0" collapsed="false">
      <c r="A938" s="0"/>
      <c r="B938" s="0"/>
      <c r="C938" s="0"/>
      <c r="D938" s="0"/>
      <c r="E938" s="0"/>
      <c r="F938" s="0"/>
      <c r="G938" s="0"/>
    </row>
    <row r="939" customFormat="false" ht="15" hidden="false" customHeight="false" outlineLevel="0" collapsed="false">
      <c r="A939" s="0"/>
      <c r="B939" s="0"/>
      <c r="C939" s="0"/>
      <c r="D939" s="0"/>
      <c r="E939" s="0"/>
      <c r="F939" s="0"/>
      <c r="G939" s="0"/>
    </row>
    <row r="940" customFormat="false" ht="15" hidden="false" customHeight="false" outlineLevel="0" collapsed="false">
      <c r="A940" s="0"/>
      <c r="B940" s="0"/>
      <c r="C940" s="0"/>
      <c r="D940" s="0"/>
      <c r="E940" s="0"/>
      <c r="F940" s="0"/>
      <c r="G940" s="0"/>
    </row>
    <row r="941" customFormat="false" ht="15" hidden="false" customHeight="false" outlineLevel="0" collapsed="false">
      <c r="A941" s="0"/>
      <c r="B941" s="0"/>
      <c r="C941" s="0"/>
      <c r="D941" s="0"/>
      <c r="E941" s="0"/>
      <c r="F941" s="0"/>
      <c r="G941" s="0"/>
    </row>
    <row r="942" customFormat="false" ht="15" hidden="false" customHeight="false" outlineLevel="0" collapsed="false">
      <c r="A942" s="0"/>
      <c r="B942" s="0"/>
      <c r="C942" s="0"/>
      <c r="D942" s="0"/>
      <c r="E942" s="0"/>
      <c r="F942" s="0"/>
      <c r="G942" s="0"/>
    </row>
    <row r="943" customFormat="false" ht="15" hidden="false" customHeight="false" outlineLevel="0" collapsed="false">
      <c r="A943" s="0"/>
      <c r="B943" s="0"/>
      <c r="C943" s="0"/>
      <c r="D943" s="0"/>
      <c r="E943" s="0"/>
      <c r="F943" s="0"/>
      <c r="G943" s="0"/>
    </row>
    <row r="944" customFormat="false" ht="15" hidden="false" customHeight="false" outlineLevel="0" collapsed="false">
      <c r="A944" s="0"/>
      <c r="B944" s="0"/>
      <c r="C944" s="0"/>
      <c r="D944" s="0"/>
      <c r="E944" s="0"/>
      <c r="F944" s="0"/>
      <c r="G944" s="0"/>
    </row>
    <row r="945" customFormat="false" ht="15" hidden="false" customHeight="false" outlineLevel="0" collapsed="false">
      <c r="A945" s="0"/>
      <c r="B945" s="0"/>
      <c r="C945" s="0"/>
      <c r="D945" s="0"/>
      <c r="E945" s="0"/>
      <c r="F945" s="0"/>
      <c r="G945" s="0"/>
    </row>
    <row r="946" customFormat="false" ht="15" hidden="false" customHeight="false" outlineLevel="0" collapsed="false">
      <c r="A946" s="0"/>
      <c r="B946" s="0"/>
      <c r="C946" s="0"/>
      <c r="D946" s="0"/>
      <c r="E946" s="0"/>
      <c r="F946" s="0"/>
      <c r="G946" s="0"/>
    </row>
  </sheetData>
  <hyperlinks>
    <hyperlink ref="D10" r:id="rId1" display="ezkadjov@gmail.com"/>
    <hyperlink ref="D11" r:id="rId2" display="afouda96fabice@gmail.com"/>
    <hyperlink ref="D12" r:id="rId3" display="finagnonb@yahoo.fr"/>
    <hyperlink ref="D14" r:id="rId4" display="rodrigue.allognon@yahoo.fr "/>
    <hyperlink ref="D15" r:id="rId5" display="allocop1@gmail.com"/>
    <hyperlink ref="D16" r:id="rId6" display="prudencioamoussou@gmail.com"/>
    <hyperlink ref="D18" r:id="rId7" display="setchegbee1@yahoo.fr"/>
    <hyperlink ref="D19" r:id="rId8" display="atcédric.91@gmail.com"/>
    <hyperlink ref="D20" r:id="rId9" display="oscar.bokovo@yahoo.fr"/>
    <hyperlink ref="D21" r:id="rId10" display="lapatmail@yahoo.fr"/>
    <hyperlink ref="D22" r:id="rId11" display="abnahel@yahoo.fr"/>
    <hyperlink ref="D24" r:id="rId12" display="djoertho@gmail.com"/>
    <hyperlink ref="D28" r:id="rId13" display="ditoudogiovanni@gmail.com"/>
    <hyperlink ref="D30" r:id="rId14" display="heric1981@yahoo.fr"/>
    <hyperlink ref="D32" r:id="rId15" display="KahoRhode@gmail.com"/>
    <hyperlink ref="D35" r:id="rId16" display="madjeedkoto@yahoo.fr"/>
    <hyperlink ref="D36" r:id="rId17" display="jkoudjedon@gmail.com"/>
    <hyperlink ref="D37" r:id="rId18" display="barbaritalino@gmail.com"/>
    <hyperlink ref="D39" r:id="rId19" display="abelnegomensah@gmail.com"/>
    <hyperlink ref="D40" r:id="rId20" display="metodakouherbert@outlook.fr"/>
    <hyperlink ref="D45" r:id="rId21" display="paficama@gmail.com"/>
    <hyperlink ref="D46" r:id="rId22" display="aiejotechno@yahoo.fr"/>
    <hyperlink ref="D52" r:id="rId23" display="htoffa@yahoo.fr"/>
    <hyperlink ref="D54" r:id="rId24" display="herpoly@2000yahoo.f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F29"/>
  <sheetViews>
    <sheetView showFormulas="false" showGridLines="true" showRowColHeaders="true" showZeros="true" rightToLeft="false" tabSelected="false" showOutlineSymbols="true" defaultGridColor="true" view="normal" topLeftCell="A1" colorId="64" zoomScale="93" zoomScaleNormal="93" zoomScalePageLayoutView="100" workbookViewId="0">
      <selection pane="topLeft" activeCell="F7" activeCellId="0" sqref="F7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30.57"/>
    <col collapsed="false" customWidth="true" hidden="false" outlineLevel="0" max="3" min="3" style="1" width="14"/>
    <col collapsed="false" customWidth="true" hidden="false" outlineLevel="0" max="4" min="4" style="1" width="12.29"/>
    <col collapsed="false" customWidth="true" hidden="false" outlineLevel="0" max="5" min="5" style="1" width="14.14"/>
    <col collapsed="false" customWidth="true" hidden="false" outlineLevel="0" max="16384" min="16383" style="0" width="11.53"/>
  </cols>
  <sheetData>
    <row r="6" customFormat="false" ht="17.35" hidden="false" customHeight="false" outlineLevel="0" collapsed="false">
      <c r="A6" s="2"/>
      <c r="B6" s="146" t="s">
        <v>1512</v>
      </c>
      <c r="C6" s="147"/>
      <c r="D6" s="147"/>
      <c r="E6" s="147"/>
      <c r="F6" s="147"/>
    </row>
    <row r="8" customFormat="false" ht="15" hidden="false" customHeight="false" outlineLevel="0" collapsed="false">
      <c r="B8" s="148" t="s">
        <v>1513</v>
      </c>
    </row>
    <row r="10" customFormat="false" ht="15" hidden="false" customHeight="false" outlineLevel="0" collapsed="false">
      <c r="A10" s="149" t="s">
        <v>5</v>
      </c>
      <c r="B10" s="150" t="s">
        <v>6</v>
      </c>
      <c r="C10" s="8" t="s">
        <v>7</v>
      </c>
      <c r="D10" s="151" t="s">
        <v>8</v>
      </c>
      <c r="E10" s="89" t="s">
        <v>9</v>
      </c>
    </row>
    <row r="11" customFormat="false" ht="15" hidden="false" customHeight="false" outlineLevel="0" collapsed="false">
      <c r="A11" s="152" t="n">
        <v>1</v>
      </c>
      <c r="B11" s="157" t="s">
        <v>1514</v>
      </c>
      <c r="C11" s="154" t="n">
        <v>815000</v>
      </c>
      <c r="D11" s="154" t="n">
        <v>815000</v>
      </c>
      <c r="E11" s="353" t="n">
        <f aca="false">C11-D11</f>
        <v>0</v>
      </c>
    </row>
    <row r="12" customFormat="false" ht="15" hidden="false" customHeight="false" outlineLevel="0" collapsed="false">
      <c r="A12" s="152" t="n">
        <v>2</v>
      </c>
      <c r="B12" s="157" t="s">
        <v>1515</v>
      </c>
      <c r="C12" s="154" t="n">
        <v>815000</v>
      </c>
      <c r="D12" s="154" t="n">
        <v>815000</v>
      </c>
      <c r="E12" s="353" t="n">
        <f aca="false">C12-D12</f>
        <v>0</v>
      </c>
    </row>
    <row r="13" customFormat="false" ht="15" hidden="false" customHeight="false" outlineLevel="0" collapsed="false">
      <c r="A13" s="152" t="n">
        <v>3</v>
      </c>
      <c r="B13" s="157" t="s">
        <v>1516</v>
      </c>
      <c r="C13" s="154" t="n">
        <v>815000</v>
      </c>
      <c r="D13" s="154" t="n">
        <v>815000</v>
      </c>
      <c r="E13" s="353" t="n">
        <f aca="false">C13-D13</f>
        <v>0</v>
      </c>
    </row>
    <row r="14" customFormat="false" ht="15" hidden="false" customHeight="false" outlineLevel="0" collapsed="false">
      <c r="A14" s="152" t="n">
        <v>4</v>
      </c>
      <c r="B14" s="157" t="s">
        <v>1517</v>
      </c>
      <c r="C14" s="154" t="n">
        <v>815000</v>
      </c>
      <c r="D14" s="154" t="n">
        <f aca="false">500000+315000+200</f>
        <v>815200</v>
      </c>
      <c r="E14" s="353" t="n">
        <f aca="false">C14-D14</f>
        <v>-200</v>
      </c>
    </row>
    <row r="15" customFormat="false" ht="15" hidden="false" customHeight="false" outlineLevel="0" collapsed="false">
      <c r="A15" s="152" t="n">
        <v>5</v>
      </c>
      <c r="B15" s="157" t="s">
        <v>1518</v>
      </c>
      <c r="C15" s="154" t="n">
        <v>815000</v>
      </c>
      <c r="D15" s="154" t="n">
        <v>815000</v>
      </c>
      <c r="E15" s="353" t="n">
        <f aca="false">C15-D15</f>
        <v>0</v>
      </c>
    </row>
    <row r="16" customFormat="false" ht="15" hidden="false" customHeight="false" outlineLevel="0" collapsed="false">
      <c r="A16" s="152" t="n">
        <v>6</v>
      </c>
      <c r="B16" s="171" t="s">
        <v>1519</v>
      </c>
      <c r="C16" s="154" t="n">
        <v>815000</v>
      </c>
      <c r="D16" s="155" t="n">
        <f aca="false">420000+395000</f>
        <v>815000</v>
      </c>
      <c r="E16" s="354" t="n">
        <f aca="false">C16-D16</f>
        <v>0</v>
      </c>
    </row>
    <row r="17" customFormat="false" ht="15" hidden="false" customHeight="false" outlineLevel="0" collapsed="false">
      <c r="A17" s="152" t="n">
        <v>7</v>
      </c>
      <c r="B17" s="157" t="s">
        <v>1520</v>
      </c>
      <c r="C17" s="154" t="n">
        <v>815000</v>
      </c>
      <c r="D17" s="154" t="n">
        <v>815000</v>
      </c>
      <c r="E17" s="353" t="n">
        <f aca="false">C17-D17</f>
        <v>0</v>
      </c>
    </row>
    <row r="18" customFormat="false" ht="15" hidden="false" customHeight="false" outlineLevel="0" collapsed="false">
      <c r="A18" s="152" t="n">
        <v>8</v>
      </c>
      <c r="B18" s="157" t="s">
        <v>1521</v>
      </c>
      <c r="C18" s="154" t="n">
        <v>815000</v>
      </c>
      <c r="D18" s="154" t="n">
        <v>815200</v>
      </c>
      <c r="E18" s="353" t="n">
        <f aca="false">C18-D18</f>
        <v>-200</v>
      </c>
    </row>
    <row r="19" customFormat="false" ht="15" hidden="false" customHeight="false" outlineLevel="0" collapsed="false">
      <c r="A19" s="152" t="n">
        <v>9</v>
      </c>
      <c r="B19" s="157" t="s">
        <v>1522</v>
      </c>
      <c r="C19" s="154" t="n">
        <v>815000</v>
      </c>
      <c r="D19" s="154" t="n">
        <f aca="false">150000+665000</f>
        <v>815000</v>
      </c>
      <c r="E19" s="353" t="n">
        <f aca="false">C19-D19</f>
        <v>0</v>
      </c>
    </row>
    <row r="20" customFormat="false" ht="15" hidden="false" customHeight="false" outlineLevel="0" collapsed="false">
      <c r="A20" s="152" t="n">
        <v>10</v>
      </c>
      <c r="B20" s="157" t="s">
        <v>1523</v>
      </c>
      <c r="C20" s="154" t="n">
        <v>815000</v>
      </c>
      <c r="D20" s="154" t="n">
        <f aca="false">400000+415000</f>
        <v>815000</v>
      </c>
      <c r="E20" s="353" t="n">
        <f aca="false">C20-D20</f>
        <v>0</v>
      </c>
    </row>
    <row r="21" customFormat="false" ht="15" hidden="false" customHeight="false" outlineLevel="0" collapsed="false">
      <c r="A21" s="152" t="n">
        <v>11</v>
      </c>
      <c r="B21" s="157" t="s">
        <v>1524</v>
      </c>
      <c r="C21" s="154" t="n">
        <v>815000</v>
      </c>
      <c r="D21" s="154" t="n">
        <v>815200</v>
      </c>
      <c r="E21" s="353" t="n">
        <f aca="false">C21-D21</f>
        <v>-200</v>
      </c>
    </row>
    <row r="22" customFormat="false" ht="15" hidden="false" customHeight="false" outlineLevel="0" collapsed="false">
      <c r="A22" s="152" t="n">
        <v>12</v>
      </c>
      <c r="B22" s="157" t="s">
        <v>1525</v>
      </c>
      <c r="C22" s="154" t="n">
        <v>815000</v>
      </c>
      <c r="D22" s="154" t="n">
        <f aca="false">100000+150000+515200+50000</f>
        <v>815200</v>
      </c>
      <c r="E22" s="353" t="n">
        <f aca="false">C22-D22</f>
        <v>-200</v>
      </c>
    </row>
    <row r="23" customFormat="false" ht="15" hidden="false" customHeight="false" outlineLevel="0" collapsed="false">
      <c r="A23" s="152" t="n">
        <v>13</v>
      </c>
      <c r="B23" s="157" t="s">
        <v>1526</v>
      </c>
      <c r="C23" s="154" t="n">
        <v>815000</v>
      </c>
      <c r="D23" s="154" t="n">
        <f aca="false">800000+15000</f>
        <v>815000</v>
      </c>
      <c r="E23" s="353" t="n">
        <f aca="false">C23-D23</f>
        <v>0</v>
      </c>
    </row>
    <row r="24" customFormat="false" ht="15" hidden="false" customHeight="false" outlineLevel="0" collapsed="false">
      <c r="A24" s="152" t="n">
        <v>14</v>
      </c>
      <c r="B24" s="157" t="s">
        <v>1527</v>
      </c>
      <c r="C24" s="154" t="n">
        <v>815000</v>
      </c>
      <c r="D24" s="154" t="n">
        <f aca="false">851200</f>
        <v>851200</v>
      </c>
      <c r="E24" s="353" t="n">
        <f aca="false">C24-D24</f>
        <v>-36200</v>
      </c>
    </row>
    <row r="25" customFormat="false" ht="15" hidden="false" customHeight="false" outlineLevel="0" collapsed="false">
      <c r="A25" s="152" t="n">
        <v>15</v>
      </c>
      <c r="B25" s="171" t="s">
        <v>1528</v>
      </c>
      <c r="C25" s="155" t="n">
        <v>815000</v>
      </c>
      <c r="D25" s="155" t="n">
        <v>815000</v>
      </c>
      <c r="E25" s="354" t="n">
        <f aca="false">C25-D25</f>
        <v>0</v>
      </c>
    </row>
    <row r="26" customFormat="false" ht="15" hidden="false" customHeight="false" outlineLevel="0" collapsed="false">
      <c r="A26" s="152" t="n">
        <v>16</v>
      </c>
      <c r="B26" s="171" t="s">
        <v>1529</v>
      </c>
      <c r="C26" s="155" t="n">
        <v>351200</v>
      </c>
      <c r="D26" s="155" t="n">
        <v>351200</v>
      </c>
      <c r="E26" s="354" t="n">
        <f aca="false">C26-D26</f>
        <v>0</v>
      </c>
    </row>
    <row r="27" customFormat="false" ht="15" hidden="false" customHeight="false" outlineLevel="0" collapsed="false">
      <c r="A27" s="152" t="n">
        <v>17</v>
      </c>
      <c r="B27" s="157" t="s">
        <v>1530</v>
      </c>
      <c r="C27" s="154" t="n">
        <v>815000</v>
      </c>
      <c r="D27" s="154" t="n">
        <v>815000</v>
      </c>
      <c r="E27" s="353" t="n">
        <f aca="false">C27-D27</f>
        <v>0</v>
      </c>
    </row>
    <row r="28" customFormat="false" ht="15" hidden="false" customHeight="false" outlineLevel="0" collapsed="false">
      <c r="A28" s="152" t="n">
        <v>18</v>
      </c>
      <c r="B28" s="157" t="s">
        <v>1531</v>
      </c>
      <c r="C28" s="154" t="n">
        <v>815000</v>
      </c>
      <c r="D28" s="154" t="n">
        <v>815200</v>
      </c>
      <c r="E28" s="353" t="n">
        <f aca="false">C28-D28</f>
        <v>-200</v>
      </c>
    </row>
    <row r="29" customFormat="false" ht="19.7" hidden="false" customHeight="false" outlineLevel="0" collapsed="false">
      <c r="A29" s="158"/>
      <c r="B29" s="159" t="s">
        <v>22</v>
      </c>
      <c r="C29" s="160" t="n">
        <f aca="false">SUM(C11:C28)</f>
        <v>14206200</v>
      </c>
      <c r="D29" s="161" t="n">
        <f aca="false">SUM(D11:D28)</f>
        <v>14243400</v>
      </c>
      <c r="E29" s="355" t="n">
        <f aca="false">SUM(E11:E28)</f>
        <v>-37200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E559"/>
  <sheetViews>
    <sheetView showFormulas="false" showGridLines="true" showRowColHeaders="true" showZeros="true" rightToLeft="false" tabSelected="false" showOutlineSymbols="true" defaultGridColor="true" view="normal" topLeftCell="A524" colorId="64" zoomScale="93" zoomScaleNormal="93" zoomScalePageLayoutView="100" workbookViewId="0">
      <selection pane="topLeft" activeCell="K507" activeCellId="0" sqref="K507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31.29"/>
    <col collapsed="false" customWidth="true" hidden="false" outlineLevel="0" max="3" min="3" style="1" width="15.29"/>
    <col collapsed="false" customWidth="true" hidden="false" outlineLevel="0" max="4" min="4" style="1" width="12.86"/>
  </cols>
  <sheetData>
    <row r="4" customFormat="false" ht="17.35" hidden="false" customHeight="false" outlineLevel="0" collapsed="false">
      <c r="A4" s="2"/>
      <c r="B4" s="2" t="s">
        <v>504</v>
      </c>
    </row>
    <row r="5" customFormat="false" ht="15" hidden="false" customHeight="false" outlineLevel="0" collapsed="false">
      <c r="A5" s="1" t="s">
        <v>1</v>
      </c>
    </row>
    <row r="6" customFormat="false" ht="17.25" hidden="false" customHeight="false" outlineLevel="0" collapsed="false">
      <c r="B6" s="3" t="s">
        <v>2</v>
      </c>
    </row>
    <row r="9" customFormat="false" ht="17.25" hidden="false" customHeight="false" outlineLevel="0" collapsed="false">
      <c r="B9" s="4" t="s">
        <v>3</v>
      </c>
      <c r="D9" s="77" t="s">
        <v>51</v>
      </c>
    </row>
    <row r="11" customFormat="false" ht="15" hidden="false" customHeight="false" outlineLevel="0" collapsed="false">
      <c r="A11" s="6" t="s">
        <v>5</v>
      </c>
      <c r="B11" s="7" t="s">
        <v>6</v>
      </c>
      <c r="C11" s="8" t="s">
        <v>7</v>
      </c>
      <c r="D11" s="9" t="s">
        <v>8</v>
      </c>
      <c r="E11" s="43" t="s">
        <v>9</v>
      </c>
    </row>
    <row r="12" customFormat="false" ht="15" hidden="false" customHeight="false" outlineLevel="0" collapsed="false">
      <c r="A12" s="1" t="n">
        <v>1</v>
      </c>
      <c r="B12" s="32" t="s">
        <v>24</v>
      </c>
      <c r="C12" s="16" t="n">
        <v>416500</v>
      </c>
      <c r="D12" s="13" t="n">
        <f aca="false">100000+316000</f>
        <v>416000</v>
      </c>
      <c r="E12" s="14" t="n">
        <f aca="false">C12-D12</f>
        <v>500</v>
      </c>
    </row>
    <row r="13" customFormat="false" ht="15" hidden="false" customHeight="false" outlineLevel="0" collapsed="false">
      <c r="A13" s="18" t="n">
        <v>2</v>
      </c>
      <c r="B13" s="32" t="s">
        <v>25</v>
      </c>
      <c r="C13" s="16" t="n">
        <v>416500</v>
      </c>
      <c r="D13" s="13" t="n">
        <f aca="false">216500+50000+100000+140000</f>
        <v>506500</v>
      </c>
      <c r="E13" s="14" t="n">
        <f aca="false">C13-D13</f>
        <v>-90000</v>
      </c>
    </row>
    <row r="14" customFormat="false" ht="15" hidden="false" customHeight="false" outlineLevel="0" collapsed="false">
      <c r="A14" s="18" t="n">
        <v>3</v>
      </c>
      <c r="B14" s="32" t="s">
        <v>26</v>
      </c>
      <c r="C14" s="16" t="n">
        <v>416500</v>
      </c>
      <c r="D14" s="13" t="n">
        <f aca="false">216500+200000</f>
        <v>416500</v>
      </c>
      <c r="E14" s="14" t="n">
        <f aca="false">C14-D14</f>
        <v>0</v>
      </c>
    </row>
    <row r="15" customFormat="false" ht="15" hidden="false" customHeight="false" outlineLevel="0" collapsed="false">
      <c r="A15" s="18" t="n">
        <v>4</v>
      </c>
      <c r="B15" s="32" t="s">
        <v>27</v>
      </c>
      <c r="C15" s="16" t="n">
        <v>416500</v>
      </c>
      <c r="D15" s="13"/>
      <c r="E15" s="14" t="n">
        <f aca="false">C15-D15</f>
        <v>416500</v>
      </c>
    </row>
    <row r="16" customFormat="false" ht="15" hidden="false" customHeight="false" outlineLevel="0" collapsed="false">
      <c r="A16" s="18" t="n">
        <v>5</v>
      </c>
      <c r="B16" s="171" t="s">
        <v>1532</v>
      </c>
      <c r="C16" s="16" t="n">
        <v>416500</v>
      </c>
      <c r="D16" s="13"/>
      <c r="E16" s="14" t="n">
        <f aca="false">C16-D16</f>
        <v>416500</v>
      </c>
    </row>
    <row r="17" customFormat="false" ht="15" hidden="false" customHeight="false" outlineLevel="0" collapsed="false">
      <c r="A17" s="18" t="n">
        <v>6</v>
      </c>
      <c r="B17" s="32" t="s">
        <v>28</v>
      </c>
      <c r="C17" s="16" t="n">
        <v>416500</v>
      </c>
      <c r="D17" s="13"/>
      <c r="E17" s="14" t="n">
        <f aca="false">C17-D17</f>
        <v>416500</v>
      </c>
    </row>
    <row r="18" customFormat="false" ht="15" hidden="false" customHeight="false" outlineLevel="0" collapsed="false">
      <c r="A18" s="18" t="n">
        <v>7</v>
      </c>
      <c r="B18" s="32" t="s">
        <v>29</v>
      </c>
      <c r="C18" s="16" t="n">
        <v>416500</v>
      </c>
      <c r="D18" s="13"/>
      <c r="E18" s="14" t="n">
        <f aca="false">C18-D18</f>
        <v>416500</v>
      </c>
    </row>
    <row r="19" customFormat="false" ht="15" hidden="false" customHeight="false" outlineLevel="0" collapsed="false">
      <c r="A19" s="18" t="n">
        <v>8</v>
      </c>
      <c r="B19" s="32" t="s">
        <v>1533</v>
      </c>
      <c r="C19" s="16" t="n">
        <v>416500</v>
      </c>
      <c r="D19" s="13"/>
      <c r="E19" s="14" t="n">
        <f aca="false">C19-D19</f>
        <v>416500</v>
      </c>
    </row>
    <row r="20" customFormat="false" ht="15" hidden="false" customHeight="false" outlineLevel="0" collapsed="false">
      <c r="A20" s="18" t="n">
        <v>9</v>
      </c>
      <c r="B20" s="32" t="s">
        <v>30</v>
      </c>
      <c r="C20" s="16" t="n">
        <v>416500</v>
      </c>
      <c r="D20" s="13" t="n">
        <f aca="false">270000+30000</f>
        <v>300000</v>
      </c>
      <c r="E20" s="14" t="n">
        <f aca="false">C20-D20</f>
        <v>116500</v>
      </c>
    </row>
    <row r="21" customFormat="false" ht="15" hidden="false" customHeight="false" outlineLevel="0" collapsed="false">
      <c r="A21" s="18" t="n">
        <v>10</v>
      </c>
      <c r="B21" s="32" t="s">
        <v>31</v>
      </c>
      <c r="C21" s="16" t="n">
        <v>416500</v>
      </c>
      <c r="D21" s="13"/>
      <c r="E21" s="14" t="n">
        <f aca="false">C21-D21</f>
        <v>416500</v>
      </c>
    </row>
    <row r="22" customFormat="false" ht="15" hidden="false" customHeight="false" outlineLevel="0" collapsed="false">
      <c r="A22" s="18" t="n">
        <v>11</v>
      </c>
      <c r="B22" s="32" t="s">
        <v>32</v>
      </c>
      <c r="C22" s="16" t="n">
        <v>416500</v>
      </c>
      <c r="D22" s="13" t="n">
        <f aca="false">200000+16500+50000+30000+120000</f>
        <v>416500</v>
      </c>
      <c r="E22" s="14" t="n">
        <f aca="false">C22-D22</f>
        <v>0</v>
      </c>
    </row>
    <row r="23" customFormat="false" ht="15" hidden="false" customHeight="false" outlineLevel="0" collapsed="false">
      <c r="A23" s="18" t="n">
        <v>12</v>
      </c>
      <c r="B23" s="32" t="s">
        <v>33</v>
      </c>
      <c r="C23" s="16" t="n">
        <v>416500</v>
      </c>
      <c r="D23" s="13"/>
      <c r="E23" s="14" t="n">
        <f aca="false">C23-D23</f>
        <v>416500</v>
      </c>
    </row>
    <row r="24" customFormat="false" ht="15" hidden="false" customHeight="false" outlineLevel="0" collapsed="false">
      <c r="A24" s="18" t="n">
        <v>13</v>
      </c>
      <c r="B24" s="32" t="s">
        <v>34</v>
      </c>
      <c r="C24" s="16" t="n">
        <v>416500</v>
      </c>
      <c r="D24" s="13" t="n">
        <f aca="false">100000</f>
        <v>100000</v>
      </c>
      <c r="E24" s="14" t="n">
        <f aca="false">C24-D24</f>
        <v>316500</v>
      </c>
    </row>
    <row r="25" customFormat="false" ht="15" hidden="false" customHeight="false" outlineLevel="0" collapsed="false">
      <c r="A25" s="18" t="n">
        <v>14</v>
      </c>
      <c r="B25" s="32" t="s">
        <v>35</v>
      </c>
      <c r="C25" s="16" t="n">
        <v>416500</v>
      </c>
      <c r="D25" s="13" t="n">
        <f aca="false">58500</f>
        <v>58500</v>
      </c>
      <c r="E25" s="14" t="n">
        <f aca="false">C25-D25</f>
        <v>358000</v>
      </c>
    </row>
    <row r="26" customFormat="false" ht="15" hidden="false" customHeight="false" outlineLevel="0" collapsed="false">
      <c r="A26" s="18" t="n">
        <v>15</v>
      </c>
      <c r="B26" s="32" t="s">
        <v>1534</v>
      </c>
      <c r="C26" s="16" t="n">
        <v>416500</v>
      </c>
      <c r="D26" s="13"/>
      <c r="E26" s="14" t="n">
        <f aca="false">C26-D26</f>
        <v>416500</v>
      </c>
    </row>
    <row r="27" customFormat="false" ht="15" hidden="false" customHeight="false" outlineLevel="0" collapsed="false">
      <c r="A27" s="18" t="n">
        <v>16</v>
      </c>
      <c r="B27" s="32" t="s">
        <v>36</v>
      </c>
      <c r="C27" s="16" t="n">
        <v>416500</v>
      </c>
      <c r="D27" s="13"/>
      <c r="E27" s="14" t="n">
        <f aca="false">C27-D27</f>
        <v>416500</v>
      </c>
    </row>
    <row r="28" customFormat="false" ht="17.35" hidden="false" customHeight="false" outlineLevel="0" collapsed="false">
      <c r="A28" s="19"/>
      <c r="B28" s="20" t="s">
        <v>22</v>
      </c>
      <c r="C28" s="21" t="n">
        <f aca="false">SUM(C12:C27)</f>
        <v>6664000</v>
      </c>
      <c r="D28" s="22" t="n">
        <f aca="false">SUM(D12:D27)</f>
        <v>2214000</v>
      </c>
      <c r="E28" s="45" t="n">
        <f aca="false">SUM(E12:E27)</f>
        <v>4450000</v>
      </c>
    </row>
    <row r="29" customFormat="false" ht="15" hidden="false" customHeight="false" outlineLevel="0" collapsed="false">
      <c r="D29" s="24"/>
      <c r="E29" s="24"/>
    </row>
    <row r="30" customFormat="false" ht="15" hidden="false" customHeight="false" outlineLevel="0" collapsed="false">
      <c r="D30" s="24"/>
      <c r="E30" s="24"/>
    </row>
    <row r="31" customFormat="false" ht="15" hidden="false" customHeight="false" outlineLevel="0" collapsed="false">
      <c r="D31" s="24"/>
      <c r="E31" s="24"/>
    </row>
    <row r="32" customFormat="false" ht="17.35" hidden="false" customHeight="false" outlineLevel="0" collapsed="false">
      <c r="B32" s="36"/>
      <c r="C32" s="37"/>
      <c r="D32" s="38"/>
      <c r="E32" s="39"/>
    </row>
    <row r="33" customFormat="false" ht="17.35" hidden="false" customHeight="false" outlineLevel="0" collapsed="false">
      <c r="A33" s="40"/>
      <c r="B33" s="2" t="s">
        <v>504</v>
      </c>
      <c r="D33" s="24"/>
      <c r="E33" s="24"/>
    </row>
    <row r="34" customFormat="false" ht="15" hidden="false" customHeight="false" outlineLevel="0" collapsed="false">
      <c r="A34" s="40"/>
      <c r="D34" s="24"/>
      <c r="E34" s="24"/>
    </row>
    <row r="35" customFormat="false" ht="15" hidden="false" customHeight="false" outlineLevel="0" collapsed="false">
      <c r="A35" s="40"/>
      <c r="D35" s="24"/>
      <c r="E35" s="24"/>
    </row>
    <row r="36" customFormat="false" ht="17.25" hidden="false" customHeight="false" outlineLevel="0" collapsed="false">
      <c r="A36" s="40"/>
      <c r="B36" s="4" t="s">
        <v>37</v>
      </c>
      <c r="D36" s="25" t="s">
        <v>4</v>
      </c>
      <c r="E36" s="24"/>
    </row>
    <row r="37" customFormat="false" ht="15" hidden="false" customHeight="false" outlineLevel="0" collapsed="false">
      <c r="A37" s="40"/>
      <c r="D37" s="24"/>
      <c r="E37" s="24"/>
    </row>
    <row r="38" customFormat="false" ht="15" hidden="false" customHeight="false" outlineLevel="0" collapsed="false">
      <c r="A38" s="6" t="s">
        <v>5</v>
      </c>
      <c r="B38" s="7" t="s">
        <v>6</v>
      </c>
      <c r="C38" s="8" t="s">
        <v>7</v>
      </c>
      <c r="D38" s="42" t="s">
        <v>8</v>
      </c>
      <c r="E38" s="43" t="s">
        <v>9</v>
      </c>
    </row>
    <row r="39" customFormat="false" ht="15" hidden="false" customHeight="false" outlineLevel="0" collapsed="false">
      <c r="A39" s="18" t="n">
        <v>1</v>
      </c>
      <c r="B39" s="12" t="s">
        <v>52</v>
      </c>
      <c r="C39" s="16" t="n">
        <v>416500</v>
      </c>
      <c r="D39" s="13" t="n">
        <f aca="false">250000</f>
        <v>250000</v>
      </c>
      <c r="E39" s="14" t="n">
        <f aca="false">C39-D39</f>
        <v>166500</v>
      </c>
    </row>
    <row r="40" customFormat="false" ht="15" hidden="false" customHeight="false" outlineLevel="0" collapsed="false">
      <c r="A40" s="18" t="n">
        <v>2</v>
      </c>
      <c r="B40" s="32" t="s">
        <v>53</v>
      </c>
      <c r="C40" s="16" t="n">
        <v>416500</v>
      </c>
      <c r="D40" s="13" t="n">
        <f aca="false">150000+200000</f>
        <v>350000</v>
      </c>
      <c r="E40" s="14" t="n">
        <f aca="false">C40-D40</f>
        <v>66500</v>
      </c>
    </row>
    <row r="41" customFormat="false" ht="15" hidden="false" customHeight="false" outlineLevel="0" collapsed="false">
      <c r="A41" s="18" t="n">
        <v>3</v>
      </c>
      <c r="B41" s="32" t="s">
        <v>54</v>
      </c>
      <c r="C41" s="16" t="n">
        <v>416500</v>
      </c>
      <c r="D41" s="13" t="n">
        <f aca="false">199500+17000+200000</f>
        <v>416500</v>
      </c>
      <c r="E41" s="14" t="n">
        <f aca="false">C41-D41</f>
        <v>0</v>
      </c>
    </row>
    <row r="42" customFormat="false" ht="15" hidden="false" customHeight="false" outlineLevel="0" collapsed="false">
      <c r="A42" s="18" t="n">
        <v>4</v>
      </c>
      <c r="B42" s="32" t="s">
        <v>55</v>
      </c>
      <c r="C42" s="16" t="n">
        <v>416500</v>
      </c>
      <c r="D42" s="13" t="n">
        <f aca="false">100000+116000+200000</f>
        <v>416000</v>
      </c>
      <c r="E42" s="14" t="n">
        <f aca="false">C42-D42</f>
        <v>500</v>
      </c>
    </row>
    <row r="43" customFormat="false" ht="15" hidden="false" customHeight="false" outlineLevel="0" collapsed="false">
      <c r="A43" s="18" t="n">
        <v>5</v>
      </c>
      <c r="B43" s="32" t="s">
        <v>56</v>
      </c>
      <c r="C43" s="16" t="n">
        <v>416500</v>
      </c>
      <c r="D43" s="13"/>
      <c r="E43" s="14" t="n">
        <f aca="false">C43-D43</f>
        <v>416500</v>
      </c>
    </row>
    <row r="44" customFormat="false" ht="15" hidden="false" customHeight="false" outlineLevel="0" collapsed="false">
      <c r="A44" s="18" t="n">
        <v>6</v>
      </c>
      <c r="B44" s="32" t="s">
        <v>57</v>
      </c>
      <c r="C44" s="16" t="n">
        <v>416500</v>
      </c>
      <c r="D44" s="13" t="n">
        <f aca="false">200000</f>
        <v>200000</v>
      </c>
      <c r="E44" s="14" t="n">
        <f aca="false">C44-D44</f>
        <v>216500</v>
      </c>
    </row>
    <row r="45" customFormat="false" ht="15" hidden="false" customHeight="false" outlineLevel="0" collapsed="false">
      <c r="A45" s="18" t="n">
        <v>7</v>
      </c>
      <c r="B45" s="32" t="s">
        <v>59</v>
      </c>
      <c r="C45" s="16" t="n">
        <v>416500</v>
      </c>
      <c r="D45" s="13" t="n">
        <f aca="false">100000+116000+120000</f>
        <v>336000</v>
      </c>
      <c r="E45" s="14" t="n">
        <f aca="false">C45-D45</f>
        <v>80500</v>
      </c>
    </row>
    <row r="46" customFormat="false" ht="15" hidden="false" customHeight="false" outlineLevel="0" collapsed="false">
      <c r="A46" s="18" t="n">
        <v>8</v>
      </c>
      <c r="B46" s="32" t="s">
        <v>60</v>
      </c>
      <c r="C46" s="16" t="n">
        <v>416500</v>
      </c>
      <c r="D46" s="13" t="n">
        <f aca="false">150000+70000</f>
        <v>220000</v>
      </c>
      <c r="E46" s="14" t="n">
        <f aca="false">C46-D46</f>
        <v>196500</v>
      </c>
    </row>
    <row r="47" customFormat="false" ht="15" hidden="false" customHeight="false" outlineLevel="0" collapsed="false">
      <c r="A47" s="18" t="n">
        <v>9</v>
      </c>
      <c r="B47" s="32" t="s">
        <v>61</v>
      </c>
      <c r="C47" s="16" t="n">
        <v>416500</v>
      </c>
      <c r="D47" s="13"/>
      <c r="E47" s="14" t="n">
        <f aca="false">C47-D47</f>
        <v>416500</v>
      </c>
    </row>
    <row r="48" customFormat="false" ht="15" hidden="false" customHeight="false" outlineLevel="0" collapsed="false">
      <c r="A48" s="18" t="n">
        <v>10</v>
      </c>
      <c r="B48" s="32" t="s">
        <v>62</v>
      </c>
      <c r="C48" s="16" t="n">
        <v>416500</v>
      </c>
      <c r="D48" s="13" t="n">
        <f aca="false">200000+216500</f>
        <v>416500</v>
      </c>
      <c r="E48" s="14" t="n">
        <f aca="false">C48-D48</f>
        <v>0</v>
      </c>
    </row>
    <row r="49" customFormat="false" ht="15" hidden="false" customHeight="false" outlineLevel="0" collapsed="false">
      <c r="A49" s="18" t="n">
        <v>11</v>
      </c>
      <c r="B49" s="32" t="s">
        <v>63</v>
      </c>
      <c r="C49" s="16" t="n">
        <v>416500</v>
      </c>
      <c r="D49" s="13" t="n">
        <f aca="false">60500</f>
        <v>60500</v>
      </c>
      <c r="E49" s="14" t="n">
        <f aca="false">C49-D49</f>
        <v>356000</v>
      </c>
    </row>
    <row r="50" customFormat="false" ht="15" hidden="false" customHeight="false" outlineLevel="0" collapsed="false">
      <c r="A50" s="18" t="n">
        <v>12</v>
      </c>
      <c r="B50" s="32" t="s">
        <v>65</v>
      </c>
      <c r="C50" s="16" t="n">
        <v>416500</v>
      </c>
      <c r="D50" s="13" t="n">
        <f aca="false">200000+140000+76500</f>
        <v>416500</v>
      </c>
      <c r="E50" s="14" t="n">
        <f aca="false">C50-D50</f>
        <v>0</v>
      </c>
    </row>
    <row r="51" customFormat="false" ht="15" hidden="false" customHeight="false" outlineLevel="0" collapsed="false">
      <c r="A51" s="18" t="n">
        <v>13</v>
      </c>
      <c r="B51" s="32" t="s">
        <v>66</v>
      </c>
      <c r="C51" s="16" t="n">
        <v>416500</v>
      </c>
      <c r="D51" s="13" t="n">
        <f aca="false">100000+100000+200000+16500</f>
        <v>416500</v>
      </c>
      <c r="E51" s="14" t="n">
        <f aca="false">C51-D51</f>
        <v>0</v>
      </c>
    </row>
    <row r="52" customFormat="false" ht="15" hidden="false" customHeight="false" outlineLevel="0" collapsed="false">
      <c r="A52" s="18" t="n">
        <v>14</v>
      </c>
      <c r="B52" s="32" t="s">
        <v>1372</v>
      </c>
      <c r="C52" s="16" t="n">
        <v>416500</v>
      </c>
      <c r="D52" s="13" t="n">
        <f aca="false">199500</f>
        <v>199500</v>
      </c>
      <c r="E52" s="14" t="n">
        <f aca="false">C52-D52</f>
        <v>217000</v>
      </c>
    </row>
    <row r="53" customFormat="false" ht="15" hidden="false" customHeight="false" outlineLevel="0" collapsed="false">
      <c r="A53" s="18" t="n">
        <v>15</v>
      </c>
      <c r="B53" s="32" t="s">
        <v>67</v>
      </c>
      <c r="C53" s="16" t="n">
        <v>416500</v>
      </c>
      <c r="D53" s="13" t="n">
        <f aca="false">50000+50000+100000+50000+30000+136000+500</f>
        <v>416500</v>
      </c>
      <c r="E53" s="14" t="n">
        <f aca="false">C53-D53</f>
        <v>0</v>
      </c>
    </row>
    <row r="54" customFormat="false" ht="15" hidden="false" customHeight="false" outlineLevel="0" collapsed="false">
      <c r="A54" s="18" t="n">
        <v>16</v>
      </c>
      <c r="B54" s="12" t="s">
        <v>68</v>
      </c>
      <c r="C54" s="16" t="n">
        <v>416500</v>
      </c>
      <c r="D54" s="13" t="n">
        <f aca="false">200000+150000+66500</f>
        <v>416500</v>
      </c>
      <c r="E54" s="14" t="n">
        <f aca="false">C54-D54</f>
        <v>0</v>
      </c>
    </row>
    <row r="55" customFormat="false" ht="15" hidden="false" customHeight="false" outlineLevel="0" collapsed="false">
      <c r="A55" s="18" t="n">
        <v>17</v>
      </c>
      <c r="B55" s="32" t="s">
        <v>69</v>
      </c>
      <c r="C55" s="16" t="n">
        <v>416500</v>
      </c>
      <c r="D55" s="13" t="n">
        <f aca="false">150000+66500+200000</f>
        <v>416500</v>
      </c>
      <c r="E55" s="14" t="n">
        <f aca="false">C55-D55</f>
        <v>0</v>
      </c>
    </row>
    <row r="56" customFormat="false" ht="15" hidden="false" customHeight="false" outlineLevel="0" collapsed="false">
      <c r="A56" s="18" t="n">
        <v>18</v>
      </c>
      <c r="B56" s="32" t="s">
        <v>70</v>
      </c>
      <c r="C56" s="16" t="n">
        <v>416500</v>
      </c>
      <c r="D56" s="13" t="n">
        <f aca="false">9500+209000+200000</f>
        <v>418500</v>
      </c>
      <c r="E56" s="14" t="n">
        <f aca="false">C56-D56</f>
        <v>-2000</v>
      </c>
    </row>
    <row r="57" customFormat="false" ht="15" hidden="false" customHeight="false" outlineLevel="0" collapsed="false">
      <c r="A57" s="18" t="n">
        <v>19</v>
      </c>
      <c r="B57" s="50" t="s">
        <v>71</v>
      </c>
      <c r="C57" s="16" t="n">
        <v>416500</v>
      </c>
      <c r="D57" s="51" t="n">
        <f aca="false">216000+200500</f>
        <v>416500</v>
      </c>
      <c r="E57" s="14" t="n">
        <f aca="false">C57-D57</f>
        <v>0</v>
      </c>
    </row>
    <row r="58" customFormat="false" ht="15" hidden="false" customHeight="false" outlineLevel="0" collapsed="false">
      <c r="A58" s="56" t="n">
        <v>20</v>
      </c>
      <c r="B58" s="32" t="s">
        <v>72</v>
      </c>
      <c r="C58" s="13" t="n">
        <v>416500</v>
      </c>
      <c r="D58" s="13" t="n">
        <f aca="false">9500+70500</f>
        <v>80000</v>
      </c>
      <c r="E58" s="14" t="n">
        <f aca="false">C58-D58</f>
        <v>336500</v>
      </c>
    </row>
    <row r="59" customFormat="false" ht="15" hidden="false" customHeight="false" outlineLevel="0" collapsed="false">
      <c r="A59" s="56" t="n">
        <v>21</v>
      </c>
      <c r="B59" s="44" t="s">
        <v>73</v>
      </c>
      <c r="C59" s="16" t="n">
        <v>416500</v>
      </c>
      <c r="D59" s="13" t="n">
        <f aca="false">416500</f>
        <v>416500</v>
      </c>
      <c r="E59" s="14" t="n">
        <f aca="false">C59-D59</f>
        <v>0</v>
      </c>
    </row>
    <row r="60" customFormat="false" ht="17.35" hidden="false" customHeight="false" outlineLevel="0" collapsed="false">
      <c r="A60" s="18"/>
      <c r="B60" s="20" t="s">
        <v>22</v>
      </c>
      <c r="C60" s="21" t="n">
        <f aca="false">SUM(C39:C59)</f>
        <v>8746500</v>
      </c>
      <c r="D60" s="22" t="n">
        <f aca="false">SUM(D39:D59)</f>
        <v>6279000</v>
      </c>
      <c r="E60" s="45" t="n">
        <f aca="false">C60-D60</f>
        <v>2467500</v>
      </c>
    </row>
    <row r="61" customFormat="false" ht="17.35" hidden="false" customHeight="false" outlineLevel="0" collapsed="false">
      <c r="B61" s="36"/>
      <c r="C61" s="37"/>
      <c r="D61" s="38"/>
      <c r="E61" s="39"/>
    </row>
    <row r="62" customFormat="false" ht="17.35" hidden="false" customHeight="false" outlineLevel="0" collapsed="false">
      <c r="A62" s="46"/>
      <c r="B62" s="36"/>
      <c r="C62" s="37"/>
      <c r="D62" s="47"/>
      <c r="E62" s="39"/>
    </row>
    <row r="63" customFormat="false" ht="17.35" hidden="false" customHeight="false" outlineLevel="0" collapsed="false">
      <c r="A63" s="40"/>
      <c r="B63" s="2" t="s">
        <v>504</v>
      </c>
      <c r="D63" s="24"/>
      <c r="E63" s="24"/>
    </row>
    <row r="64" customFormat="false" ht="15" hidden="false" customHeight="false" outlineLevel="0" collapsed="false">
      <c r="A64" s="40"/>
      <c r="B64" s="40"/>
      <c r="C64" s="40"/>
      <c r="D64" s="48"/>
      <c r="E64" s="48"/>
    </row>
    <row r="65" customFormat="false" ht="15" hidden="false" customHeight="false" outlineLevel="0" collapsed="false">
      <c r="A65" s="40"/>
      <c r="D65" s="24"/>
      <c r="E65" s="24"/>
    </row>
    <row r="66" customFormat="false" ht="17.25" hidden="false" customHeight="false" outlineLevel="0" collapsed="false">
      <c r="A66" s="40"/>
      <c r="B66" s="4" t="s">
        <v>37</v>
      </c>
      <c r="D66" s="25" t="s">
        <v>51</v>
      </c>
      <c r="E66" s="24"/>
    </row>
    <row r="67" customFormat="false" ht="15" hidden="false" customHeight="false" outlineLevel="0" collapsed="false">
      <c r="A67" s="40"/>
      <c r="D67" s="24"/>
      <c r="E67" s="24"/>
    </row>
    <row r="68" customFormat="false" ht="15" hidden="false" customHeight="false" outlineLevel="0" collapsed="false">
      <c r="A68" s="6" t="s">
        <v>5</v>
      </c>
      <c r="B68" s="7" t="s">
        <v>6</v>
      </c>
      <c r="C68" s="8" t="s">
        <v>7</v>
      </c>
      <c r="D68" s="42" t="s">
        <v>8</v>
      </c>
      <c r="E68" s="43" t="s">
        <v>9</v>
      </c>
    </row>
    <row r="69" customFormat="false" ht="15" hidden="false" customHeight="false" outlineLevel="0" collapsed="false">
      <c r="A69" s="49" t="n">
        <v>1</v>
      </c>
      <c r="B69" s="12" t="s">
        <v>74</v>
      </c>
      <c r="C69" s="16" t="n">
        <v>416500</v>
      </c>
      <c r="D69" s="13" t="n">
        <f aca="false">216500</f>
        <v>216500</v>
      </c>
      <c r="E69" s="14" t="n">
        <f aca="false">C69-D69</f>
        <v>200000</v>
      </c>
    </row>
    <row r="70" customFormat="false" ht="15" hidden="false" customHeight="false" outlineLevel="0" collapsed="false">
      <c r="A70" s="18" t="n">
        <v>2</v>
      </c>
      <c r="B70" s="32" t="s">
        <v>75</v>
      </c>
      <c r="C70" s="16" t="n">
        <v>416500</v>
      </c>
      <c r="D70" s="13" t="n">
        <f aca="false">300000+116500</f>
        <v>416500</v>
      </c>
      <c r="E70" s="14" t="n">
        <f aca="false">C70-D70</f>
        <v>0</v>
      </c>
    </row>
    <row r="71" customFormat="false" ht="15" hidden="false" customHeight="false" outlineLevel="0" collapsed="false">
      <c r="A71" s="49" t="n">
        <v>3</v>
      </c>
      <c r="B71" s="32" t="s">
        <v>76</v>
      </c>
      <c r="C71" s="16" t="n">
        <v>416500</v>
      </c>
      <c r="D71" s="13" t="n">
        <f aca="false">216500+200000</f>
        <v>416500</v>
      </c>
      <c r="E71" s="14" t="n">
        <f aca="false">C71-D71</f>
        <v>0</v>
      </c>
    </row>
    <row r="72" customFormat="false" ht="15" hidden="false" customHeight="false" outlineLevel="0" collapsed="false">
      <c r="A72" s="1" t="n">
        <v>4</v>
      </c>
      <c r="B72" s="32" t="s">
        <v>77</v>
      </c>
      <c r="C72" s="16" t="n">
        <v>416500</v>
      </c>
      <c r="D72" s="13" t="n">
        <f aca="false">220000+100000+96500</f>
        <v>416500</v>
      </c>
      <c r="E72" s="14" t="n">
        <f aca="false">C72-D72</f>
        <v>0</v>
      </c>
    </row>
    <row r="73" customFormat="false" ht="15" hidden="false" customHeight="false" outlineLevel="0" collapsed="false">
      <c r="A73" s="49" t="n">
        <v>5</v>
      </c>
      <c r="B73" s="32" t="s">
        <v>78</v>
      </c>
      <c r="C73" s="16" t="n">
        <v>416500</v>
      </c>
      <c r="D73" s="13" t="n">
        <f aca="false">150000</f>
        <v>150000</v>
      </c>
      <c r="E73" s="14" t="n">
        <f aca="false">C73-D73</f>
        <v>266500</v>
      </c>
    </row>
    <row r="74" customFormat="false" ht="15" hidden="false" customHeight="false" outlineLevel="0" collapsed="false">
      <c r="A74" s="18" t="n">
        <v>6</v>
      </c>
      <c r="B74" s="32" t="s">
        <v>79</v>
      </c>
      <c r="C74" s="16" t="n">
        <v>416500</v>
      </c>
      <c r="D74" s="13" t="n">
        <f aca="false">100000</f>
        <v>100000</v>
      </c>
      <c r="E74" s="14" t="n">
        <f aca="false">C74-D74</f>
        <v>316500</v>
      </c>
    </row>
    <row r="75" customFormat="false" ht="15" hidden="false" customHeight="false" outlineLevel="0" collapsed="false">
      <c r="A75" s="49" t="n">
        <v>7</v>
      </c>
      <c r="B75" s="32" t="s">
        <v>80</v>
      </c>
      <c r="C75" s="16" t="n">
        <v>416500</v>
      </c>
      <c r="D75" s="13" t="n">
        <f aca="false">200000</f>
        <v>200000</v>
      </c>
      <c r="E75" s="14" t="n">
        <f aca="false">C75-D75</f>
        <v>216500</v>
      </c>
    </row>
    <row r="76" customFormat="false" ht="15" hidden="false" customHeight="false" outlineLevel="0" collapsed="false">
      <c r="A76" s="18" t="n">
        <v>8</v>
      </c>
      <c r="B76" s="32" t="s">
        <v>81</v>
      </c>
      <c r="C76" s="16" t="n">
        <v>416500</v>
      </c>
      <c r="D76" s="13" t="n">
        <f aca="false">150000+50000+200000+16500</f>
        <v>416500</v>
      </c>
      <c r="E76" s="14" t="n">
        <f aca="false">C76-D76</f>
        <v>0</v>
      </c>
    </row>
    <row r="77" customFormat="false" ht="15" hidden="false" customHeight="false" outlineLevel="0" collapsed="false">
      <c r="A77" s="49" t="n">
        <v>9</v>
      </c>
      <c r="B77" s="32" t="s">
        <v>82</v>
      </c>
      <c r="C77" s="16" t="n">
        <v>416500</v>
      </c>
      <c r="D77" s="13"/>
      <c r="E77" s="14" t="n">
        <f aca="false">C77-D77</f>
        <v>416500</v>
      </c>
    </row>
    <row r="78" customFormat="false" ht="15" hidden="false" customHeight="false" outlineLevel="0" collapsed="false">
      <c r="A78" s="1" t="n">
        <v>10</v>
      </c>
      <c r="B78" s="32" t="s">
        <v>83</v>
      </c>
      <c r="C78" s="16" t="n">
        <v>416500</v>
      </c>
      <c r="D78" s="13" t="n">
        <f aca="false">199500+217000</f>
        <v>416500</v>
      </c>
      <c r="E78" s="14" t="n">
        <f aca="false">C78-D78</f>
        <v>0</v>
      </c>
    </row>
    <row r="79" customFormat="false" ht="15" hidden="false" customHeight="false" outlineLevel="0" collapsed="false">
      <c r="A79" s="49" t="n">
        <v>11</v>
      </c>
      <c r="B79" s="32" t="s">
        <v>84</v>
      </c>
      <c r="C79" s="16" t="n">
        <v>416500</v>
      </c>
      <c r="D79" s="13" t="n">
        <f aca="false">100500</f>
        <v>100500</v>
      </c>
      <c r="E79" s="14" t="n">
        <f aca="false">C79-D79</f>
        <v>316000</v>
      </c>
    </row>
    <row r="80" customFormat="false" ht="15" hidden="false" customHeight="false" outlineLevel="0" collapsed="false">
      <c r="A80" s="18" t="n">
        <v>12</v>
      </c>
      <c r="B80" s="32" t="s">
        <v>85</v>
      </c>
      <c r="C80" s="16" t="n">
        <v>416500</v>
      </c>
      <c r="D80" s="13" t="n">
        <v>416500</v>
      </c>
      <c r="E80" s="14" t="n">
        <f aca="false">C80-D80</f>
        <v>0</v>
      </c>
    </row>
    <row r="81" customFormat="false" ht="15" hidden="false" customHeight="false" outlineLevel="0" collapsed="false">
      <c r="A81" s="49" t="n">
        <v>13</v>
      </c>
      <c r="B81" s="32" t="s">
        <v>86</v>
      </c>
      <c r="C81" s="16" t="n">
        <v>416500</v>
      </c>
      <c r="D81" s="13" t="n">
        <f aca="false">416500</f>
        <v>416500</v>
      </c>
      <c r="E81" s="14" t="n">
        <f aca="false">C81-D81</f>
        <v>0</v>
      </c>
    </row>
    <row r="82" customFormat="false" ht="15" hidden="false" customHeight="false" outlineLevel="0" collapsed="false">
      <c r="A82" s="18" t="n">
        <v>14</v>
      </c>
      <c r="B82" s="32" t="s">
        <v>87</v>
      </c>
      <c r="C82" s="16" t="n">
        <v>416500</v>
      </c>
      <c r="D82" s="13"/>
      <c r="E82" s="14" t="n">
        <f aca="false">C82-D82</f>
        <v>416500</v>
      </c>
    </row>
    <row r="83" customFormat="false" ht="15" hidden="false" customHeight="false" outlineLevel="0" collapsed="false">
      <c r="A83" s="49" t="n">
        <v>15</v>
      </c>
      <c r="B83" s="53" t="s">
        <v>88</v>
      </c>
      <c r="C83" s="16" t="n">
        <v>416500</v>
      </c>
      <c r="D83" s="13"/>
      <c r="E83" s="14" t="n">
        <f aca="false">C83-D83</f>
        <v>416500</v>
      </c>
    </row>
    <row r="84" customFormat="false" ht="15" hidden="false" customHeight="false" outlineLevel="0" collapsed="false">
      <c r="A84" s="1" t="n">
        <v>16</v>
      </c>
      <c r="B84" s="32" t="s">
        <v>89</v>
      </c>
      <c r="C84" s="16" t="n">
        <v>416500</v>
      </c>
      <c r="D84" s="13"/>
      <c r="E84" s="14" t="n">
        <f aca="false">C84-D84</f>
        <v>416500</v>
      </c>
    </row>
    <row r="85" customFormat="false" ht="15" hidden="false" customHeight="false" outlineLevel="0" collapsed="false">
      <c r="A85" s="49" t="n">
        <v>17</v>
      </c>
      <c r="B85" s="32" t="s">
        <v>90</v>
      </c>
      <c r="C85" s="16" t="n">
        <v>416500</v>
      </c>
      <c r="D85" s="13"/>
      <c r="E85" s="14" t="n">
        <f aca="false">C85-D85</f>
        <v>416500</v>
      </c>
    </row>
    <row r="86" customFormat="false" ht="15" hidden="false" customHeight="false" outlineLevel="0" collapsed="false">
      <c r="A86" s="18" t="n">
        <v>18</v>
      </c>
      <c r="B86" s="32" t="s">
        <v>91</v>
      </c>
      <c r="C86" s="16" t="n">
        <v>416500</v>
      </c>
      <c r="D86" s="13" t="n">
        <f aca="false">100000+200000</f>
        <v>300000</v>
      </c>
      <c r="E86" s="14" t="n">
        <f aca="false">C86-D86</f>
        <v>116500</v>
      </c>
    </row>
    <row r="87" customFormat="false" ht="15" hidden="false" customHeight="false" outlineLevel="0" collapsed="false">
      <c r="A87" s="49" t="n">
        <v>19</v>
      </c>
      <c r="B87" s="32" t="s">
        <v>92</v>
      </c>
      <c r="C87" s="16" t="n">
        <v>416500</v>
      </c>
      <c r="D87" s="13" t="n">
        <f aca="false">216500+120000+80000</f>
        <v>416500</v>
      </c>
      <c r="E87" s="14" t="n">
        <f aca="false">C87-D87</f>
        <v>0</v>
      </c>
    </row>
    <row r="88" customFormat="false" ht="15" hidden="false" customHeight="false" outlineLevel="0" collapsed="false">
      <c r="A88" s="18" t="n">
        <v>20</v>
      </c>
      <c r="B88" s="32" t="s">
        <v>93</v>
      </c>
      <c r="C88" s="16" t="n">
        <v>416500</v>
      </c>
      <c r="D88" s="13"/>
      <c r="E88" s="14" t="n">
        <f aca="false">C88-D88</f>
        <v>416500</v>
      </c>
    </row>
    <row r="89" customFormat="false" ht="15" hidden="false" customHeight="false" outlineLevel="0" collapsed="false">
      <c r="A89" s="49" t="n">
        <v>21</v>
      </c>
      <c r="B89" s="32" t="s">
        <v>94</v>
      </c>
      <c r="C89" s="16" t="n">
        <v>416500</v>
      </c>
      <c r="D89" s="13" t="n">
        <f aca="false">100000</f>
        <v>100000</v>
      </c>
      <c r="E89" s="14" t="n">
        <f aca="false">C89-D89</f>
        <v>316500</v>
      </c>
    </row>
    <row r="90" customFormat="false" ht="15" hidden="false" customHeight="false" outlineLevel="0" collapsed="false">
      <c r="A90" s="1" t="n">
        <v>22</v>
      </c>
      <c r="B90" s="32" t="s">
        <v>95</v>
      </c>
      <c r="C90" s="16" t="n">
        <v>416500</v>
      </c>
      <c r="D90" s="13"/>
      <c r="E90" s="14" t="n">
        <f aca="false">C90-D90</f>
        <v>416500</v>
      </c>
    </row>
    <row r="91" customFormat="false" ht="15" hidden="false" customHeight="false" outlineLevel="0" collapsed="false">
      <c r="A91" s="49" t="n">
        <v>23</v>
      </c>
      <c r="B91" s="32" t="s">
        <v>96</v>
      </c>
      <c r="C91" s="16" t="n">
        <v>416500</v>
      </c>
      <c r="D91" s="13"/>
      <c r="E91" s="14" t="n">
        <f aca="false">C91-D91</f>
        <v>416500</v>
      </c>
    </row>
    <row r="92" customFormat="false" ht="15" hidden="false" customHeight="false" outlineLevel="0" collapsed="false">
      <c r="A92" s="18" t="n">
        <v>24</v>
      </c>
      <c r="B92" s="32" t="s">
        <v>97</v>
      </c>
      <c r="C92" s="16" t="n">
        <v>416500</v>
      </c>
      <c r="D92" s="13" t="n">
        <f aca="false">66500</f>
        <v>66500</v>
      </c>
      <c r="E92" s="14" t="n">
        <f aca="false">C92-D92</f>
        <v>350000</v>
      </c>
    </row>
    <row r="93" customFormat="false" ht="15" hidden="false" customHeight="false" outlineLevel="0" collapsed="false">
      <c r="A93" s="49" t="n">
        <v>25</v>
      </c>
      <c r="B93" s="32" t="s">
        <v>98</v>
      </c>
      <c r="C93" s="16" t="n">
        <v>416500</v>
      </c>
      <c r="D93" s="13" t="n">
        <f aca="false">190000+56500+50000</f>
        <v>296500</v>
      </c>
      <c r="E93" s="14" t="n">
        <f aca="false">C93-D93</f>
        <v>120000</v>
      </c>
    </row>
    <row r="94" customFormat="false" ht="15" hidden="false" customHeight="false" outlineLevel="0" collapsed="false">
      <c r="A94" s="18" t="n">
        <v>26</v>
      </c>
      <c r="B94" s="32" t="s">
        <v>99</v>
      </c>
      <c r="C94" s="16" t="n">
        <v>416500</v>
      </c>
      <c r="D94" s="13" t="n">
        <f aca="false">200000+85000+131500</f>
        <v>416500</v>
      </c>
      <c r="E94" s="14" t="n">
        <f aca="false">C94-D94</f>
        <v>0</v>
      </c>
    </row>
    <row r="95" customFormat="false" ht="15" hidden="false" customHeight="false" outlineLevel="0" collapsed="false">
      <c r="A95" s="49" t="n">
        <v>27</v>
      </c>
      <c r="B95" s="32" t="s">
        <v>100</v>
      </c>
      <c r="C95" s="16" t="n">
        <v>416500</v>
      </c>
      <c r="D95" s="13" t="n">
        <f aca="false">200000+216500</f>
        <v>416500</v>
      </c>
      <c r="E95" s="14" t="n">
        <f aca="false">C95-D95</f>
        <v>0</v>
      </c>
    </row>
    <row r="96" customFormat="false" ht="15" hidden="false" customHeight="false" outlineLevel="0" collapsed="false">
      <c r="A96" s="1" t="n">
        <v>28</v>
      </c>
      <c r="B96" s="32" t="s">
        <v>101</v>
      </c>
      <c r="C96" s="16" t="n">
        <v>416500</v>
      </c>
      <c r="D96" s="13"/>
      <c r="E96" s="14" t="n">
        <f aca="false">C96-D96</f>
        <v>416500</v>
      </c>
    </row>
    <row r="97" customFormat="false" ht="15" hidden="false" customHeight="false" outlineLevel="0" collapsed="false">
      <c r="A97" s="49" t="n">
        <v>29</v>
      </c>
      <c r="B97" s="32" t="s">
        <v>102</v>
      </c>
      <c r="C97" s="16" t="n">
        <v>416500</v>
      </c>
      <c r="D97" s="13"/>
      <c r="E97" s="14" t="n">
        <f aca="false">C97-D97</f>
        <v>416500</v>
      </c>
    </row>
    <row r="98" customFormat="false" ht="15" hidden="false" customHeight="false" outlineLevel="0" collapsed="false">
      <c r="A98" s="18" t="n">
        <v>30</v>
      </c>
      <c r="B98" s="32" t="s">
        <v>103</v>
      </c>
      <c r="C98" s="16" t="n">
        <v>416500</v>
      </c>
      <c r="D98" s="13" t="n">
        <f aca="false">202000+214500</f>
        <v>416500</v>
      </c>
      <c r="E98" s="14" t="n">
        <f aca="false">C98-D98</f>
        <v>0</v>
      </c>
    </row>
    <row r="99" customFormat="false" ht="15" hidden="false" customHeight="false" outlineLevel="0" collapsed="false">
      <c r="A99" s="49" t="n">
        <v>31</v>
      </c>
      <c r="B99" s="32" t="s">
        <v>104</v>
      </c>
      <c r="C99" s="16" t="n">
        <v>416500</v>
      </c>
      <c r="D99" s="13" t="n">
        <f aca="false">416500</f>
        <v>416500</v>
      </c>
      <c r="E99" s="14" t="n">
        <f aca="false">C99-D99</f>
        <v>0</v>
      </c>
    </row>
    <row r="100" customFormat="false" ht="15" hidden="false" customHeight="false" outlineLevel="0" collapsed="false">
      <c r="A100" s="18" t="n">
        <v>32</v>
      </c>
      <c r="B100" s="32" t="s">
        <v>105</v>
      </c>
      <c r="C100" s="16" t="n">
        <v>416500</v>
      </c>
      <c r="D100" s="13" t="n">
        <f aca="false">200000+100000+116500</f>
        <v>416500</v>
      </c>
      <c r="E100" s="14" t="n">
        <f aca="false">C100-D100</f>
        <v>0</v>
      </c>
    </row>
    <row r="101" customFormat="false" ht="15" hidden="false" customHeight="false" outlineLevel="0" collapsed="false">
      <c r="A101" s="49" t="n">
        <v>33</v>
      </c>
      <c r="B101" s="32" t="s">
        <v>106</v>
      </c>
      <c r="C101" s="16" t="n">
        <v>416500</v>
      </c>
      <c r="D101" s="13" t="n">
        <f aca="false">108500+100000</f>
        <v>208500</v>
      </c>
      <c r="E101" s="14" t="n">
        <f aca="false">C101-D101</f>
        <v>208000</v>
      </c>
    </row>
    <row r="102" customFormat="false" ht="15" hidden="false" customHeight="false" outlineLevel="0" collapsed="false">
      <c r="A102" s="1" t="n">
        <v>34</v>
      </c>
      <c r="B102" s="32" t="s">
        <v>107</v>
      </c>
      <c r="C102" s="16" t="n">
        <v>416500</v>
      </c>
      <c r="D102" s="13" t="n">
        <f aca="false">216500+200000</f>
        <v>416500</v>
      </c>
      <c r="E102" s="14" t="n">
        <f aca="false">C102-D102</f>
        <v>0</v>
      </c>
    </row>
    <row r="103" customFormat="false" ht="15" hidden="false" customHeight="false" outlineLevel="0" collapsed="false">
      <c r="A103" s="49" t="n">
        <v>35</v>
      </c>
      <c r="B103" s="32" t="s">
        <v>108</v>
      </c>
      <c r="C103" s="16" t="n">
        <v>416500</v>
      </c>
      <c r="D103" s="13"/>
      <c r="E103" s="14" t="n">
        <f aca="false">C103-D103</f>
        <v>416500</v>
      </c>
    </row>
    <row r="104" customFormat="false" ht="15" hidden="false" customHeight="false" outlineLevel="0" collapsed="false">
      <c r="A104" s="18" t="n">
        <v>36</v>
      </c>
      <c r="B104" s="32" t="s">
        <v>109</v>
      </c>
      <c r="C104" s="13" t="n">
        <v>416500</v>
      </c>
      <c r="D104" s="13"/>
      <c r="E104" s="14" t="n">
        <f aca="false">C104-D104</f>
        <v>416500</v>
      </c>
    </row>
    <row r="105" customFormat="false" ht="15" hidden="false" customHeight="false" outlineLevel="0" collapsed="false">
      <c r="A105" s="49" t="n">
        <v>37</v>
      </c>
      <c r="B105" s="32" t="s">
        <v>110</v>
      </c>
      <c r="C105" s="16" t="n">
        <v>416500</v>
      </c>
      <c r="D105" s="13"/>
      <c r="E105" s="14" t="n">
        <f aca="false">C105-D105</f>
        <v>416500</v>
      </c>
    </row>
    <row r="106" customFormat="false" ht="15" hidden="false" customHeight="false" outlineLevel="0" collapsed="false">
      <c r="A106" s="18" t="n">
        <v>38</v>
      </c>
      <c r="B106" s="32" t="s">
        <v>111</v>
      </c>
      <c r="C106" s="16" t="n">
        <v>416500</v>
      </c>
      <c r="D106" s="13"/>
      <c r="E106" s="14" t="n">
        <f aca="false">C106-D106</f>
        <v>416500</v>
      </c>
    </row>
    <row r="107" customFormat="false" ht="15" hidden="false" customHeight="false" outlineLevel="0" collapsed="false">
      <c r="A107" s="49" t="n">
        <v>39</v>
      </c>
      <c r="B107" s="54" t="s">
        <v>112</v>
      </c>
      <c r="C107" s="16" t="n">
        <v>416500</v>
      </c>
      <c r="D107" s="76"/>
      <c r="E107" s="14" t="n">
        <f aca="false">C107-D107</f>
        <v>416500</v>
      </c>
    </row>
    <row r="108" customFormat="false" ht="15" hidden="false" customHeight="false" outlineLevel="0" collapsed="false">
      <c r="A108" s="1" t="n">
        <v>40</v>
      </c>
      <c r="B108" s="32" t="s">
        <v>113</v>
      </c>
      <c r="C108" s="16" t="n">
        <v>416500</v>
      </c>
      <c r="D108" s="13" t="n">
        <f aca="false">216000+201000</f>
        <v>417000</v>
      </c>
      <c r="E108" s="14" t="n">
        <f aca="false">C108-D108</f>
        <v>-500</v>
      </c>
    </row>
    <row r="109" customFormat="false" ht="15" hidden="false" customHeight="false" outlineLevel="0" collapsed="false">
      <c r="A109" s="49" t="n">
        <v>41</v>
      </c>
      <c r="B109" s="32" t="s">
        <v>114</v>
      </c>
      <c r="C109" s="16" t="n">
        <v>416500</v>
      </c>
      <c r="D109" s="13" t="n">
        <f aca="false">228500</f>
        <v>228500</v>
      </c>
      <c r="E109" s="14" t="n">
        <f aca="false">C109-D109</f>
        <v>188000</v>
      </c>
    </row>
    <row r="110" customFormat="false" ht="15" hidden="false" customHeight="false" outlineLevel="0" collapsed="false">
      <c r="A110" s="18" t="n">
        <v>42</v>
      </c>
      <c r="B110" s="32" t="s">
        <v>115</v>
      </c>
      <c r="C110" s="16" t="n">
        <v>416500</v>
      </c>
      <c r="D110" s="13" t="n">
        <f aca="false">216500</f>
        <v>216500</v>
      </c>
      <c r="E110" s="14" t="n">
        <f aca="false">C110-D110</f>
        <v>200000</v>
      </c>
    </row>
    <row r="111" customFormat="false" ht="15" hidden="false" customHeight="false" outlineLevel="0" collapsed="false">
      <c r="A111" s="49" t="n">
        <v>43</v>
      </c>
      <c r="B111" s="32" t="s">
        <v>116</v>
      </c>
      <c r="C111" s="16" t="n">
        <v>416500</v>
      </c>
      <c r="D111" s="13" t="n">
        <f aca="false">120000</f>
        <v>120000</v>
      </c>
      <c r="E111" s="14" t="n">
        <f aca="false">C111-D111</f>
        <v>296500</v>
      </c>
    </row>
    <row r="112" customFormat="false" ht="15" hidden="false" customHeight="false" outlineLevel="0" collapsed="false">
      <c r="A112" s="18" t="n">
        <v>44</v>
      </c>
      <c r="B112" s="32" t="s">
        <v>117</v>
      </c>
      <c r="C112" s="16" t="n">
        <v>416500</v>
      </c>
      <c r="D112" s="13" t="n">
        <v>416500</v>
      </c>
      <c r="E112" s="14" t="n">
        <f aca="false">C112-D112</f>
        <v>0</v>
      </c>
    </row>
    <row r="113" customFormat="false" ht="17.35" hidden="false" customHeight="false" outlineLevel="0" collapsed="false">
      <c r="A113" s="18"/>
      <c r="B113" s="20" t="s">
        <v>22</v>
      </c>
      <c r="C113" s="21" t="n">
        <f aca="false">SUM(C69:C112)</f>
        <v>18326000</v>
      </c>
      <c r="D113" s="22" t="n">
        <f aca="false">SUM(D69:D112)</f>
        <v>8968000</v>
      </c>
      <c r="E113" s="45" t="n">
        <f aca="false">C113-D113</f>
        <v>9358000</v>
      </c>
    </row>
    <row r="114" customFormat="false" ht="15" hidden="false" customHeight="false" outlineLevel="0" collapsed="false">
      <c r="A114" s="40"/>
      <c r="D114" s="24"/>
      <c r="E114" s="24"/>
    </row>
    <row r="115" customFormat="false" ht="15" hidden="false" customHeight="false" outlineLevel="0" collapsed="false">
      <c r="A115" s="40"/>
      <c r="D115" s="24"/>
      <c r="E115" s="24"/>
    </row>
    <row r="116" customFormat="false" ht="15" hidden="false" customHeight="false" outlineLevel="0" collapsed="false">
      <c r="A116" s="40"/>
      <c r="D116" s="24"/>
      <c r="E116" s="24"/>
    </row>
    <row r="117" customFormat="false" ht="15" hidden="false" customHeight="false" outlineLevel="0" collapsed="false">
      <c r="A117" s="40"/>
      <c r="D117" s="24"/>
      <c r="E117" s="24"/>
    </row>
    <row r="118" customFormat="false" ht="17.35" hidden="false" customHeight="false" outlineLevel="0" collapsed="false">
      <c r="B118" s="36"/>
      <c r="C118" s="37"/>
      <c r="D118" s="38"/>
      <c r="E118" s="39"/>
    </row>
    <row r="119" customFormat="false" ht="17.35" hidden="false" customHeight="false" outlineLevel="0" collapsed="false">
      <c r="B119" s="36"/>
      <c r="C119" s="37"/>
      <c r="D119" s="38"/>
      <c r="E119" s="39"/>
    </row>
    <row r="120" customFormat="false" ht="17.35" hidden="false" customHeight="false" outlineLevel="0" collapsed="false">
      <c r="B120" s="2" t="s">
        <v>504</v>
      </c>
      <c r="C120" s="2"/>
      <c r="D120" s="24"/>
      <c r="E120" s="24"/>
    </row>
    <row r="121" customFormat="false" ht="15" hidden="false" customHeight="false" outlineLevel="0" collapsed="false">
      <c r="D121" s="24"/>
      <c r="E121" s="24"/>
    </row>
    <row r="122" customFormat="false" ht="15" hidden="false" customHeight="false" outlineLevel="0" collapsed="false">
      <c r="A122" s="40"/>
      <c r="D122" s="24"/>
      <c r="E122" s="24"/>
    </row>
    <row r="123" customFormat="false" ht="17.25" hidden="false" customHeight="false" outlineLevel="0" collapsed="false">
      <c r="A123" s="40"/>
      <c r="B123" s="4" t="s">
        <v>118</v>
      </c>
      <c r="D123" s="25" t="s">
        <v>4</v>
      </c>
      <c r="E123" s="24"/>
    </row>
    <row r="124" customFormat="false" ht="15" hidden="false" customHeight="false" outlineLevel="0" collapsed="false">
      <c r="A124" s="40"/>
      <c r="D124" s="24"/>
      <c r="E124" s="24"/>
    </row>
    <row r="125" customFormat="false" ht="15" hidden="false" customHeight="false" outlineLevel="0" collapsed="false">
      <c r="A125" s="6" t="s">
        <v>5</v>
      </c>
      <c r="B125" s="7" t="s">
        <v>6</v>
      </c>
      <c r="C125" s="8" t="s">
        <v>7</v>
      </c>
      <c r="D125" s="42" t="s">
        <v>8</v>
      </c>
      <c r="E125" s="43" t="s">
        <v>9</v>
      </c>
    </row>
    <row r="126" customFormat="false" ht="15" hidden="false" customHeight="false" outlineLevel="0" collapsed="false">
      <c r="A126" s="49" t="n">
        <v>1</v>
      </c>
      <c r="B126" s="50" t="s">
        <v>1377</v>
      </c>
      <c r="C126" s="16" t="n">
        <v>416500</v>
      </c>
      <c r="D126" s="51" t="n">
        <f aca="false">175000+41500</f>
        <v>216500</v>
      </c>
      <c r="E126" s="14" t="n">
        <f aca="false">C126-D126</f>
        <v>200000</v>
      </c>
    </row>
    <row r="127" customFormat="false" ht="15" hidden="false" customHeight="false" outlineLevel="0" collapsed="false">
      <c r="A127" s="49" t="n">
        <v>2</v>
      </c>
      <c r="B127" s="50" t="s">
        <v>140</v>
      </c>
      <c r="C127" s="16" t="n">
        <v>416500</v>
      </c>
      <c r="D127" s="51" t="n">
        <f aca="false">249500+60000+107000</f>
        <v>416500</v>
      </c>
      <c r="E127" s="14" t="n">
        <f aca="false">C127-D127</f>
        <v>0</v>
      </c>
    </row>
    <row r="128" customFormat="false" ht="15" hidden="false" customHeight="false" outlineLevel="0" collapsed="false">
      <c r="A128" s="18" t="n">
        <v>3</v>
      </c>
      <c r="B128" s="50" t="s">
        <v>142</v>
      </c>
      <c r="C128" s="16" t="n">
        <v>416500</v>
      </c>
      <c r="D128" s="51" t="n">
        <f aca="false">100000+100000+216000+500</f>
        <v>416500</v>
      </c>
      <c r="E128" s="14" t="n">
        <f aca="false">C128-D128</f>
        <v>0</v>
      </c>
    </row>
    <row r="129" customFormat="false" ht="15" hidden="false" customHeight="false" outlineLevel="0" collapsed="false">
      <c r="A129" s="18" t="n">
        <v>4</v>
      </c>
      <c r="B129" s="50" t="s">
        <v>143</v>
      </c>
      <c r="C129" s="16" t="n">
        <v>416500</v>
      </c>
      <c r="D129" s="51" t="n">
        <f aca="false">200000+100000+100000+16500</f>
        <v>416500</v>
      </c>
      <c r="E129" s="14" t="n">
        <f aca="false">C129-D129</f>
        <v>0</v>
      </c>
    </row>
    <row r="130" customFormat="false" ht="15" hidden="false" customHeight="false" outlineLevel="0" collapsed="false">
      <c r="A130" s="18" t="n">
        <v>5</v>
      </c>
      <c r="B130" s="50" t="s">
        <v>144</v>
      </c>
      <c r="C130" s="16" t="n">
        <v>416500</v>
      </c>
      <c r="D130" s="51"/>
      <c r="E130" s="14" t="n">
        <f aca="false">C130-D130</f>
        <v>416500</v>
      </c>
    </row>
    <row r="131" customFormat="false" ht="15" hidden="false" customHeight="false" outlineLevel="0" collapsed="false">
      <c r="A131" s="18" t="n">
        <v>6</v>
      </c>
      <c r="B131" s="50" t="s">
        <v>145</v>
      </c>
      <c r="C131" s="16" t="n">
        <v>416500</v>
      </c>
      <c r="D131" s="51" t="n">
        <f aca="false">50000+50000+100000+50000</f>
        <v>250000</v>
      </c>
      <c r="E131" s="14" t="n">
        <f aca="false">C131-D131</f>
        <v>166500</v>
      </c>
    </row>
    <row r="132" customFormat="false" ht="15" hidden="false" customHeight="false" outlineLevel="0" collapsed="false">
      <c r="A132" s="49" t="n">
        <v>7</v>
      </c>
      <c r="B132" s="50" t="s">
        <v>146</v>
      </c>
      <c r="C132" s="16" t="n">
        <v>416500</v>
      </c>
      <c r="D132" s="51" t="n">
        <f aca="false">216500+200500</f>
        <v>417000</v>
      </c>
      <c r="E132" s="14" t="n">
        <f aca="false">C132-D132</f>
        <v>-500</v>
      </c>
    </row>
    <row r="133" customFormat="false" ht="15" hidden="false" customHeight="false" outlineLevel="0" collapsed="false">
      <c r="A133" s="49" t="n">
        <v>8</v>
      </c>
      <c r="B133" s="50" t="s">
        <v>147</v>
      </c>
      <c r="C133" s="16" t="n">
        <v>416500</v>
      </c>
      <c r="D133" s="51" t="n">
        <f aca="false">216000+100000</f>
        <v>316000</v>
      </c>
      <c r="E133" s="14" t="n">
        <f aca="false">C133-D133</f>
        <v>100500</v>
      </c>
    </row>
    <row r="134" customFormat="false" ht="15" hidden="false" customHeight="false" outlineLevel="0" collapsed="false">
      <c r="A134" s="18" t="n">
        <v>9</v>
      </c>
      <c r="B134" s="50" t="s">
        <v>148</v>
      </c>
      <c r="C134" s="16" t="n">
        <v>416500</v>
      </c>
      <c r="D134" s="51" t="n">
        <f aca="false">260000+156500</f>
        <v>416500</v>
      </c>
      <c r="E134" s="14" t="n">
        <f aca="false">C134-D134</f>
        <v>0</v>
      </c>
    </row>
    <row r="135" customFormat="false" ht="15" hidden="false" customHeight="false" outlineLevel="0" collapsed="false">
      <c r="A135" s="18" t="n">
        <v>10</v>
      </c>
      <c r="B135" s="50" t="s">
        <v>149</v>
      </c>
      <c r="C135" s="16" t="n">
        <v>416500</v>
      </c>
      <c r="D135" s="51" t="n">
        <f aca="false">216000+200500</f>
        <v>416500</v>
      </c>
      <c r="E135" s="14" t="n">
        <f aca="false">C135-D135</f>
        <v>0</v>
      </c>
    </row>
    <row r="136" customFormat="false" ht="15" hidden="false" customHeight="false" outlineLevel="0" collapsed="false">
      <c r="A136" s="18" t="n">
        <v>11</v>
      </c>
      <c r="B136" s="50" t="s">
        <v>150</v>
      </c>
      <c r="C136" s="16" t="n">
        <v>416500</v>
      </c>
      <c r="D136" s="51" t="n">
        <f aca="false">216500+200000</f>
        <v>416500</v>
      </c>
      <c r="E136" s="14" t="n">
        <f aca="false">C136-D136</f>
        <v>0</v>
      </c>
    </row>
    <row r="137" customFormat="false" ht="15" hidden="false" customHeight="false" outlineLevel="0" collapsed="false">
      <c r="A137" s="18" t="n">
        <v>12</v>
      </c>
      <c r="B137" s="50" t="s">
        <v>1375</v>
      </c>
      <c r="C137" s="16" t="n">
        <v>416500</v>
      </c>
      <c r="D137" s="51" t="n">
        <f aca="false">216500+200000</f>
        <v>416500</v>
      </c>
      <c r="E137" s="14" t="n">
        <f aca="false">C137-D137</f>
        <v>0</v>
      </c>
    </row>
    <row r="138" customFormat="false" ht="15" hidden="false" customHeight="false" outlineLevel="0" collapsed="false">
      <c r="A138" s="49" t="n">
        <v>13</v>
      </c>
      <c r="B138" s="50" t="s">
        <v>152</v>
      </c>
      <c r="C138" s="16" t="n">
        <v>416500</v>
      </c>
      <c r="D138" s="51" t="n">
        <f aca="false">216500+150000+50000</f>
        <v>416500</v>
      </c>
      <c r="E138" s="14" t="n">
        <f aca="false">C138-D138</f>
        <v>0</v>
      </c>
    </row>
    <row r="139" customFormat="false" ht="15" hidden="false" customHeight="false" outlineLevel="0" collapsed="false">
      <c r="A139" s="49" t="n">
        <v>14</v>
      </c>
      <c r="B139" s="50" t="s">
        <v>153</v>
      </c>
      <c r="C139" s="16" t="n">
        <v>416500</v>
      </c>
      <c r="D139" s="51" t="n">
        <f aca="false">116500+200000</f>
        <v>316500</v>
      </c>
      <c r="E139" s="14" t="n">
        <f aca="false">C139-D139</f>
        <v>100000</v>
      </c>
    </row>
    <row r="140" customFormat="false" ht="15" hidden="false" customHeight="false" outlineLevel="0" collapsed="false">
      <c r="A140" s="18" t="n">
        <v>15</v>
      </c>
      <c r="B140" s="50" t="s">
        <v>1535</v>
      </c>
      <c r="C140" s="16" t="n">
        <v>416500</v>
      </c>
      <c r="D140" s="51"/>
      <c r="E140" s="14" t="n">
        <f aca="false">C140-D140</f>
        <v>416500</v>
      </c>
    </row>
    <row r="141" customFormat="false" ht="15" hidden="false" customHeight="false" outlineLevel="0" collapsed="false">
      <c r="A141" s="18" t="n">
        <v>16</v>
      </c>
      <c r="B141" s="50" t="s">
        <v>155</v>
      </c>
      <c r="C141" s="16" t="n">
        <v>416500</v>
      </c>
      <c r="D141" s="51" t="n">
        <f aca="false">186500+200000</f>
        <v>386500</v>
      </c>
      <c r="E141" s="14" t="n">
        <f aca="false">C141-D141</f>
        <v>30000</v>
      </c>
    </row>
    <row r="142" customFormat="false" ht="15" hidden="false" customHeight="false" outlineLevel="0" collapsed="false">
      <c r="A142" s="18" t="n">
        <v>17</v>
      </c>
      <c r="B142" s="50" t="s">
        <v>156</v>
      </c>
      <c r="C142" s="13" t="n">
        <v>225000</v>
      </c>
      <c r="D142" s="51" t="n">
        <f aca="false">50000+65000+50000+50000+10000</f>
        <v>225000</v>
      </c>
      <c r="E142" s="14" t="n">
        <f aca="false">C142-D142</f>
        <v>0</v>
      </c>
    </row>
    <row r="143" customFormat="false" ht="15" hidden="false" customHeight="false" outlineLevel="0" collapsed="false">
      <c r="A143" s="18" t="n">
        <v>18</v>
      </c>
      <c r="B143" s="50" t="s">
        <v>157</v>
      </c>
      <c r="C143" s="16" t="n">
        <v>416500</v>
      </c>
      <c r="D143" s="51" t="n">
        <f aca="false">300000</f>
        <v>300000</v>
      </c>
      <c r="E143" s="14" t="n">
        <f aca="false">C143-D143</f>
        <v>116500</v>
      </c>
    </row>
    <row r="144" customFormat="false" ht="15" hidden="false" customHeight="false" outlineLevel="0" collapsed="false">
      <c r="A144" s="49" t="n">
        <v>19</v>
      </c>
      <c r="B144" s="50" t="s">
        <v>158</v>
      </c>
      <c r="C144" s="16" t="n">
        <v>416500</v>
      </c>
      <c r="D144" s="51" t="n">
        <v>416500</v>
      </c>
      <c r="E144" s="14" t="n">
        <f aca="false">C144-D144</f>
        <v>0</v>
      </c>
    </row>
    <row r="145" customFormat="false" ht="15" hidden="false" customHeight="false" outlineLevel="0" collapsed="false">
      <c r="A145" s="49" t="n">
        <v>20</v>
      </c>
      <c r="B145" s="50" t="s">
        <v>159</v>
      </c>
      <c r="C145" s="16" t="n">
        <v>416500</v>
      </c>
      <c r="D145" s="51" t="n">
        <f aca="false">200000+100000+116500</f>
        <v>416500</v>
      </c>
      <c r="E145" s="14" t="n">
        <f aca="false">C145-D145</f>
        <v>0</v>
      </c>
    </row>
    <row r="146" customFormat="false" ht="15" hidden="false" customHeight="false" outlineLevel="0" collapsed="false">
      <c r="A146" s="18" t="n">
        <v>21</v>
      </c>
      <c r="B146" s="50" t="s">
        <v>160</v>
      </c>
      <c r="C146" s="16" t="n">
        <v>416500</v>
      </c>
      <c r="D146" s="51" t="n">
        <f aca="false">216500+200000</f>
        <v>416500</v>
      </c>
      <c r="E146" s="14" t="n">
        <f aca="false">C146-D146</f>
        <v>0</v>
      </c>
    </row>
    <row r="147" customFormat="false" ht="15" hidden="false" customHeight="false" outlineLevel="0" collapsed="false">
      <c r="A147" s="18" t="n">
        <v>22</v>
      </c>
      <c r="B147" s="50" t="s">
        <v>1536</v>
      </c>
      <c r="C147" s="16" t="n">
        <v>416500</v>
      </c>
      <c r="D147" s="51"/>
      <c r="E147" s="14" t="n">
        <f aca="false">C147-D147</f>
        <v>416500</v>
      </c>
    </row>
    <row r="148" customFormat="false" ht="15" hidden="false" customHeight="false" outlineLevel="0" collapsed="false">
      <c r="A148" s="18" t="n">
        <v>23</v>
      </c>
      <c r="B148" s="50" t="s">
        <v>161</v>
      </c>
      <c r="C148" s="16" t="n">
        <v>416500</v>
      </c>
      <c r="D148" s="51" t="n">
        <f aca="false">150000+61500+100000+100000+5000</f>
        <v>416500</v>
      </c>
      <c r="E148" s="14" t="n">
        <f aca="false">C148-D148</f>
        <v>0</v>
      </c>
    </row>
    <row r="149" customFormat="false" ht="15" hidden="false" customHeight="false" outlineLevel="0" collapsed="false">
      <c r="A149" s="18" t="n">
        <v>24</v>
      </c>
      <c r="B149" s="50" t="s">
        <v>162</v>
      </c>
      <c r="C149" s="16" t="n">
        <v>416500</v>
      </c>
      <c r="D149" s="51" t="n">
        <f aca="false">143500+70000</f>
        <v>213500</v>
      </c>
      <c r="E149" s="14" t="n">
        <f aca="false">C149-D149</f>
        <v>203000</v>
      </c>
    </row>
    <row r="150" customFormat="false" ht="15" hidden="false" customHeight="false" outlineLevel="0" collapsed="false">
      <c r="A150" s="49" t="n">
        <v>25</v>
      </c>
      <c r="B150" s="50" t="s">
        <v>1537</v>
      </c>
      <c r="C150" s="16" t="n">
        <v>416500</v>
      </c>
      <c r="D150" s="51" t="n">
        <f aca="false">150000</f>
        <v>150000</v>
      </c>
      <c r="E150" s="14" t="n">
        <f aca="false">C150-D150</f>
        <v>266500</v>
      </c>
    </row>
    <row r="151" customFormat="false" ht="15" hidden="false" customHeight="false" outlineLevel="0" collapsed="false">
      <c r="A151" s="49" t="n">
        <v>26</v>
      </c>
      <c r="B151" s="50" t="s">
        <v>1538</v>
      </c>
      <c r="C151" s="16" t="n">
        <v>416500</v>
      </c>
      <c r="D151" s="51"/>
      <c r="E151" s="14" t="n">
        <f aca="false">C151-D151</f>
        <v>416500</v>
      </c>
    </row>
    <row r="152" customFormat="false" ht="15" hidden="false" customHeight="false" outlineLevel="0" collapsed="false">
      <c r="A152" s="18" t="n">
        <v>27</v>
      </c>
      <c r="B152" s="50" t="s">
        <v>163</v>
      </c>
      <c r="C152" s="16" t="n">
        <v>416500</v>
      </c>
      <c r="D152" s="51" t="n">
        <f aca="false">200000+100000</f>
        <v>300000</v>
      </c>
      <c r="E152" s="14" t="n">
        <f aca="false">C152-D152</f>
        <v>116500</v>
      </c>
    </row>
    <row r="153" customFormat="false" ht="15" hidden="false" customHeight="false" outlineLevel="0" collapsed="false">
      <c r="A153" s="18" t="n">
        <v>28</v>
      </c>
      <c r="B153" s="50" t="s">
        <v>164</v>
      </c>
      <c r="C153" s="16" t="n">
        <v>416500</v>
      </c>
      <c r="D153" s="51" t="n">
        <f aca="false">151500+100000+165000</f>
        <v>416500</v>
      </c>
      <c r="E153" s="14" t="n">
        <f aca="false">C153-D153</f>
        <v>0</v>
      </c>
    </row>
    <row r="154" customFormat="false" ht="15" hidden="false" customHeight="false" outlineLevel="0" collapsed="false">
      <c r="A154" s="18" t="n">
        <v>29</v>
      </c>
      <c r="B154" s="50" t="s">
        <v>165</v>
      </c>
      <c r="C154" s="16" t="n">
        <v>416500</v>
      </c>
      <c r="D154" s="51" t="n">
        <f aca="false">90000</f>
        <v>90000</v>
      </c>
      <c r="E154" s="14" t="n">
        <f aca="false">C154-D154</f>
        <v>326500</v>
      </c>
    </row>
    <row r="155" customFormat="false" ht="15" hidden="false" customHeight="false" outlineLevel="0" collapsed="false">
      <c r="A155" s="18" t="n">
        <v>30</v>
      </c>
      <c r="B155" s="50" t="s">
        <v>1539</v>
      </c>
      <c r="C155" s="16" t="n">
        <v>416500</v>
      </c>
      <c r="D155" s="51"/>
      <c r="E155" s="14" t="n">
        <f aca="false">C155-D155</f>
        <v>416500</v>
      </c>
    </row>
    <row r="156" customFormat="false" ht="15" hidden="false" customHeight="false" outlineLevel="0" collapsed="false">
      <c r="A156" s="49" t="n">
        <v>31</v>
      </c>
      <c r="B156" s="50" t="s">
        <v>1540</v>
      </c>
      <c r="C156" s="16" t="n">
        <v>416500</v>
      </c>
      <c r="D156" s="51"/>
      <c r="E156" s="14" t="n">
        <f aca="false">C156-D156</f>
        <v>416500</v>
      </c>
    </row>
    <row r="157" customFormat="false" ht="15" hidden="false" customHeight="false" outlineLevel="0" collapsed="false">
      <c r="A157" s="49" t="n">
        <v>32</v>
      </c>
      <c r="B157" s="61" t="s">
        <v>166</v>
      </c>
      <c r="C157" s="16" t="n">
        <v>416500</v>
      </c>
      <c r="D157" s="51" t="n">
        <f aca="false">100000+50000</f>
        <v>150000</v>
      </c>
      <c r="E157" s="14" t="n">
        <f aca="false">C157-D157</f>
        <v>266500</v>
      </c>
    </row>
    <row r="158" customFormat="false" ht="15" hidden="false" customHeight="false" outlineLevel="0" collapsed="false">
      <c r="A158" s="18" t="n">
        <v>33</v>
      </c>
      <c r="B158" s="50" t="s">
        <v>167</v>
      </c>
      <c r="C158" s="16" t="n">
        <v>416500</v>
      </c>
      <c r="D158" s="51"/>
      <c r="E158" s="14" t="n">
        <f aca="false">C158-D158</f>
        <v>416500</v>
      </c>
    </row>
    <row r="159" customFormat="false" ht="15" hidden="false" customHeight="false" outlineLevel="0" collapsed="false">
      <c r="A159" s="18" t="n">
        <v>34</v>
      </c>
      <c r="B159" s="50" t="s">
        <v>1541</v>
      </c>
      <c r="C159" s="16" t="n">
        <v>416500</v>
      </c>
      <c r="D159" s="51"/>
      <c r="E159" s="14" t="n">
        <f aca="false">C159-D159</f>
        <v>416500</v>
      </c>
    </row>
    <row r="160" customFormat="false" ht="15" hidden="false" customHeight="false" outlineLevel="0" collapsed="false">
      <c r="A160" s="18" t="n">
        <v>35</v>
      </c>
      <c r="B160" s="50" t="s">
        <v>1542</v>
      </c>
      <c r="C160" s="16" t="n">
        <v>416500</v>
      </c>
      <c r="D160" s="51"/>
      <c r="E160" s="14" t="n">
        <f aca="false">C160-D160</f>
        <v>416500</v>
      </c>
    </row>
    <row r="161" customFormat="false" ht="15" hidden="false" customHeight="false" outlineLevel="0" collapsed="false">
      <c r="A161" s="18" t="n">
        <v>36</v>
      </c>
      <c r="B161" s="50" t="s">
        <v>169</v>
      </c>
      <c r="C161" s="16" t="n">
        <v>416500</v>
      </c>
      <c r="D161" s="51" t="n">
        <f aca="false">200000+100000</f>
        <v>300000</v>
      </c>
      <c r="E161" s="14" t="n">
        <f aca="false">C161-D161</f>
        <v>116500</v>
      </c>
    </row>
    <row r="162" customFormat="false" ht="15" hidden="false" customHeight="false" outlineLevel="0" collapsed="false">
      <c r="A162" s="49" t="n">
        <v>37</v>
      </c>
      <c r="B162" s="50" t="s">
        <v>1376</v>
      </c>
      <c r="C162" s="16" t="n">
        <v>616500</v>
      </c>
      <c r="D162" s="51" t="n">
        <v>616500</v>
      </c>
      <c r="E162" s="14" t="n">
        <f aca="false">C162-D162</f>
        <v>0</v>
      </c>
    </row>
    <row r="163" customFormat="false" ht="15" hidden="false" customHeight="false" outlineLevel="0" collapsed="false">
      <c r="A163" s="49" t="n">
        <v>38</v>
      </c>
      <c r="B163" s="50" t="s">
        <v>1543</v>
      </c>
      <c r="C163" s="16" t="n">
        <v>416500</v>
      </c>
      <c r="D163" s="51"/>
      <c r="E163" s="14" t="n">
        <f aca="false">C163-D163</f>
        <v>416500</v>
      </c>
    </row>
    <row r="164" customFormat="false" ht="15" hidden="false" customHeight="false" outlineLevel="0" collapsed="false">
      <c r="A164" s="18" t="n">
        <v>39</v>
      </c>
      <c r="B164" s="50" t="s">
        <v>171</v>
      </c>
      <c r="C164" s="16" t="n">
        <v>416500</v>
      </c>
      <c r="D164" s="51"/>
      <c r="E164" s="14" t="n">
        <f aca="false">C164-D164</f>
        <v>416500</v>
      </c>
    </row>
    <row r="165" customFormat="false" ht="15" hidden="false" customHeight="false" outlineLevel="0" collapsed="false">
      <c r="A165" s="18" t="n">
        <v>40</v>
      </c>
      <c r="B165" s="50" t="s">
        <v>174</v>
      </c>
      <c r="C165" s="16" t="n">
        <v>416500</v>
      </c>
      <c r="D165" s="51" t="n">
        <f aca="false">133500+80000+100000</f>
        <v>313500</v>
      </c>
      <c r="E165" s="14" t="n">
        <f aca="false">C165-D165</f>
        <v>103000</v>
      </c>
    </row>
    <row r="166" customFormat="false" ht="17.35" hidden="false" customHeight="false" outlineLevel="0" collapsed="false">
      <c r="A166" s="18"/>
      <c r="B166" s="20" t="s">
        <v>22</v>
      </c>
      <c r="C166" s="21" t="n">
        <f aca="false">SUM(C126:C165)</f>
        <v>16668500</v>
      </c>
      <c r="D166" s="22" t="n">
        <f aca="false">SUM(D126:D165)</f>
        <v>9975500</v>
      </c>
      <c r="E166" s="45" t="n">
        <f aca="false">SUM(E126:E165)</f>
        <v>6693000</v>
      </c>
    </row>
    <row r="167" customFormat="false" ht="17.35" hidden="false" customHeight="false" outlineLevel="0" collapsed="false">
      <c r="B167" s="36"/>
      <c r="C167" s="37"/>
      <c r="D167" s="38"/>
      <c r="E167" s="39"/>
    </row>
    <row r="168" customFormat="false" ht="17.35" hidden="false" customHeight="false" outlineLevel="0" collapsed="false">
      <c r="B168" s="36"/>
      <c r="C168" s="37"/>
      <c r="D168" s="38"/>
      <c r="E168" s="39"/>
    </row>
    <row r="169" customFormat="false" ht="19.7" hidden="false" customHeight="false" outlineLevel="0" collapsed="false">
      <c r="A169" s="46"/>
      <c r="B169" s="57"/>
      <c r="C169" s="58"/>
      <c r="D169" s="59"/>
      <c r="E169" s="60"/>
    </row>
    <row r="170" customFormat="false" ht="17.35" hidden="false" customHeight="false" outlineLevel="0" collapsed="false">
      <c r="B170" s="2" t="s">
        <v>504</v>
      </c>
      <c r="C170" s="2"/>
      <c r="D170" s="24"/>
      <c r="E170" s="24"/>
    </row>
    <row r="171" customFormat="false" ht="15" hidden="false" customHeight="false" outlineLevel="0" collapsed="false">
      <c r="D171" s="24"/>
      <c r="E171" s="24"/>
    </row>
    <row r="172" customFormat="false" ht="15" hidden="false" customHeight="false" outlineLevel="0" collapsed="false">
      <c r="A172" s="40"/>
      <c r="D172" s="24"/>
      <c r="E172" s="24"/>
    </row>
    <row r="173" customFormat="false" ht="17.25" hidden="false" customHeight="false" outlineLevel="0" collapsed="false">
      <c r="A173" s="40"/>
      <c r="B173" s="4" t="s">
        <v>118</v>
      </c>
      <c r="D173" s="25" t="s">
        <v>51</v>
      </c>
      <c r="E173" s="24"/>
    </row>
    <row r="174" customFormat="false" ht="15" hidden="false" customHeight="false" outlineLevel="0" collapsed="false">
      <c r="A174" s="40"/>
      <c r="D174" s="24"/>
      <c r="E174" s="24"/>
    </row>
    <row r="175" customFormat="false" ht="15" hidden="false" customHeight="false" outlineLevel="0" collapsed="false">
      <c r="A175" s="6" t="s">
        <v>5</v>
      </c>
      <c r="B175" s="7" t="s">
        <v>6</v>
      </c>
      <c r="C175" s="8" t="s">
        <v>7</v>
      </c>
      <c r="D175" s="42" t="s">
        <v>8</v>
      </c>
      <c r="E175" s="43" t="s">
        <v>9</v>
      </c>
    </row>
    <row r="176" customFormat="false" ht="15" hidden="false" customHeight="false" outlineLevel="0" collapsed="false">
      <c r="A176" s="18" t="n">
        <v>1</v>
      </c>
      <c r="B176" s="50" t="s">
        <v>175</v>
      </c>
      <c r="C176" s="16" t="n">
        <v>416500</v>
      </c>
      <c r="D176" s="51" t="n">
        <f aca="false">216500</f>
        <v>216500</v>
      </c>
      <c r="E176" s="14" t="n">
        <f aca="false">C176-D176</f>
        <v>200000</v>
      </c>
    </row>
    <row r="177" customFormat="false" ht="15" hidden="false" customHeight="false" outlineLevel="0" collapsed="false">
      <c r="A177" s="18" t="n">
        <v>2</v>
      </c>
      <c r="B177" s="50" t="s">
        <v>1544</v>
      </c>
      <c r="C177" s="16" t="s">
        <v>128</v>
      </c>
      <c r="D177" s="51" t="s">
        <v>128</v>
      </c>
      <c r="E177" s="14" t="s">
        <v>128</v>
      </c>
    </row>
    <row r="178" customFormat="false" ht="15" hidden="false" customHeight="false" outlineLevel="0" collapsed="false">
      <c r="A178" s="18" t="n">
        <v>3</v>
      </c>
      <c r="B178" s="50" t="s">
        <v>1545</v>
      </c>
      <c r="C178" s="16" t="n">
        <v>416500</v>
      </c>
      <c r="D178" s="51" t="n">
        <f aca="false">80000+80000</f>
        <v>160000</v>
      </c>
      <c r="E178" s="14" t="n">
        <f aca="false">C178-D178</f>
        <v>256500</v>
      </c>
    </row>
    <row r="179" customFormat="false" ht="15" hidden="false" customHeight="false" outlineLevel="0" collapsed="false">
      <c r="A179" s="18" t="n">
        <v>4</v>
      </c>
      <c r="B179" s="50" t="s">
        <v>177</v>
      </c>
      <c r="C179" s="13" t="n">
        <v>416500</v>
      </c>
      <c r="D179" s="51"/>
      <c r="E179" s="14" t="n">
        <f aca="false">C179-D179</f>
        <v>416500</v>
      </c>
    </row>
    <row r="180" customFormat="false" ht="15" hidden="false" customHeight="false" outlineLevel="0" collapsed="false">
      <c r="A180" s="18" t="n">
        <v>5</v>
      </c>
      <c r="B180" s="50" t="s">
        <v>178</v>
      </c>
      <c r="C180" s="16" t="n">
        <v>416500</v>
      </c>
      <c r="D180" s="51"/>
      <c r="E180" s="14" t="n">
        <f aca="false">C180-D180</f>
        <v>416500</v>
      </c>
    </row>
    <row r="181" customFormat="false" ht="15" hidden="false" customHeight="false" outlineLevel="0" collapsed="false">
      <c r="A181" s="18" t="n">
        <v>6</v>
      </c>
      <c r="B181" s="50" t="s">
        <v>179</v>
      </c>
      <c r="C181" s="16" t="n">
        <v>416500</v>
      </c>
      <c r="D181" s="51"/>
      <c r="E181" s="14" t="n">
        <f aca="false">C181-D181</f>
        <v>416500</v>
      </c>
    </row>
    <row r="182" customFormat="false" ht="15" hidden="false" customHeight="false" outlineLevel="0" collapsed="false">
      <c r="A182" s="18" t="n">
        <v>7</v>
      </c>
      <c r="B182" s="50" t="s">
        <v>180</v>
      </c>
      <c r="C182" s="16" t="n">
        <v>416500</v>
      </c>
      <c r="D182" s="51"/>
      <c r="E182" s="14" t="n">
        <f aca="false">C182-D182</f>
        <v>416500</v>
      </c>
    </row>
    <row r="183" customFormat="false" ht="15" hidden="false" customHeight="false" outlineLevel="0" collapsed="false">
      <c r="A183" s="18" t="n">
        <v>8</v>
      </c>
      <c r="B183" s="50" t="s">
        <v>1546</v>
      </c>
      <c r="C183" s="16" t="n">
        <v>416500</v>
      </c>
      <c r="D183" s="51" t="n">
        <f aca="false">150000+266500</f>
        <v>416500</v>
      </c>
      <c r="E183" s="14" t="n">
        <f aca="false">C183-D183</f>
        <v>0</v>
      </c>
    </row>
    <row r="184" customFormat="false" ht="15" hidden="false" customHeight="false" outlineLevel="0" collapsed="false">
      <c r="A184" s="18" t="n">
        <v>9</v>
      </c>
      <c r="B184" s="50" t="s">
        <v>1547</v>
      </c>
      <c r="C184" s="16" t="n">
        <v>416500</v>
      </c>
      <c r="D184" s="51" t="n">
        <f aca="false">150000+150000+116500</f>
        <v>416500</v>
      </c>
      <c r="E184" s="14" t="n">
        <f aca="false">C184-D184</f>
        <v>0</v>
      </c>
    </row>
    <row r="185" customFormat="false" ht="15" hidden="false" customHeight="false" outlineLevel="0" collapsed="false">
      <c r="A185" s="18" t="n">
        <v>10</v>
      </c>
      <c r="B185" s="50" t="s">
        <v>1548</v>
      </c>
      <c r="C185" s="16" t="s">
        <v>128</v>
      </c>
      <c r="D185" s="51" t="s">
        <v>128</v>
      </c>
      <c r="E185" s="14" t="s">
        <v>128</v>
      </c>
    </row>
    <row r="186" customFormat="false" ht="15" hidden="false" customHeight="false" outlineLevel="0" collapsed="false">
      <c r="A186" s="18" t="n">
        <v>11</v>
      </c>
      <c r="B186" s="50" t="s">
        <v>183</v>
      </c>
      <c r="C186" s="16" t="n">
        <v>416500</v>
      </c>
      <c r="D186" s="51"/>
      <c r="E186" s="14" t="n">
        <f aca="false">C186-D186</f>
        <v>416500</v>
      </c>
    </row>
    <row r="187" customFormat="false" ht="15" hidden="false" customHeight="false" outlineLevel="0" collapsed="false">
      <c r="A187" s="18" t="n">
        <v>12</v>
      </c>
      <c r="B187" s="50" t="s">
        <v>184</v>
      </c>
      <c r="C187" s="16" t="n">
        <v>416500</v>
      </c>
      <c r="D187" s="51" t="n">
        <f aca="false">150000</f>
        <v>150000</v>
      </c>
      <c r="E187" s="14" t="n">
        <f aca="false">C187-D187</f>
        <v>266500</v>
      </c>
    </row>
    <row r="188" customFormat="false" ht="15" hidden="false" customHeight="false" outlineLevel="0" collapsed="false">
      <c r="A188" s="18" t="n">
        <v>13</v>
      </c>
      <c r="B188" s="50" t="s">
        <v>185</v>
      </c>
      <c r="C188" s="16" t="n">
        <v>416500</v>
      </c>
      <c r="D188" s="51"/>
      <c r="E188" s="14" t="n">
        <f aca="false">C188-D188</f>
        <v>416500</v>
      </c>
    </row>
    <row r="189" customFormat="false" ht="15" hidden="false" customHeight="false" outlineLevel="0" collapsed="false">
      <c r="A189" s="18" t="n">
        <v>14</v>
      </c>
      <c r="B189" s="50" t="s">
        <v>187</v>
      </c>
      <c r="C189" s="16" t="n">
        <v>416500</v>
      </c>
      <c r="D189" s="51" t="n">
        <f aca="false">216500+100000+100000</f>
        <v>416500</v>
      </c>
      <c r="E189" s="14" t="n">
        <f aca="false">C189-D189</f>
        <v>0</v>
      </c>
    </row>
    <row r="190" customFormat="false" ht="15" hidden="false" customHeight="false" outlineLevel="0" collapsed="false">
      <c r="A190" s="18" t="n">
        <v>15</v>
      </c>
      <c r="B190" s="50" t="s">
        <v>188</v>
      </c>
      <c r="C190" s="16" t="n">
        <v>416500</v>
      </c>
      <c r="D190" s="51" t="n">
        <v>416500</v>
      </c>
      <c r="E190" s="14" t="n">
        <f aca="false">C190-D190</f>
        <v>0</v>
      </c>
    </row>
    <row r="191" customFormat="false" ht="15" hidden="false" customHeight="false" outlineLevel="0" collapsed="false">
      <c r="A191" s="18" t="n">
        <v>16</v>
      </c>
      <c r="B191" s="50" t="s">
        <v>1549</v>
      </c>
      <c r="C191" s="16" t="n">
        <v>416500</v>
      </c>
      <c r="D191" s="51" t="n">
        <f aca="false">200000+150000</f>
        <v>350000</v>
      </c>
      <c r="E191" s="14" t="n">
        <f aca="false">C191-D191</f>
        <v>66500</v>
      </c>
    </row>
    <row r="192" customFormat="false" ht="15" hidden="false" customHeight="false" outlineLevel="0" collapsed="false">
      <c r="A192" s="18" t="n">
        <v>17</v>
      </c>
      <c r="B192" s="50" t="s">
        <v>190</v>
      </c>
      <c r="C192" s="16" t="n">
        <v>416500</v>
      </c>
      <c r="D192" s="51" t="n">
        <f aca="false">216500</f>
        <v>216500</v>
      </c>
      <c r="E192" s="14" t="n">
        <f aca="false">C192-D192</f>
        <v>200000</v>
      </c>
    </row>
    <row r="193" customFormat="false" ht="15" hidden="false" customHeight="false" outlineLevel="0" collapsed="false">
      <c r="A193" s="18" t="n">
        <v>18</v>
      </c>
      <c r="B193" s="50" t="s">
        <v>191</v>
      </c>
      <c r="C193" s="16" t="n">
        <v>416500</v>
      </c>
      <c r="D193" s="51" t="n">
        <f aca="false">216500</f>
        <v>216500</v>
      </c>
      <c r="E193" s="14" t="n">
        <f aca="false">C193-D193</f>
        <v>200000</v>
      </c>
    </row>
    <row r="194" customFormat="false" ht="15" hidden="false" customHeight="false" outlineLevel="0" collapsed="false">
      <c r="A194" s="18" t="n">
        <v>19</v>
      </c>
      <c r="B194" s="50" t="s">
        <v>1550</v>
      </c>
      <c r="C194" s="16" t="n">
        <v>416500</v>
      </c>
      <c r="D194" s="51"/>
      <c r="E194" s="14" t="n">
        <f aca="false">C194-D194</f>
        <v>416500</v>
      </c>
    </row>
    <row r="195" customFormat="false" ht="15" hidden="false" customHeight="false" outlineLevel="0" collapsed="false">
      <c r="A195" s="18" t="n">
        <v>20</v>
      </c>
      <c r="B195" s="50" t="s">
        <v>1551</v>
      </c>
      <c r="C195" s="16" t="s">
        <v>128</v>
      </c>
      <c r="D195" s="51" t="s">
        <v>128</v>
      </c>
      <c r="E195" s="14" t="s">
        <v>128</v>
      </c>
    </row>
    <row r="196" customFormat="false" ht="15" hidden="false" customHeight="false" outlineLevel="0" collapsed="false">
      <c r="A196" s="18" t="n">
        <v>21</v>
      </c>
      <c r="B196" s="50" t="s">
        <v>1552</v>
      </c>
      <c r="C196" s="16" t="n">
        <v>416500</v>
      </c>
      <c r="D196" s="51" t="n">
        <f aca="false">300000+116500</f>
        <v>416500</v>
      </c>
      <c r="E196" s="14" t="n">
        <f aca="false">C196-D196</f>
        <v>0</v>
      </c>
    </row>
    <row r="197" customFormat="false" ht="15" hidden="false" customHeight="false" outlineLevel="0" collapsed="false">
      <c r="A197" s="18" t="n">
        <v>22</v>
      </c>
      <c r="B197" s="50" t="s">
        <v>194</v>
      </c>
      <c r="C197" s="16" t="n">
        <v>416500</v>
      </c>
      <c r="D197" s="51" t="n">
        <f aca="false">173500</f>
        <v>173500</v>
      </c>
      <c r="E197" s="14" t="n">
        <f aca="false">C197-D197</f>
        <v>243000</v>
      </c>
    </row>
    <row r="198" customFormat="false" ht="15" hidden="false" customHeight="false" outlineLevel="0" collapsed="false">
      <c r="A198" s="18" t="n">
        <v>23</v>
      </c>
      <c r="B198" s="50" t="s">
        <v>195</v>
      </c>
      <c r="C198" s="16" t="n">
        <v>416500</v>
      </c>
      <c r="D198" s="51" t="n">
        <f aca="false">250000</f>
        <v>250000</v>
      </c>
      <c r="E198" s="14" t="n">
        <f aca="false">C198-D198</f>
        <v>166500</v>
      </c>
    </row>
    <row r="199" customFormat="false" ht="15" hidden="false" customHeight="false" outlineLevel="0" collapsed="false">
      <c r="A199" s="18" t="n">
        <v>24</v>
      </c>
      <c r="B199" s="50" t="s">
        <v>196</v>
      </c>
      <c r="C199" s="16" t="n">
        <v>416500</v>
      </c>
      <c r="D199" s="51"/>
      <c r="E199" s="14" t="n">
        <f aca="false">C199-D199</f>
        <v>416500</v>
      </c>
    </row>
    <row r="200" customFormat="false" ht="15" hidden="false" customHeight="false" outlineLevel="0" collapsed="false">
      <c r="A200" s="18" t="n">
        <v>25</v>
      </c>
      <c r="B200" s="50" t="s">
        <v>197</v>
      </c>
      <c r="C200" s="13" t="n">
        <v>416500</v>
      </c>
      <c r="D200" s="51" t="n">
        <f aca="false">160000+100000+60000+50000+46500</f>
        <v>416500</v>
      </c>
      <c r="E200" s="14" t="n">
        <f aca="false">C200-D200</f>
        <v>0</v>
      </c>
    </row>
    <row r="201" customFormat="false" ht="17.35" hidden="false" customHeight="false" outlineLevel="0" collapsed="false">
      <c r="A201" s="18"/>
      <c r="B201" s="20" t="s">
        <v>22</v>
      </c>
      <c r="C201" s="21" t="n">
        <f aca="false">SUM(C176:C200)</f>
        <v>9163000</v>
      </c>
      <c r="D201" s="22" t="n">
        <f aca="false">SUM(D176:D200)</f>
        <v>4232000</v>
      </c>
      <c r="E201" s="45" t="n">
        <f aca="false">SUM(E176:E200)</f>
        <v>4931000</v>
      </c>
    </row>
    <row r="202" customFormat="false" ht="19.7" hidden="false" customHeight="false" outlineLevel="0" collapsed="false">
      <c r="A202" s="46"/>
      <c r="B202" s="57"/>
      <c r="C202" s="58"/>
      <c r="D202" s="59"/>
      <c r="E202" s="60"/>
    </row>
    <row r="203" customFormat="false" ht="15" hidden="false" customHeight="false" outlineLevel="0" collapsed="false">
      <c r="D203" s="24"/>
      <c r="E203" s="24"/>
    </row>
    <row r="204" customFormat="false" ht="15" hidden="false" customHeight="false" outlineLevel="0" collapsed="false">
      <c r="D204" s="24"/>
      <c r="E204" s="24"/>
    </row>
    <row r="205" customFormat="false" ht="17.35" hidden="false" customHeight="false" outlineLevel="0" collapsed="false">
      <c r="B205" s="36"/>
      <c r="C205" s="37"/>
      <c r="D205" s="38"/>
      <c r="E205" s="39"/>
    </row>
    <row r="206" customFormat="false" ht="17.35" hidden="false" customHeight="false" outlineLevel="0" collapsed="false">
      <c r="B206" s="36"/>
      <c r="C206" s="37"/>
      <c r="D206" s="38"/>
      <c r="E206" s="39"/>
    </row>
    <row r="207" customFormat="false" ht="17.35" hidden="false" customHeight="false" outlineLevel="0" collapsed="false">
      <c r="A207" s="40"/>
      <c r="B207" s="2" t="s">
        <v>504</v>
      </c>
      <c r="D207" s="24"/>
      <c r="E207" s="24"/>
    </row>
    <row r="208" customFormat="false" ht="17.35" hidden="false" customHeight="false" outlineLevel="0" collapsed="false">
      <c r="A208" s="62"/>
      <c r="D208" s="24"/>
      <c r="E208" s="24"/>
    </row>
    <row r="209" customFormat="false" ht="15" hidden="false" customHeight="false" outlineLevel="0" collapsed="false">
      <c r="A209" s="40"/>
      <c r="D209" s="24"/>
      <c r="E209" s="24"/>
    </row>
    <row r="210" customFormat="false" ht="17.25" hidden="false" customHeight="false" outlineLevel="0" collapsed="false">
      <c r="A210" s="40"/>
      <c r="B210" s="4" t="s">
        <v>198</v>
      </c>
      <c r="D210" s="24"/>
      <c r="E210" s="24"/>
    </row>
    <row r="211" customFormat="false" ht="15" hidden="false" customHeight="false" outlineLevel="0" collapsed="false">
      <c r="A211" s="40"/>
      <c r="D211" s="25" t="s">
        <v>4</v>
      </c>
      <c r="E211" s="24"/>
    </row>
    <row r="212" customFormat="false" ht="15" hidden="false" customHeight="false" outlineLevel="0" collapsed="false">
      <c r="A212" s="40"/>
      <c r="D212" s="24"/>
      <c r="E212" s="24"/>
    </row>
    <row r="213" customFormat="false" ht="15" hidden="false" customHeight="false" outlineLevel="0" collapsed="false">
      <c r="A213" s="6" t="s">
        <v>5</v>
      </c>
      <c r="B213" s="7" t="s">
        <v>6</v>
      </c>
      <c r="C213" s="8" t="s">
        <v>7</v>
      </c>
      <c r="D213" s="42" t="s">
        <v>8</v>
      </c>
      <c r="E213" s="43" t="s">
        <v>9</v>
      </c>
    </row>
    <row r="214" customFormat="false" ht="15" hidden="false" customHeight="false" outlineLevel="0" collapsed="false">
      <c r="A214" s="18" t="n">
        <v>1</v>
      </c>
      <c r="B214" s="32" t="s">
        <v>218</v>
      </c>
      <c r="C214" s="16" t="n">
        <v>416500</v>
      </c>
      <c r="D214" s="13" t="n">
        <f aca="false">200000+100000</f>
        <v>300000</v>
      </c>
      <c r="E214" s="14" t="n">
        <f aca="false">C214-D214</f>
        <v>116500</v>
      </c>
    </row>
    <row r="215" customFormat="false" ht="15" hidden="false" customHeight="false" outlineLevel="0" collapsed="false">
      <c r="A215" s="72" t="n">
        <v>2</v>
      </c>
      <c r="B215" s="32" t="s">
        <v>1553</v>
      </c>
      <c r="C215" s="16" t="n">
        <v>416500</v>
      </c>
      <c r="D215" s="13" t="n">
        <f aca="false">220000</f>
        <v>220000</v>
      </c>
      <c r="E215" s="14" t="n">
        <f aca="false">C215-D215</f>
        <v>196500</v>
      </c>
    </row>
    <row r="216" customFormat="false" ht="15" hidden="false" customHeight="false" outlineLevel="0" collapsed="false">
      <c r="A216" s="18" t="n">
        <v>3</v>
      </c>
      <c r="B216" s="32" t="s">
        <v>220</v>
      </c>
      <c r="C216" s="16" t="n">
        <v>416500</v>
      </c>
      <c r="D216" s="13"/>
      <c r="E216" s="14" t="n">
        <f aca="false">C216-D216</f>
        <v>416500</v>
      </c>
    </row>
    <row r="217" customFormat="false" ht="15" hidden="false" customHeight="false" outlineLevel="0" collapsed="false">
      <c r="A217" s="49" t="n">
        <v>4</v>
      </c>
      <c r="B217" s="50" t="s">
        <v>221</v>
      </c>
      <c r="C217" s="16" t="n">
        <v>416500</v>
      </c>
      <c r="D217" s="51" t="n">
        <f aca="false">300000</f>
        <v>300000</v>
      </c>
      <c r="E217" s="14" t="n">
        <f aca="false">C217-D217</f>
        <v>116500</v>
      </c>
    </row>
    <row r="218" customFormat="false" ht="15" hidden="false" customHeight="false" outlineLevel="0" collapsed="false">
      <c r="A218" s="18" t="n">
        <v>5</v>
      </c>
      <c r="B218" s="32" t="s">
        <v>222</v>
      </c>
      <c r="C218" s="16" t="n">
        <v>416500</v>
      </c>
      <c r="D218" s="13" t="n">
        <f aca="false">216000</f>
        <v>216000</v>
      </c>
      <c r="E218" s="14" t="n">
        <f aca="false">C218-D218</f>
        <v>200500</v>
      </c>
    </row>
    <row r="219" customFormat="false" ht="15" hidden="false" customHeight="false" outlineLevel="0" collapsed="false">
      <c r="A219" s="18" t="n">
        <v>6</v>
      </c>
      <c r="B219" s="68" t="s">
        <v>223</v>
      </c>
      <c r="C219" s="16" t="n">
        <v>416500</v>
      </c>
      <c r="D219" s="13" t="n">
        <f aca="false">100000+116500+50000+150000</f>
        <v>416500</v>
      </c>
      <c r="E219" s="14" t="n">
        <f aca="false">C219-D219</f>
        <v>0</v>
      </c>
    </row>
    <row r="220" customFormat="false" ht="15" hidden="false" customHeight="false" outlineLevel="0" collapsed="false">
      <c r="A220" s="72" t="n">
        <v>7</v>
      </c>
      <c r="B220" s="68" t="s">
        <v>224</v>
      </c>
      <c r="C220" s="16" t="n">
        <v>416500</v>
      </c>
      <c r="D220" s="13" t="n">
        <f aca="false">215500</f>
        <v>215500</v>
      </c>
      <c r="E220" s="14" t="n">
        <f aca="false">C220-D220</f>
        <v>201000</v>
      </c>
    </row>
    <row r="221" customFormat="false" ht="15" hidden="false" customHeight="false" outlineLevel="0" collapsed="false">
      <c r="A221" s="18" t="n">
        <v>8</v>
      </c>
      <c r="B221" s="32" t="s">
        <v>225</v>
      </c>
      <c r="C221" s="16" t="n">
        <v>416500</v>
      </c>
      <c r="D221" s="13"/>
      <c r="E221" s="14" t="n">
        <f aca="false">C221-D221</f>
        <v>416500</v>
      </c>
    </row>
    <row r="222" customFormat="false" ht="15" hidden="false" customHeight="false" outlineLevel="0" collapsed="false">
      <c r="A222" s="49" t="n">
        <v>9</v>
      </c>
      <c r="B222" s="32" t="s">
        <v>226</v>
      </c>
      <c r="C222" s="16" t="n">
        <v>416500</v>
      </c>
      <c r="D222" s="13" t="n">
        <f aca="false">150000</f>
        <v>150000</v>
      </c>
      <c r="E222" s="14" t="n">
        <f aca="false">C222-D222</f>
        <v>266500</v>
      </c>
    </row>
    <row r="223" customFormat="false" ht="15" hidden="false" customHeight="false" outlineLevel="0" collapsed="false">
      <c r="A223" s="18" t="n">
        <v>10</v>
      </c>
      <c r="B223" s="32" t="s">
        <v>227</v>
      </c>
      <c r="C223" s="16" t="n">
        <v>416500</v>
      </c>
      <c r="D223" s="13"/>
      <c r="E223" s="14" t="n">
        <f aca="false">C223-D223</f>
        <v>416500</v>
      </c>
    </row>
    <row r="224" customFormat="false" ht="15" hidden="false" customHeight="false" outlineLevel="0" collapsed="false">
      <c r="A224" s="18" t="n">
        <v>11</v>
      </c>
      <c r="B224" s="32" t="s">
        <v>228</v>
      </c>
      <c r="C224" s="16" t="n">
        <v>416500</v>
      </c>
      <c r="D224" s="13"/>
      <c r="E224" s="14" t="n">
        <f aca="false">C224-D224</f>
        <v>416500</v>
      </c>
    </row>
    <row r="225" customFormat="false" ht="15" hidden="false" customHeight="false" outlineLevel="0" collapsed="false">
      <c r="A225" s="72" t="n">
        <v>12</v>
      </c>
      <c r="B225" s="32" t="s">
        <v>229</v>
      </c>
      <c r="C225" s="16" t="n">
        <v>416500</v>
      </c>
      <c r="D225" s="13" t="n">
        <f aca="false">216000+150500+50000</f>
        <v>416500</v>
      </c>
      <c r="E225" s="14" t="n">
        <f aca="false">C225-D225</f>
        <v>0</v>
      </c>
    </row>
    <row r="226" customFormat="false" ht="15" hidden="false" customHeight="false" outlineLevel="0" collapsed="false">
      <c r="A226" s="18" t="n">
        <v>13</v>
      </c>
      <c r="B226" s="32" t="s">
        <v>230</v>
      </c>
      <c r="C226" s="16" t="n">
        <v>416500</v>
      </c>
      <c r="D226" s="13" t="n">
        <f aca="false">100000</f>
        <v>100000</v>
      </c>
      <c r="E226" s="14" t="n">
        <f aca="false">C226-D226</f>
        <v>316500</v>
      </c>
    </row>
    <row r="227" customFormat="false" ht="15" hidden="false" customHeight="false" outlineLevel="0" collapsed="false">
      <c r="A227" s="49" t="n">
        <v>14</v>
      </c>
      <c r="B227" s="32" t="s">
        <v>231</v>
      </c>
      <c r="C227" s="16" t="n">
        <v>416500</v>
      </c>
      <c r="D227" s="13" t="n">
        <f aca="false">200000</f>
        <v>200000</v>
      </c>
      <c r="E227" s="14" t="n">
        <f aca="false">C227-D227</f>
        <v>216500</v>
      </c>
    </row>
    <row r="228" customFormat="false" ht="15" hidden="false" customHeight="false" outlineLevel="0" collapsed="false">
      <c r="A228" s="18" t="n">
        <v>15</v>
      </c>
      <c r="B228" s="32" t="s">
        <v>232</v>
      </c>
      <c r="C228" s="16" t="n">
        <v>416500</v>
      </c>
      <c r="D228" s="13"/>
      <c r="E228" s="14" t="n">
        <f aca="false">C228-D228</f>
        <v>416500</v>
      </c>
    </row>
    <row r="229" customFormat="false" ht="15" hidden="false" customHeight="false" outlineLevel="0" collapsed="false">
      <c r="A229" s="18" t="n">
        <v>16</v>
      </c>
      <c r="B229" s="32" t="s">
        <v>233</v>
      </c>
      <c r="C229" s="16" t="n">
        <v>416500</v>
      </c>
      <c r="D229" s="13" t="n">
        <f aca="false">100000</f>
        <v>100000</v>
      </c>
      <c r="E229" s="14" t="n">
        <f aca="false">C229-D229</f>
        <v>316500</v>
      </c>
    </row>
    <row r="230" customFormat="false" ht="15" hidden="false" customHeight="false" outlineLevel="0" collapsed="false">
      <c r="A230" s="72" t="n">
        <v>17</v>
      </c>
      <c r="B230" s="32" t="s">
        <v>234</v>
      </c>
      <c r="C230" s="16" t="n">
        <v>416500</v>
      </c>
      <c r="D230" s="13"/>
      <c r="E230" s="14" t="n">
        <f aca="false">C230-D230</f>
        <v>416500</v>
      </c>
    </row>
    <row r="231" customFormat="false" ht="15" hidden="false" customHeight="false" outlineLevel="0" collapsed="false">
      <c r="A231" s="18" t="n">
        <v>18</v>
      </c>
      <c r="B231" s="32" t="s">
        <v>1554</v>
      </c>
      <c r="C231" s="16" t="n">
        <v>416500</v>
      </c>
      <c r="D231" s="13" t="n">
        <f aca="false">100000+100000+216500</f>
        <v>416500</v>
      </c>
      <c r="E231" s="14" t="n">
        <f aca="false">C231-D231</f>
        <v>0</v>
      </c>
    </row>
    <row r="232" customFormat="false" ht="15" hidden="false" customHeight="false" outlineLevel="0" collapsed="false">
      <c r="A232" s="49" t="n">
        <v>19</v>
      </c>
      <c r="B232" s="32" t="s">
        <v>1555</v>
      </c>
      <c r="C232" s="16" t="n">
        <v>416500</v>
      </c>
      <c r="D232" s="13" t="s">
        <v>128</v>
      </c>
      <c r="E232" s="14" t="s">
        <v>128</v>
      </c>
    </row>
    <row r="233" customFormat="false" ht="15" hidden="false" customHeight="false" outlineLevel="0" collapsed="false">
      <c r="A233" s="18" t="n">
        <v>20</v>
      </c>
      <c r="B233" s="32" t="s">
        <v>1556</v>
      </c>
      <c r="C233" s="16" t="n">
        <v>416500</v>
      </c>
      <c r="D233" s="13" t="s">
        <v>128</v>
      </c>
      <c r="E233" s="14" t="s">
        <v>128</v>
      </c>
    </row>
    <row r="234" customFormat="false" ht="15" hidden="false" customHeight="false" outlineLevel="0" collapsed="false">
      <c r="A234" s="18" t="n">
        <v>21</v>
      </c>
      <c r="B234" s="68" t="s">
        <v>1557</v>
      </c>
      <c r="C234" s="16" t="n">
        <v>416500</v>
      </c>
      <c r="D234" s="13" t="s">
        <v>128</v>
      </c>
      <c r="E234" s="14" t="s">
        <v>128</v>
      </c>
    </row>
    <row r="235" customFormat="false" ht="15" hidden="false" customHeight="false" outlineLevel="0" collapsed="false">
      <c r="A235" s="72" t="n">
        <v>22</v>
      </c>
      <c r="B235" s="32" t="s">
        <v>1558</v>
      </c>
      <c r="C235" s="16" t="n">
        <v>416500</v>
      </c>
      <c r="D235" s="13" t="s">
        <v>128</v>
      </c>
      <c r="E235" s="14" t="s">
        <v>128</v>
      </c>
    </row>
    <row r="236" customFormat="false" ht="15" hidden="false" customHeight="false" outlineLevel="0" collapsed="false">
      <c r="A236" s="18" t="n">
        <v>23</v>
      </c>
      <c r="B236" s="32" t="s">
        <v>1559</v>
      </c>
      <c r="C236" s="16" t="n">
        <v>416500</v>
      </c>
      <c r="D236" s="13" t="n">
        <f aca="false">100000+90000</f>
        <v>190000</v>
      </c>
      <c r="E236" s="14" t="n">
        <f aca="false">C236-D236</f>
        <v>226500</v>
      </c>
    </row>
    <row r="237" customFormat="false" ht="15" hidden="false" customHeight="false" outlineLevel="0" collapsed="false">
      <c r="A237" s="49" t="n">
        <v>24</v>
      </c>
      <c r="B237" s="32" t="s">
        <v>1560</v>
      </c>
      <c r="C237" s="16" t="n">
        <v>416500</v>
      </c>
      <c r="D237" s="13" t="n">
        <f aca="false">170000</f>
        <v>170000</v>
      </c>
      <c r="E237" s="14" t="n">
        <f aca="false">C237-D237</f>
        <v>246500</v>
      </c>
    </row>
    <row r="238" customFormat="false" ht="15" hidden="false" customHeight="false" outlineLevel="0" collapsed="false">
      <c r="A238" s="18" t="n">
        <v>25</v>
      </c>
      <c r="B238" s="50" t="s">
        <v>1561</v>
      </c>
      <c r="C238" s="16" t="n">
        <v>416500</v>
      </c>
      <c r="D238" s="13"/>
      <c r="E238" s="14" t="n">
        <f aca="false">C238-D238</f>
        <v>416500</v>
      </c>
    </row>
    <row r="239" customFormat="false" ht="15" hidden="false" customHeight="false" outlineLevel="0" collapsed="false">
      <c r="A239" s="18" t="n">
        <v>26</v>
      </c>
      <c r="B239" s="50" t="s">
        <v>1392</v>
      </c>
      <c r="C239" s="16" t="n">
        <v>416500</v>
      </c>
      <c r="D239" s="13" t="n">
        <f aca="false">200000</f>
        <v>200000</v>
      </c>
      <c r="E239" s="14" t="s">
        <v>128</v>
      </c>
    </row>
    <row r="240" customFormat="false" ht="15" hidden="false" customHeight="false" outlineLevel="0" collapsed="false">
      <c r="A240" s="72" t="n">
        <v>27</v>
      </c>
      <c r="B240" s="32" t="s">
        <v>239</v>
      </c>
      <c r="C240" s="16" t="n">
        <v>416500</v>
      </c>
      <c r="D240" s="13" t="n">
        <f aca="false">13500</f>
        <v>13500</v>
      </c>
      <c r="E240" s="14" t="n">
        <f aca="false">C240-D240</f>
        <v>403000</v>
      </c>
    </row>
    <row r="241" customFormat="false" ht="17.35" hidden="false" customHeight="false" outlineLevel="0" collapsed="false">
      <c r="A241" s="19"/>
      <c r="B241" s="20" t="s">
        <v>22</v>
      </c>
      <c r="C241" s="21" t="n">
        <f aca="false">SUM(C214:C240)</f>
        <v>11245500</v>
      </c>
      <c r="D241" s="22" t="n">
        <f aca="false">SUM(D214:D240)</f>
        <v>3624500</v>
      </c>
      <c r="E241" s="45" t="n">
        <f aca="false">SUM(E214:E240)</f>
        <v>5738500</v>
      </c>
    </row>
    <row r="242" customFormat="false" ht="17.35" hidden="false" customHeight="false" outlineLevel="0" collapsed="false">
      <c r="B242" s="36"/>
      <c r="C242" s="37"/>
      <c r="D242" s="38"/>
      <c r="E242" s="39"/>
    </row>
    <row r="243" customFormat="false" ht="17.35" hidden="false" customHeight="false" outlineLevel="0" collapsed="false">
      <c r="B243" s="69"/>
      <c r="C243" s="58"/>
      <c r="D243" s="59"/>
      <c r="E243" s="60"/>
    </row>
    <row r="244" customFormat="false" ht="17.35" hidden="false" customHeight="false" outlineLevel="0" collapsed="false">
      <c r="A244" s="40"/>
      <c r="B244" s="2" t="s">
        <v>504</v>
      </c>
      <c r="D244" s="24"/>
      <c r="E244" s="24"/>
    </row>
    <row r="245" customFormat="false" ht="17.35" hidden="false" customHeight="false" outlineLevel="0" collapsed="false">
      <c r="A245" s="62"/>
      <c r="D245" s="24"/>
      <c r="E245" s="24"/>
    </row>
    <row r="246" customFormat="false" ht="15" hidden="false" customHeight="false" outlineLevel="0" collapsed="false">
      <c r="A246" s="40"/>
      <c r="D246" s="24"/>
      <c r="E246" s="24"/>
    </row>
    <row r="247" customFormat="false" ht="17.25" hidden="false" customHeight="false" outlineLevel="0" collapsed="false">
      <c r="A247" s="40"/>
      <c r="B247" s="4" t="s">
        <v>198</v>
      </c>
      <c r="D247" s="24"/>
      <c r="E247" s="24"/>
    </row>
    <row r="248" customFormat="false" ht="15" hidden="false" customHeight="false" outlineLevel="0" collapsed="false">
      <c r="A248" s="40"/>
      <c r="D248" s="25" t="s">
        <v>51</v>
      </c>
      <c r="E248" s="24"/>
    </row>
    <row r="249" customFormat="false" ht="15" hidden="false" customHeight="false" outlineLevel="0" collapsed="false">
      <c r="A249" s="40"/>
      <c r="D249" s="24"/>
      <c r="E249" s="24"/>
    </row>
    <row r="250" customFormat="false" ht="15" hidden="false" customHeight="false" outlineLevel="0" collapsed="false">
      <c r="A250" s="6" t="s">
        <v>5</v>
      </c>
      <c r="B250" s="7" t="s">
        <v>6</v>
      </c>
      <c r="C250" s="8" t="s">
        <v>7</v>
      </c>
      <c r="D250" s="42" t="s">
        <v>8</v>
      </c>
      <c r="E250" s="43" t="s">
        <v>9</v>
      </c>
    </row>
    <row r="251" customFormat="false" ht="15" hidden="false" customHeight="false" outlineLevel="0" collapsed="false">
      <c r="A251" s="71" t="n">
        <v>1</v>
      </c>
      <c r="B251" s="50" t="s">
        <v>240</v>
      </c>
      <c r="C251" s="13" t="n">
        <v>416500</v>
      </c>
      <c r="D251" s="13" t="n">
        <f aca="false">220000+100000+90000</f>
        <v>410000</v>
      </c>
      <c r="E251" s="14" t="n">
        <f aca="false">C251-D251</f>
        <v>6500</v>
      </c>
    </row>
    <row r="252" customFormat="false" ht="15" hidden="false" customHeight="false" outlineLevel="0" collapsed="false">
      <c r="A252" s="18" t="n">
        <v>2</v>
      </c>
      <c r="B252" s="32" t="s">
        <v>241</v>
      </c>
      <c r="C252" s="16" t="n">
        <v>416500</v>
      </c>
      <c r="D252" s="13" t="n">
        <f aca="false">60000+150000+120000+90000</f>
        <v>420000</v>
      </c>
      <c r="E252" s="14" t="n">
        <f aca="false">C252-D252</f>
        <v>-3500</v>
      </c>
    </row>
    <row r="253" customFormat="false" ht="15" hidden="false" customHeight="false" outlineLevel="0" collapsed="false">
      <c r="A253" s="49" t="n">
        <v>3</v>
      </c>
      <c r="B253" s="32" t="s">
        <v>242</v>
      </c>
      <c r="C253" s="16" t="n">
        <v>416500</v>
      </c>
      <c r="D253" s="13" t="n">
        <f aca="false">150000+50000+16500+110000+35000+55000</f>
        <v>416500</v>
      </c>
      <c r="E253" s="14" t="n">
        <f aca="false">C253-D253</f>
        <v>0</v>
      </c>
    </row>
    <row r="254" customFormat="false" ht="15" hidden="false" customHeight="false" outlineLevel="0" collapsed="false">
      <c r="A254" s="18" t="n">
        <v>4</v>
      </c>
      <c r="B254" s="50" t="s">
        <v>243</v>
      </c>
      <c r="C254" s="13" t="n">
        <v>416500</v>
      </c>
      <c r="D254" s="13" t="n">
        <f aca="false">216500+200000</f>
        <v>416500</v>
      </c>
      <c r="E254" s="14" t="n">
        <f aca="false">C254-D254</f>
        <v>0</v>
      </c>
    </row>
    <row r="255" customFormat="false" ht="15" hidden="false" customHeight="false" outlineLevel="0" collapsed="false">
      <c r="A255" s="56" t="n">
        <v>5</v>
      </c>
      <c r="B255" s="68" t="s">
        <v>244</v>
      </c>
      <c r="C255" s="16" t="n">
        <v>416500</v>
      </c>
      <c r="D255" s="13" t="n">
        <f aca="false">200000+16500+50000+40000+20000+90000</f>
        <v>416500</v>
      </c>
      <c r="E255" s="14" t="n">
        <f aca="false">C255-D255</f>
        <v>0</v>
      </c>
    </row>
    <row r="256" customFormat="false" ht="15" hidden="false" customHeight="false" outlineLevel="0" collapsed="false">
      <c r="A256" s="18" t="n">
        <v>6</v>
      </c>
      <c r="B256" s="68" t="s">
        <v>245</v>
      </c>
      <c r="C256" s="16" t="n">
        <v>416500</v>
      </c>
      <c r="D256" s="13" t="n">
        <f aca="false">200000+216500</f>
        <v>416500</v>
      </c>
      <c r="E256" s="14" t="n">
        <f aca="false">C256-D256</f>
        <v>0</v>
      </c>
    </row>
    <row r="257" customFormat="false" ht="15" hidden="false" customHeight="false" outlineLevel="0" collapsed="false">
      <c r="A257" s="49" t="n">
        <v>7</v>
      </c>
      <c r="B257" s="32" t="s">
        <v>246</v>
      </c>
      <c r="C257" s="16" t="n">
        <v>416500</v>
      </c>
      <c r="D257" s="13" t="n">
        <f aca="false">217000+200000</f>
        <v>417000</v>
      </c>
      <c r="E257" s="14" t="n">
        <f aca="false">C257-D257</f>
        <v>-500</v>
      </c>
    </row>
    <row r="258" customFormat="false" ht="15" hidden="false" customHeight="false" outlineLevel="0" collapsed="false">
      <c r="A258" s="18" t="n">
        <v>8</v>
      </c>
      <c r="B258" s="32" t="s">
        <v>247</v>
      </c>
      <c r="C258" s="16" t="n">
        <v>416500</v>
      </c>
      <c r="D258" s="13"/>
      <c r="E258" s="14" t="n">
        <f aca="false">C258-D258</f>
        <v>416500</v>
      </c>
    </row>
    <row r="259" customFormat="false" ht="15" hidden="false" customHeight="false" outlineLevel="0" collapsed="false">
      <c r="A259" s="56" t="n">
        <v>9</v>
      </c>
      <c r="B259" s="32" t="s">
        <v>248</v>
      </c>
      <c r="C259" s="16" t="n">
        <v>416500</v>
      </c>
      <c r="D259" s="13" t="n">
        <f aca="false">216500+200000</f>
        <v>416500</v>
      </c>
      <c r="E259" s="14" t="n">
        <f aca="false">C259-D259</f>
        <v>0</v>
      </c>
    </row>
    <row r="260" customFormat="false" ht="15" hidden="false" customHeight="false" outlineLevel="0" collapsed="false">
      <c r="A260" s="18" t="n">
        <v>10</v>
      </c>
      <c r="B260" s="32" t="s">
        <v>249</v>
      </c>
      <c r="C260" s="16" t="n">
        <v>416500</v>
      </c>
      <c r="D260" s="13"/>
      <c r="E260" s="14" t="n">
        <f aca="false">C260-D260</f>
        <v>416500</v>
      </c>
    </row>
    <row r="261" customFormat="false" ht="15" hidden="false" customHeight="false" outlineLevel="0" collapsed="false">
      <c r="A261" s="49" t="n">
        <v>11</v>
      </c>
      <c r="B261" s="32" t="s">
        <v>250</v>
      </c>
      <c r="C261" s="16" t="n">
        <v>416500</v>
      </c>
      <c r="D261" s="13"/>
      <c r="E261" s="14" t="n">
        <f aca="false">C261-D261</f>
        <v>416500</v>
      </c>
    </row>
    <row r="262" customFormat="false" ht="15" hidden="false" customHeight="false" outlineLevel="0" collapsed="false">
      <c r="A262" s="18" t="n">
        <v>12</v>
      </c>
      <c r="B262" s="32" t="s">
        <v>251</v>
      </c>
      <c r="C262" s="16" t="n">
        <v>416500</v>
      </c>
      <c r="D262" s="13" t="n">
        <f aca="false">99500+90000</f>
        <v>189500</v>
      </c>
      <c r="E262" s="14" t="n">
        <f aca="false">C262-D262</f>
        <v>227000</v>
      </c>
    </row>
    <row r="263" customFormat="false" ht="15" hidden="false" customHeight="false" outlineLevel="0" collapsed="false">
      <c r="A263" s="56" t="n">
        <v>13</v>
      </c>
      <c r="B263" s="32" t="s">
        <v>252</v>
      </c>
      <c r="C263" s="16" t="n">
        <v>416500</v>
      </c>
      <c r="D263" s="13"/>
      <c r="E263" s="14" t="n">
        <f aca="false">C263-D263</f>
        <v>416500</v>
      </c>
    </row>
    <row r="264" customFormat="false" ht="15" hidden="false" customHeight="false" outlineLevel="0" collapsed="false">
      <c r="A264" s="18" t="n">
        <v>14</v>
      </c>
      <c r="B264" s="32" t="s">
        <v>253</v>
      </c>
      <c r="C264" s="16" t="n">
        <v>416500</v>
      </c>
      <c r="D264" s="13" t="n">
        <f aca="false">189000+27500+200000</f>
        <v>416500</v>
      </c>
      <c r="E264" s="14" t="n">
        <f aca="false">C264-D264</f>
        <v>0</v>
      </c>
    </row>
    <row r="265" customFormat="false" ht="15" hidden="false" customHeight="false" outlineLevel="0" collapsed="false">
      <c r="A265" s="49" t="n">
        <v>15</v>
      </c>
      <c r="B265" s="68" t="s">
        <v>254</v>
      </c>
      <c r="C265" s="16" t="n">
        <v>416500</v>
      </c>
      <c r="D265" s="13" t="n">
        <f aca="false">130000+20000+30000+36000+20000+30000+34000+500+66000+50000</f>
        <v>416500</v>
      </c>
      <c r="E265" s="14" t="n">
        <f aca="false">C265-D265</f>
        <v>0</v>
      </c>
    </row>
    <row r="266" customFormat="false" ht="15" hidden="false" customHeight="false" outlineLevel="0" collapsed="false">
      <c r="A266" s="18" t="n">
        <v>16</v>
      </c>
      <c r="B266" s="32" t="s">
        <v>255</v>
      </c>
      <c r="C266" s="16" t="n">
        <v>416500</v>
      </c>
      <c r="D266" s="13" t="n">
        <v>416500</v>
      </c>
      <c r="E266" s="14" t="n">
        <f aca="false">C266-D266</f>
        <v>0</v>
      </c>
    </row>
    <row r="267" customFormat="false" ht="15" hidden="false" customHeight="false" outlineLevel="0" collapsed="false">
      <c r="A267" s="56" t="n">
        <v>17</v>
      </c>
      <c r="B267" s="50" t="s">
        <v>256</v>
      </c>
      <c r="C267" s="13" t="n">
        <v>416500</v>
      </c>
      <c r="D267" s="13" t="n">
        <f aca="false">100000+100000+216500</f>
        <v>416500</v>
      </c>
      <c r="E267" s="14" t="n">
        <f aca="false">C267-D267</f>
        <v>0</v>
      </c>
    </row>
    <row r="268" customFormat="false" ht="15" hidden="false" customHeight="false" outlineLevel="0" collapsed="false">
      <c r="A268" s="18" t="n">
        <v>18</v>
      </c>
      <c r="B268" s="50" t="s">
        <v>257</v>
      </c>
      <c r="C268" s="13" t="n">
        <v>416500</v>
      </c>
      <c r="D268" s="13" t="n">
        <f aca="false">100000+117000+150000+49500</f>
        <v>416500</v>
      </c>
      <c r="E268" s="14" t="n">
        <f aca="false">C268-D268</f>
        <v>0</v>
      </c>
    </row>
    <row r="269" customFormat="false" ht="15" hidden="false" customHeight="false" outlineLevel="0" collapsed="false">
      <c r="A269" s="49" t="n">
        <v>19</v>
      </c>
      <c r="B269" s="68" t="s">
        <v>258</v>
      </c>
      <c r="C269" s="16" t="n">
        <v>416500</v>
      </c>
      <c r="D269" s="13"/>
      <c r="E269" s="14" t="n">
        <f aca="false">C269-D269</f>
        <v>416500</v>
      </c>
    </row>
    <row r="270" customFormat="false" ht="15" hidden="false" customHeight="false" outlineLevel="0" collapsed="false">
      <c r="A270" s="18" t="n">
        <v>20</v>
      </c>
      <c r="B270" s="68" t="s">
        <v>259</v>
      </c>
      <c r="C270" s="16" t="n">
        <v>416500</v>
      </c>
      <c r="D270" s="13" t="n">
        <f aca="false">216500</f>
        <v>216500</v>
      </c>
      <c r="E270" s="14" t="n">
        <f aca="false">C270-D270</f>
        <v>200000</v>
      </c>
    </row>
    <row r="271" customFormat="false" ht="15" hidden="false" customHeight="false" outlineLevel="0" collapsed="false">
      <c r="A271" s="56" t="n">
        <v>21</v>
      </c>
      <c r="B271" s="32" t="s">
        <v>260</v>
      </c>
      <c r="C271" s="16" t="n">
        <v>416500</v>
      </c>
      <c r="D271" s="13"/>
      <c r="E271" s="14" t="n">
        <f aca="false">C271-D271</f>
        <v>416500</v>
      </c>
    </row>
    <row r="272" customFormat="false" ht="17.35" hidden="false" customHeight="false" outlineLevel="0" collapsed="false">
      <c r="A272" s="19"/>
      <c r="B272" s="20" t="s">
        <v>22</v>
      </c>
      <c r="C272" s="21" t="n">
        <f aca="false">SUM(C251:C271)</f>
        <v>8746500</v>
      </c>
      <c r="D272" s="22" t="n">
        <f aca="false">SUM(D251:D271)</f>
        <v>5818000</v>
      </c>
      <c r="E272" s="45" t="n">
        <f aca="false">SUM(E251:E271)</f>
        <v>2928500</v>
      </c>
    </row>
    <row r="273" customFormat="false" ht="17.35" hidden="false" customHeight="false" outlineLevel="0" collapsed="false">
      <c r="B273" s="69"/>
      <c r="C273" s="58"/>
      <c r="D273" s="59"/>
      <c r="E273" s="60"/>
    </row>
    <row r="274" customFormat="false" ht="15" hidden="false" customHeight="false" outlineLevel="0" collapsed="false">
      <c r="D274" s="24"/>
      <c r="E274" s="24"/>
    </row>
    <row r="275" customFormat="false" ht="15" hidden="false" customHeight="false" outlineLevel="0" collapsed="false">
      <c r="D275" s="24"/>
      <c r="E275" s="24"/>
    </row>
    <row r="276" customFormat="false" ht="17.35" hidden="false" customHeight="false" outlineLevel="0" collapsed="false">
      <c r="B276" s="36"/>
      <c r="C276" s="37"/>
      <c r="D276" s="38"/>
      <c r="E276" s="39"/>
    </row>
    <row r="277" customFormat="false" ht="17.35" hidden="false" customHeight="false" outlineLevel="0" collapsed="false">
      <c r="B277" s="2" t="s">
        <v>504</v>
      </c>
      <c r="D277" s="24"/>
      <c r="E277" s="24"/>
    </row>
    <row r="278" customFormat="false" ht="15" hidden="false" customHeight="false" outlineLevel="0" collapsed="false">
      <c r="A278" s="40"/>
      <c r="D278" s="24"/>
      <c r="E278" s="24"/>
    </row>
    <row r="279" customFormat="false" ht="15" hidden="false" customHeight="false" outlineLevel="0" collapsed="false">
      <c r="A279" s="40"/>
      <c r="D279" s="24"/>
      <c r="E279" s="24"/>
    </row>
    <row r="280" customFormat="false" ht="17.25" hidden="false" customHeight="false" outlineLevel="0" collapsed="false">
      <c r="A280" s="40"/>
      <c r="B280" s="4" t="s">
        <v>261</v>
      </c>
      <c r="D280" s="24"/>
      <c r="E280" s="24"/>
    </row>
    <row r="281" customFormat="false" ht="15" hidden="false" customHeight="false" outlineLevel="0" collapsed="false">
      <c r="A281" s="40"/>
      <c r="D281" s="24"/>
      <c r="E281" s="25" t="s">
        <v>4</v>
      </c>
    </row>
    <row r="282" customFormat="false" ht="15" hidden="false" customHeight="false" outlineLevel="0" collapsed="false">
      <c r="A282" s="40"/>
      <c r="D282" s="24"/>
      <c r="E282" s="24"/>
    </row>
    <row r="283" customFormat="false" ht="15" hidden="false" customHeight="false" outlineLevel="0" collapsed="false">
      <c r="A283" s="6" t="s">
        <v>5</v>
      </c>
      <c r="B283" s="7" t="s">
        <v>6</v>
      </c>
      <c r="C283" s="8" t="s">
        <v>7</v>
      </c>
      <c r="D283" s="42" t="s">
        <v>8</v>
      </c>
      <c r="E283" s="43" t="s">
        <v>9</v>
      </c>
    </row>
    <row r="284" customFormat="false" ht="15" hidden="false" customHeight="false" outlineLevel="0" collapsed="false">
      <c r="A284" s="18" t="n">
        <v>1</v>
      </c>
      <c r="B284" s="44" t="s">
        <v>273</v>
      </c>
      <c r="C284" s="16" t="n">
        <v>416500</v>
      </c>
      <c r="D284" s="13" t="n">
        <f aca="false">216500+200000</f>
        <v>416500</v>
      </c>
      <c r="E284" s="14" t="n">
        <f aca="false">C284-D284</f>
        <v>0</v>
      </c>
    </row>
    <row r="285" customFormat="false" ht="15" hidden="false" customHeight="false" outlineLevel="0" collapsed="false">
      <c r="A285" s="18" t="n">
        <v>2</v>
      </c>
      <c r="B285" s="32" t="s">
        <v>274</v>
      </c>
      <c r="C285" s="16" t="n">
        <v>416500</v>
      </c>
      <c r="D285" s="13" t="n">
        <f aca="false">216500+100000</f>
        <v>316500</v>
      </c>
      <c r="E285" s="14" t="n">
        <f aca="false">C285-D285</f>
        <v>100000</v>
      </c>
    </row>
    <row r="286" customFormat="false" ht="15" hidden="false" customHeight="false" outlineLevel="0" collapsed="false">
      <c r="A286" s="56" t="n">
        <v>3</v>
      </c>
      <c r="B286" s="32" t="s">
        <v>275</v>
      </c>
      <c r="C286" s="16" t="n">
        <v>416500</v>
      </c>
      <c r="D286" s="13" t="n">
        <f aca="false">200000+16500+100000+100000</f>
        <v>416500</v>
      </c>
      <c r="E286" s="14" t="n">
        <f aca="false">C286-D286</f>
        <v>0</v>
      </c>
    </row>
    <row r="287" customFormat="false" ht="15" hidden="false" customHeight="false" outlineLevel="0" collapsed="false">
      <c r="A287" s="18" t="n">
        <v>4</v>
      </c>
      <c r="B287" s="32" t="s">
        <v>276</v>
      </c>
      <c r="C287" s="16" t="n">
        <v>416500</v>
      </c>
      <c r="D287" s="13" t="n">
        <f aca="false">216500+200000</f>
        <v>416500</v>
      </c>
      <c r="E287" s="14" t="n">
        <f aca="false">C287-D287</f>
        <v>0</v>
      </c>
    </row>
    <row r="288" customFormat="false" ht="15" hidden="false" customHeight="false" outlineLevel="0" collapsed="false">
      <c r="A288" s="18" t="n">
        <v>5</v>
      </c>
      <c r="B288" s="32" t="s">
        <v>277</v>
      </c>
      <c r="C288" s="16" t="n">
        <v>416500</v>
      </c>
      <c r="D288" s="13" t="n">
        <f aca="false">216500+200000</f>
        <v>416500</v>
      </c>
      <c r="E288" s="14" t="n">
        <f aca="false">C288-D288</f>
        <v>0</v>
      </c>
    </row>
    <row r="289" customFormat="false" ht="15" hidden="false" customHeight="false" outlineLevel="0" collapsed="false">
      <c r="A289" s="18" t="n">
        <v>6</v>
      </c>
      <c r="B289" s="32" t="s">
        <v>278</v>
      </c>
      <c r="C289" s="16" t="n">
        <v>416500</v>
      </c>
      <c r="D289" s="13" t="n">
        <f aca="false">250000+165500+1000</f>
        <v>416500</v>
      </c>
      <c r="E289" s="14" t="n">
        <f aca="false">C289-D289</f>
        <v>0</v>
      </c>
    </row>
    <row r="290" customFormat="false" ht="15" hidden="false" customHeight="false" outlineLevel="0" collapsed="false">
      <c r="A290" s="56" t="n">
        <v>7</v>
      </c>
      <c r="B290" s="32" t="s">
        <v>279</v>
      </c>
      <c r="C290" s="16" t="n">
        <v>416500</v>
      </c>
      <c r="D290" s="13" t="n">
        <f aca="false">100000+100000+216500</f>
        <v>416500</v>
      </c>
      <c r="E290" s="14" t="n">
        <f aca="false">C290-D290</f>
        <v>0</v>
      </c>
    </row>
    <row r="291" customFormat="false" ht="15" hidden="false" customHeight="false" outlineLevel="0" collapsed="false">
      <c r="A291" s="18" t="n">
        <v>8</v>
      </c>
      <c r="B291" s="32" t="s">
        <v>280</v>
      </c>
      <c r="C291" s="16" t="n">
        <v>416500</v>
      </c>
      <c r="D291" s="13" t="n">
        <f aca="false">200000+16500+200000</f>
        <v>416500</v>
      </c>
      <c r="E291" s="14" t="n">
        <f aca="false">C291-D291</f>
        <v>0</v>
      </c>
    </row>
    <row r="292" customFormat="false" ht="15" hidden="false" customHeight="false" outlineLevel="0" collapsed="false">
      <c r="A292" s="18" t="n">
        <v>9</v>
      </c>
      <c r="B292" s="54" t="s">
        <v>281</v>
      </c>
      <c r="C292" s="16" t="n">
        <v>416500</v>
      </c>
      <c r="D292" s="76" t="n">
        <f aca="false">216500+200000</f>
        <v>416500</v>
      </c>
      <c r="E292" s="14" t="n">
        <f aca="false">C292-D292</f>
        <v>0</v>
      </c>
    </row>
    <row r="293" customFormat="false" ht="15" hidden="false" customHeight="false" outlineLevel="0" collapsed="false">
      <c r="A293" s="18" t="n">
        <v>10</v>
      </c>
      <c r="B293" s="32" t="s">
        <v>282</v>
      </c>
      <c r="C293" s="16" t="n">
        <v>416500</v>
      </c>
      <c r="D293" s="13" t="n">
        <f aca="false">100000+50000+100000</f>
        <v>250000</v>
      </c>
      <c r="E293" s="14" t="n">
        <f aca="false">C293-D293</f>
        <v>166500</v>
      </c>
    </row>
    <row r="294" customFormat="false" ht="15" hidden="false" customHeight="false" outlineLevel="0" collapsed="false">
      <c r="A294" s="56" t="n">
        <v>11</v>
      </c>
      <c r="B294" s="54" t="s">
        <v>283</v>
      </c>
      <c r="C294" s="16" t="n">
        <v>416500</v>
      </c>
      <c r="D294" s="76" t="n">
        <f aca="false">216500+200000</f>
        <v>416500</v>
      </c>
      <c r="E294" s="14" t="n">
        <f aca="false">C294-D294</f>
        <v>0</v>
      </c>
    </row>
    <row r="295" customFormat="false" ht="15" hidden="false" customHeight="false" outlineLevel="0" collapsed="false">
      <c r="A295" s="18" t="n">
        <v>12</v>
      </c>
      <c r="B295" s="79" t="s">
        <v>270</v>
      </c>
      <c r="C295" s="16" t="s">
        <v>128</v>
      </c>
      <c r="D295" s="76" t="s">
        <v>128</v>
      </c>
      <c r="E295" s="14" t="s">
        <v>128</v>
      </c>
    </row>
    <row r="296" customFormat="false" ht="15" hidden="false" customHeight="false" outlineLevel="0" collapsed="false">
      <c r="A296" s="18" t="n">
        <v>13</v>
      </c>
      <c r="B296" s="54" t="s">
        <v>284</v>
      </c>
      <c r="C296" s="16" t="n">
        <v>416500</v>
      </c>
      <c r="D296" s="76" t="n">
        <f aca="false">150000+150000+116500</f>
        <v>416500</v>
      </c>
      <c r="E296" s="14" t="n">
        <f aca="false">C296-D296</f>
        <v>0</v>
      </c>
    </row>
    <row r="297" customFormat="false" ht="15" hidden="false" customHeight="false" outlineLevel="0" collapsed="false">
      <c r="A297" s="18" t="n">
        <v>14</v>
      </c>
      <c r="B297" s="54" t="s">
        <v>285</v>
      </c>
      <c r="C297" s="16" t="n">
        <v>416500</v>
      </c>
      <c r="D297" s="76" t="n">
        <f aca="false">100000+100000+152000+64500</f>
        <v>416500</v>
      </c>
      <c r="E297" s="14" t="n">
        <f aca="false">C297-D297</f>
        <v>0</v>
      </c>
    </row>
    <row r="298" customFormat="false" ht="15" hidden="false" customHeight="false" outlineLevel="0" collapsed="false">
      <c r="A298" s="56" t="n">
        <v>15</v>
      </c>
      <c r="B298" s="54" t="s">
        <v>286</v>
      </c>
      <c r="C298" s="16" t="n">
        <v>416500</v>
      </c>
      <c r="D298" s="76" t="n">
        <f aca="false">216500+200000</f>
        <v>416500</v>
      </c>
      <c r="E298" s="14" t="n">
        <f aca="false">C298-D298</f>
        <v>0</v>
      </c>
    </row>
    <row r="299" customFormat="false" ht="15" hidden="false" customHeight="false" outlineLevel="0" collapsed="false">
      <c r="A299" s="18" t="n">
        <v>16</v>
      </c>
      <c r="B299" s="32" t="s">
        <v>287</v>
      </c>
      <c r="C299" s="16" t="n">
        <v>416500</v>
      </c>
      <c r="D299" s="76" t="n">
        <f aca="false">216500+85000+90000+25000</f>
        <v>416500</v>
      </c>
      <c r="E299" s="14" t="n">
        <f aca="false">C299-D299</f>
        <v>0</v>
      </c>
    </row>
    <row r="300" customFormat="false" ht="15" hidden="false" customHeight="false" outlineLevel="0" collapsed="false">
      <c r="A300" s="18" t="n">
        <v>17</v>
      </c>
      <c r="B300" s="32" t="s">
        <v>288</v>
      </c>
      <c r="C300" s="16" t="n">
        <v>416500</v>
      </c>
      <c r="D300" s="13" t="n">
        <f aca="false">200000+100000</f>
        <v>300000</v>
      </c>
      <c r="E300" s="14" t="n">
        <f aca="false">C300-D300</f>
        <v>116500</v>
      </c>
    </row>
    <row r="301" customFormat="false" ht="15" hidden="false" customHeight="false" outlineLevel="0" collapsed="false">
      <c r="A301" s="18" t="n">
        <v>18</v>
      </c>
      <c r="B301" s="54" t="s">
        <v>289</v>
      </c>
      <c r="C301" s="16" t="n">
        <v>416500</v>
      </c>
      <c r="D301" s="76" t="n">
        <f aca="false">216500+200000</f>
        <v>416500</v>
      </c>
      <c r="E301" s="14" t="n">
        <f aca="false">C301-D301</f>
        <v>0</v>
      </c>
    </row>
    <row r="302" customFormat="false" ht="15" hidden="false" customHeight="false" outlineLevel="0" collapsed="false">
      <c r="A302" s="56" t="n">
        <v>19</v>
      </c>
      <c r="B302" s="78" t="s">
        <v>1397</v>
      </c>
      <c r="C302" s="16" t="n">
        <v>416500</v>
      </c>
      <c r="D302" s="76" t="n">
        <f aca="false">100000</f>
        <v>100000</v>
      </c>
      <c r="E302" s="14" t="n">
        <f aca="false">C302-D302</f>
        <v>316500</v>
      </c>
    </row>
    <row r="303" customFormat="false" ht="17.35" hidden="false" customHeight="false" outlineLevel="0" collapsed="false">
      <c r="A303" s="18"/>
      <c r="B303" s="20" t="s">
        <v>22</v>
      </c>
      <c r="C303" s="21" t="n">
        <f aca="false">SUM(C284:C302)</f>
        <v>7497000</v>
      </c>
      <c r="D303" s="22" t="n">
        <f aca="false">SUM(D284:D302)</f>
        <v>6797500</v>
      </c>
      <c r="E303" s="45" t="n">
        <f aca="false">SUM(E284:E302)</f>
        <v>699500</v>
      </c>
    </row>
    <row r="304" customFormat="false" ht="17.35" hidden="false" customHeight="false" outlineLevel="0" collapsed="false">
      <c r="B304" s="36"/>
      <c r="C304" s="37"/>
      <c r="D304" s="38"/>
      <c r="E304" s="39"/>
    </row>
    <row r="305" customFormat="false" ht="17.35" hidden="false" customHeight="false" outlineLevel="0" collapsed="false">
      <c r="B305" s="36"/>
      <c r="C305" s="37"/>
      <c r="D305" s="38"/>
      <c r="E305" s="39"/>
    </row>
    <row r="306" customFormat="false" ht="17.35" hidden="false" customHeight="false" outlineLevel="0" collapsed="false">
      <c r="B306" s="36"/>
      <c r="C306" s="37"/>
      <c r="D306" s="38"/>
      <c r="E306" s="39"/>
    </row>
    <row r="307" customFormat="false" ht="17.35" hidden="false" customHeight="false" outlineLevel="0" collapsed="false">
      <c r="B307" s="2" t="s">
        <v>504</v>
      </c>
      <c r="D307" s="24"/>
      <c r="E307" s="24"/>
    </row>
    <row r="308" customFormat="false" ht="15" hidden="false" customHeight="false" outlineLevel="0" collapsed="false">
      <c r="A308" s="40"/>
      <c r="D308" s="24"/>
      <c r="E308" s="24"/>
    </row>
    <row r="309" customFormat="false" ht="15" hidden="false" customHeight="false" outlineLevel="0" collapsed="false">
      <c r="A309" s="40"/>
      <c r="D309" s="24"/>
      <c r="E309" s="24"/>
    </row>
    <row r="310" customFormat="false" ht="17.25" hidden="false" customHeight="false" outlineLevel="0" collapsed="false">
      <c r="A310" s="40"/>
      <c r="B310" s="4" t="s">
        <v>261</v>
      </c>
      <c r="D310" s="24"/>
      <c r="E310" s="24"/>
    </row>
    <row r="311" customFormat="false" ht="15" hidden="false" customHeight="false" outlineLevel="0" collapsed="false">
      <c r="A311" s="40"/>
      <c r="D311" s="24"/>
      <c r="E311" s="25" t="s">
        <v>51</v>
      </c>
    </row>
    <row r="312" customFormat="false" ht="15" hidden="false" customHeight="false" outlineLevel="0" collapsed="false">
      <c r="A312" s="40"/>
      <c r="D312" s="24"/>
      <c r="E312" s="24"/>
    </row>
    <row r="313" customFormat="false" ht="15" hidden="false" customHeight="false" outlineLevel="0" collapsed="false">
      <c r="A313" s="6" t="s">
        <v>5</v>
      </c>
      <c r="B313" s="7" t="s">
        <v>6</v>
      </c>
      <c r="C313" s="8" t="s">
        <v>7</v>
      </c>
      <c r="D313" s="42" t="s">
        <v>8</v>
      </c>
      <c r="E313" s="43" t="s">
        <v>9</v>
      </c>
    </row>
    <row r="314" customFormat="false" ht="15" hidden="false" customHeight="false" outlineLevel="0" collapsed="false">
      <c r="A314" s="18" t="n">
        <v>1</v>
      </c>
      <c r="B314" s="32" t="s">
        <v>290</v>
      </c>
      <c r="C314" s="16" t="n">
        <v>416500</v>
      </c>
      <c r="D314" s="13" t="n">
        <f aca="false">216500+200000</f>
        <v>416500</v>
      </c>
      <c r="E314" s="14" t="n">
        <f aca="false">C314-D314</f>
        <v>0</v>
      </c>
    </row>
    <row r="315" customFormat="false" ht="15" hidden="false" customHeight="false" outlineLevel="0" collapsed="false">
      <c r="A315" s="18" t="n">
        <v>2</v>
      </c>
      <c r="B315" s="32" t="s">
        <v>1562</v>
      </c>
      <c r="C315" s="16" t="s">
        <v>128</v>
      </c>
      <c r="D315" s="13" t="s">
        <v>128</v>
      </c>
      <c r="E315" s="14" t="s">
        <v>128</v>
      </c>
    </row>
    <row r="316" customFormat="false" ht="15" hidden="false" customHeight="false" outlineLevel="0" collapsed="false">
      <c r="A316" s="18" t="n">
        <v>3</v>
      </c>
      <c r="B316" s="32" t="s">
        <v>291</v>
      </c>
      <c r="C316" s="16" t="n">
        <v>416500</v>
      </c>
      <c r="D316" s="13" t="n">
        <f aca="false">216500+200000</f>
        <v>416500</v>
      </c>
      <c r="E316" s="14" t="n">
        <f aca="false">C316-D316</f>
        <v>0</v>
      </c>
    </row>
    <row r="317" customFormat="false" ht="15" hidden="false" customHeight="false" outlineLevel="0" collapsed="false">
      <c r="A317" s="18" t="n">
        <v>4</v>
      </c>
      <c r="B317" s="32" t="s">
        <v>292</v>
      </c>
      <c r="C317" s="16" t="n">
        <v>416500</v>
      </c>
      <c r="D317" s="13" t="n">
        <v>215000</v>
      </c>
      <c r="E317" s="14" t="n">
        <f aca="false">C317-D317</f>
        <v>201500</v>
      </c>
    </row>
    <row r="318" customFormat="false" ht="15" hidden="false" customHeight="false" outlineLevel="0" collapsed="false">
      <c r="A318" s="18" t="n">
        <v>5</v>
      </c>
      <c r="B318" s="32" t="s">
        <v>293</v>
      </c>
      <c r="C318" s="13" t="n">
        <v>416500</v>
      </c>
      <c r="D318" s="13"/>
      <c r="E318" s="14" t="n">
        <f aca="false">C318-D318</f>
        <v>416500</v>
      </c>
    </row>
    <row r="319" customFormat="false" ht="15" hidden="false" customHeight="false" outlineLevel="0" collapsed="false">
      <c r="A319" s="18" t="n">
        <v>6</v>
      </c>
      <c r="B319" s="32" t="s">
        <v>294</v>
      </c>
      <c r="C319" s="16" t="n">
        <v>416500</v>
      </c>
      <c r="D319" s="13" t="n">
        <f aca="false">200000+116500+100000</f>
        <v>416500</v>
      </c>
      <c r="E319" s="14" t="n">
        <f aca="false">C319-D319</f>
        <v>0</v>
      </c>
    </row>
    <row r="320" customFormat="false" ht="15" hidden="false" customHeight="false" outlineLevel="0" collapsed="false">
      <c r="A320" s="18" t="n">
        <v>7</v>
      </c>
      <c r="B320" s="32" t="s">
        <v>295</v>
      </c>
      <c r="C320" s="16" t="n">
        <v>416500</v>
      </c>
      <c r="D320" s="13"/>
      <c r="E320" s="14" t="n">
        <f aca="false">C320-D320</f>
        <v>416500</v>
      </c>
    </row>
    <row r="321" customFormat="false" ht="15" hidden="false" customHeight="false" outlineLevel="0" collapsed="false">
      <c r="A321" s="18" t="n">
        <v>8</v>
      </c>
      <c r="B321" s="32" t="s">
        <v>296</v>
      </c>
      <c r="C321" s="16" t="n">
        <v>416500</v>
      </c>
      <c r="D321" s="13" t="n">
        <f aca="false">200000+417000</f>
        <v>617000</v>
      </c>
      <c r="E321" s="14" t="n">
        <f aca="false">C321-D321</f>
        <v>-200500</v>
      </c>
    </row>
    <row r="322" customFormat="false" ht="15" hidden="false" customHeight="false" outlineLevel="0" collapsed="false">
      <c r="A322" s="18" t="n">
        <v>9</v>
      </c>
      <c r="B322" s="32" t="s">
        <v>297</v>
      </c>
      <c r="C322" s="16" t="n">
        <v>416500</v>
      </c>
      <c r="D322" s="13" t="n">
        <f aca="false">100000</f>
        <v>100000</v>
      </c>
      <c r="E322" s="14" t="n">
        <f aca="false">C322-D322</f>
        <v>316500</v>
      </c>
    </row>
    <row r="323" customFormat="false" ht="15" hidden="false" customHeight="false" outlineLevel="0" collapsed="false">
      <c r="A323" s="18" t="n">
        <v>10</v>
      </c>
      <c r="B323" s="78" t="s">
        <v>298</v>
      </c>
      <c r="C323" s="16" t="n">
        <v>416500</v>
      </c>
      <c r="D323" s="76" t="n">
        <f aca="false">216000+200500</f>
        <v>416500</v>
      </c>
      <c r="E323" s="14" t="n">
        <f aca="false">C323-D323</f>
        <v>0</v>
      </c>
    </row>
    <row r="324" customFormat="false" ht="15" hidden="false" customHeight="false" outlineLevel="0" collapsed="false">
      <c r="A324" s="18" t="n">
        <v>11</v>
      </c>
      <c r="B324" s="54" t="s">
        <v>299</v>
      </c>
      <c r="C324" s="16" t="n">
        <v>416500</v>
      </c>
      <c r="D324" s="76" t="n">
        <f aca="false">150000</f>
        <v>150000</v>
      </c>
      <c r="E324" s="14" t="n">
        <f aca="false">C324-D324</f>
        <v>266500</v>
      </c>
    </row>
    <row r="325" customFormat="false" ht="15" hidden="false" customHeight="false" outlineLevel="0" collapsed="false">
      <c r="A325" s="18" t="n">
        <v>12</v>
      </c>
      <c r="B325" s="54" t="s">
        <v>300</v>
      </c>
      <c r="C325" s="16" t="n">
        <v>416500</v>
      </c>
      <c r="D325" s="76" t="n">
        <f aca="false">66500+50000+100000+200000</f>
        <v>416500</v>
      </c>
      <c r="E325" s="14" t="n">
        <f aca="false">C325-D325</f>
        <v>0</v>
      </c>
    </row>
    <row r="326" customFormat="false" ht="15" hidden="false" customHeight="false" outlineLevel="0" collapsed="false">
      <c r="A326" s="18" t="n">
        <v>13</v>
      </c>
      <c r="B326" s="79" t="s">
        <v>301</v>
      </c>
      <c r="C326" s="16" t="n">
        <v>416500</v>
      </c>
      <c r="D326" s="76"/>
      <c r="E326" s="14" t="n">
        <f aca="false">C326-D326</f>
        <v>416500</v>
      </c>
    </row>
    <row r="327" customFormat="false" ht="15" hidden="false" customHeight="false" outlineLevel="0" collapsed="false">
      <c r="A327" s="18" t="n">
        <v>14</v>
      </c>
      <c r="B327" s="54" t="s">
        <v>302</v>
      </c>
      <c r="C327" s="16" t="n">
        <v>416500</v>
      </c>
      <c r="D327" s="76" t="n">
        <f aca="false">216500+200000</f>
        <v>416500</v>
      </c>
      <c r="E327" s="14" t="n">
        <f aca="false">C327-D327</f>
        <v>0</v>
      </c>
    </row>
    <row r="328" customFormat="false" ht="15" hidden="false" customHeight="false" outlineLevel="0" collapsed="false">
      <c r="A328" s="18" t="n">
        <v>15</v>
      </c>
      <c r="B328" s="32" t="s">
        <v>303</v>
      </c>
      <c r="C328" s="16" t="n">
        <v>416500</v>
      </c>
      <c r="D328" s="76" t="n">
        <f aca="false">250000+120000+46500</f>
        <v>416500</v>
      </c>
      <c r="E328" s="14" t="n">
        <f aca="false">C328-D328</f>
        <v>0</v>
      </c>
    </row>
    <row r="329" customFormat="false" ht="15" hidden="false" customHeight="false" outlineLevel="0" collapsed="false">
      <c r="A329" s="18" t="n">
        <v>16</v>
      </c>
      <c r="B329" s="54" t="s">
        <v>304</v>
      </c>
      <c r="C329" s="16" t="n">
        <v>416500</v>
      </c>
      <c r="D329" s="76" t="n">
        <f aca="false">233000+183500</f>
        <v>416500</v>
      </c>
      <c r="E329" s="14" t="n">
        <f aca="false">C329-D329</f>
        <v>0</v>
      </c>
    </row>
    <row r="330" customFormat="false" ht="15" hidden="false" customHeight="false" outlineLevel="0" collapsed="false">
      <c r="A330" s="18" t="n">
        <v>17</v>
      </c>
      <c r="B330" s="54" t="s">
        <v>305</v>
      </c>
      <c r="C330" s="16" t="n">
        <v>416500</v>
      </c>
      <c r="D330" s="76" t="n">
        <f aca="false">216500+200000</f>
        <v>416500</v>
      </c>
      <c r="E330" s="14" t="n">
        <f aca="false">C330-D330</f>
        <v>0</v>
      </c>
    </row>
    <row r="331" customFormat="false" ht="17.35" hidden="false" customHeight="false" outlineLevel="0" collapsed="false">
      <c r="A331" s="18"/>
      <c r="B331" s="20" t="s">
        <v>22</v>
      </c>
      <c r="C331" s="21" t="n">
        <f aca="false">SUM(C314:C330)</f>
        <v>6664000</v>
      </c>
      <c r="D331" s="22" t="n">
        <f aca="false">SUM(D314:D330)</f>
        <v>4830500</v>
      </c>
      <c r="E331" s="45" t="n">
        <f aca="false">SUM(E314:E330)</f>
        <v>1833500</v>
      </c>
    </row>
    <row r="332" customFormat="false" ht="17.35" hidden="false" customHeight="false" outlineLevel="0" collapsed="false">
      <c r="B332" s="36"/>
      <c r="C332" s="37"/>
      <c r="D332" s="38"/>
      <c r="E332" s="39"/>
    </row>
    <row r="333" customFormat="false" ht="15" hidden="false" customHeight="false" outlineLevel="0" collapsed="false">
      <c r="D333" s="24"/>
      <c r="E333" s="24"/>
    </row>
    <row r="334" customFormat="false" ht="15" hidden="false" customHeight="false" outlineLevel="0" collapsed="false">
      <c r="D334" s="24"/>
      <c r="E334" s="24"/>
    </row>
    <row r="335" customFormat="false" ht="17.35" hidden="false" customHeight="false" outlineLevel="0" collapsed="false">
      <c r="A335" s="40"/>
      <c r="B335" s="2" t="s">
        <v>504</v>
      </c>
      <c r="D335" s="24"/>
      <c r="E335" s="24"/>
    </row>
    <row r="336" customFormat="false" ht="17.35" hidden="false" customHeight="false" outlineLevel="0" collapsed="false">
      <c r="A336" s="62"/>
      <c r="D336" s="24"/>
      <c r="E336" s="24"/>
    </row>
    <row r="337" customFormat="false" ht="15" hidden="false" customHeight="false" outlineLevel="0" collapsed="false">
      <c r="A337" s="40"/>
      <c r="D337" s="24"/>
      <c r="E337" s="24"/>
    </row>
    <row r="338" customFormat="false" ht="17.25" hidden="false" customHeight="false" outlineLevel="0" collapsed="false">
      <c r="A338" s="40"/>
      <c r="B338" s="4" t="s">
        <v>306</v>
      </c>
      <c r="D338" s="24"/>
      <c r="E338" s="24"/>
    </row>
    <row r="339" customFormat="false" ht="15" hidden="false" customHeight="false" outlineLevel="0" collapsed="false">
      <c r="A339" s="40"/>
      <c r="D339" s="25" t="s">
        <v>4</v>
      </c>
      <c r="E339" s="24"/>
    </row>
    <row r="340" customFormat="false" ht="15" hidden="false" customHeight="false" outlineLevel="0" collapsed="false">
      <c r="A340" s="40"/>
      <c r="D340" s="24"/>
      <c r="E340" s="24"/>
    </row>
    <row r="341" customFormat="false" ht="15" hidden="false" customHeight="false" outlineLevel="0" collapsed="false">
      <c r="A341" s="6" t="s">
        <v>5</v>
      </c>
      <c r="B341" s="7" t="s">
        <v>6</v>
      </c>
      <c r="C341" s="8" t="s">
        <v>7</v>
      </c>
      <c r="D341" s="42" t="s">
        <v>8</v>
      </c>
      <c r="E341" s="43" t="s">
        <v>9</v>
      </c>
    </row>
    <row r="342" customFormat="false" ht="15" hidden="false" customHeight="false" outlineLevel="0" collapsed="false">
      <c r="A342" s="349" t="n">
        <v>1</v>
      </c>
      <c r="B342" s="32" t="s">
        <v>307</v>
      </c>
      <c r="C342" s="16" t="n">
        <v>215000</v>
      </c>
      <c r="D342" s="13"/>
      <c r="E342" s="14" t="n">
        <v>215000</v>
      </c>
    </row>
    <row r="343" customFormat="false" ht="15" hidden="false" customHeight="false" outlineLevel="0" collapsed="false">
      <c r="A343" s="18" t="n">
        <v>2</v>
      </c>
      <c r="B343" s="32" t="s">
        <v>308</v>
      </c>
      <c r="C343" s="16" t="n">
        <v>416500</v>
      </c>
      <c r="D343" s="13" t="n">
        <f aca="false">216000+200500</f>
        <v>416500</v>
      </c>
      <c r="E343" s="14" t="n">
        <f aca="false">C343-D343</f>
        <v>0</v>
      </c>
    </row>
    <row r="344" customFormat="false" ht="15" hidden="false" customHeight="false" outlineLevel="0" collapsed="false">
      <c r="A344" s="18" t="n">
        <v>3</v>
      </c>
      <c r="B344" s="32" t="s">
        <v>309</v>
      </c>
      <c r="C344" s="16" t="n">
        <v>416500</v>
      </c>
      <c r="D344" s="13" t="n">
        <f aca="false">200000+216500</f>
        <v>416500</v>
      </c>
      <c r="E344" s="14" t="n">
        <f aca="false">C344-D344</f>
        <v>0</v>
      </c>
    </row>
    <row r="345" customFormat="false" ht="15" hidden="false" customHeight="false" outlineLevel="0" collapsed="false">
      <c r="A345" s="349" t="n">
        <v>4</v>
      </c>
      <c r="B345" s="32" t="s">
        <v>310</v>
      </c>
      <c r="C345" s="16" t="n">
        <v>416500</v>
      </c>
      <c r="D345" s="13" t="n">
        <f aca="false">200000+216500</f>
        <v>416500</v>
      </c>
      <c r="E345" s="14" t="n">
        <f aca="false">C345-D345</f>
        <v>0</v>
      </c>
    </row>
    <row r="346" customFormat="false" ht="15" hidden="false" customHeight="false" outlineLevel="0" collapsed="false">
      <c r="A346" s="18" t="n">
        <v>5</v>
      </c>
      <c r="B346" s="32" t="s">
        <v>311</v>
      </c>
      <c r="C346" s="16" t="n">
        <v>416500</v>
      </c>
      <c r="D346" s="13"/>
      <c r="E346" s="14" t="n">
        <f aca="false">C346-D346</f>
        <v>416500</v>
      </c>
    </row>
    <row r="347" customFormat="false" ht="15" hidden="false" customHeight="false" outlineLevel="0" collapsed="false">
      <c r="A347" s="18" t="n">
        <v>6</v>
      </c>
      <c r="B347" s="32" t="s">
        <v>312</v>
      </c>
      <c r="C347" s="16" t="n">
        <v>416500</v>
      </c>
      <c r="D347" s="13" t="n">
        <f aca="false">216500+200000</f>
        <v>416500</v>
      </c>
      <c r="E347" s="14" t="n">
        <f aca="false">C347-D347</f>
        <v>0</v>
      </c>
    </row>
    <row r="348" customFormat="false" ht="15" hidden="false" customHeight="false" outlineLevel="0" collapsed="false">
      <c r="A348" s="349" t="n">
        <v>7</v>
      </c>
      <c r="B348" s="32" t="s">
        <v>313</v>
      </c>
      <c r="C348" s="16" t="n">
        <v>416500</v>
      </c>
      <c r="D348" s="13" t="n">
        <f aca="false">200000</f>
        <v>200000</v>
      </c>
      <c r="E348" s="14" t="n">
        <f aca="false">C348-D348</f>
        <v>216500</v>
      </c>
    </row>
    <row r="349" customFormat="false" ht="15" hidden="false" customHeight="false" outlineLevel="0" collapsed="false">
      <c r="A349" s="18" t="n">
        <v>8</v>
      </c>
      <c r="B349" s="32" t="s">
        <v>314</v>
      </c>
      <c r="C349" s="16" t="n">
        <v>416500</v>
      </c>
      <c r="D349" s="13" t="n">
        <f aca="false">216500+200000</f>
        <v>416500</v>
      </c>
      <c r="E349" s="14" t="n">
        <f aca="false">C349-D349</f>
        <v>0</v>
      </c>
    </row>
    <row r="350" customFormat="false" ht="15" hidden="false" customHeight="false" outlineLevel="0" collapsed="false">
      <c r="A350" s="18" t="n">
        <v>9</v>
      </c>
      <c r="B350" s="32" t="s">
        <v>315</v>
      </c>
      <c r="C350" s="16" t="n">
        <v>416500</v>
      </c>
      <c r="D350" s="13" t="n">
        <f aca="false">200000</f>
        <v>200000</v>
      </c>
      <c r="E350" s="14" t="n">
        <f aca="false">C350-D350</f>
        <v>216500</v>
      </c>
    </row>
    <row r="351" customFormat="false" ht="15" hidden="false" customHeight="false" outlineLevel="0" collapsed="false">
      <c r="A351" s="349" t="n">
        <v>10</v>
      </c>
      <c r="B351" s="32" t="s">
        <v>316</v>
      </c>
      <c r="C351" s="16" t="n">
        <v>416500</v>
      </c>
      <c r="D351" s="13" t="n">
        <f aca="false">220000+100000+96500</f>
        <v>416500</v>
      </c>
      <c r="E351" s="14" t="n">
        <f aca="false">C351-D351</f>
        <v>0</v>
      </c>
    </row>
    <row r="352" customFormat="false" ht="15" hidden="false" customHeight="false" outlineLevel="0" collapsed="false">
      <c r="A352" s="18" t="n">
        <v>11</v>
      </c>
      <c r="B352" s="32" t="s">
        <v>317</v>
      </c>
      <c r="C352" s="16" t="n">
        <v>416500</v>
      </c>
      <c r="D352" s="13" t="n">
        <f aca="false">416500</f>
        <v>416500</v>
      </c>
      <c r="E352" s="14" t="n">
        <f aca="false">C352-D352</f>
        <v>0</v>
      </c>
    </row>
    <row r="353" customFormat="false" ht="15" hidden="false" customHeight="false" outlineLevel="0" collapsed="false">
      <c r="A353" s="18" t="n">
        <v>12</v>
      </c>
      <c r="B353" s="32" t="s">
        <v>318</v>
      </c>
      <c r="C353" s="16" t="n">
        <v>416500</v>
      </c>
      <c r="D353" s="13" t="n">
        <f aca="false">216500+125000+75000</f>
        <v>416500</v>
      </c>
      <c r="E353" s="14" t="n">
        <f aca="false">C353-D353</f>
        <v>0</v>
      </c>
    </row>
    <row r="354" customFormat="false" ht="15" hidden="false" customHeight="false" outlineLevel="0" collapsed="false">
      <c r="A354" s="349" t="n">
        <v>13</v>
      </c>
      <c r="B354" s="32" t="s">
        <v>319</v>
      </c>
      <c r="C354" s="16" t="n">
        <v>416500</v>
      </c>
      <c r="D354" s="13" t="n">
        <f aca="false">316500+50000+50000</f>
        <v>416500</v>
      </c>
      <c r="E354" s="14" t="n">
        <f aca="false">C354-D354</f>
        <v>0</v>
      </c>
    </row>
    <row r="355" customFormat="false" ht="15" hidden="false" customHeight="false" outlineLevel="0" collapsed="false">
      <c r="A355" s="18" t="n">
        <v>14</v>
      </c>
      <c r="B355" s="32" t="s">
        <v>320</v>
      </c>
      <c r="C355" s="16" t="n">
        <v>416500</v>
      </c>
      <c r="D355" s="13" t="n">
        <f aca="false">216500+200000</f>
        <v>416500</v>
      </c>
      <c r="E355" s="14" t="n">
        <f aca="false">C355-D355</f>
        <v>0</v>
      </c>
    </row>
    <row r="356" customFormat="false" ht="17.35" hidden="false" customHeight="false" outlineLevel="0" collapsed="false">
      <c r="A356" s="19"/>
      <c r="B356" s="20" t="s">
        <v>22</v>
      </c>
      <c r="C356" s="21" t="n">
        <f aca="false">SUM(C343:C355)</f>
        <v>5414500</v>
      </c>
      <c r="D356" s="22" t="n">
        <f aca="false">SUM(D343:D355)</f>
        <v>4565000</v>
      </c>
      <c r="E356" s="45" t="n">
        <f aca="false">SUM(E343:E355)</f>
        <v>849500</v>
      </c>
    </row>
    <row r="357" customFormat="false" ht="15" hidden="false" customHeight="false" outlineLevel="0" collapsed="false">
      <c r="D357" s="24"/>
      <c r="E357" s="24"/>
    </row>
    <row r="358" customFormat="false" ht="15" hidden="false" customHeight="false" outlineLevel="0" collapsed="false">
      <c r="D358" s="24"/>
      <c r="E358" s="24"/>
    </row>
    <row r="359" customFormat="false" ht="15" hidden="false" customHeight="false" outlineLevel="0" collapsed="false">
      <c r="A359" s="46"/>
      <c r="D359" s="24"/>
      <c r="E359" s="24"/>
    </row>
    <row r="360" customFormat="false" ht="15" hidden="false" customHeight="false" outlineLevel="0" collapsed="false">
      <c r="A360" s="46"/>
      <c r="D360" s="24"/>
      <c r="E360" s="24"/>
    </row>
    <row r="361" customFormat="false" ht="17.35" hidden="false" customHeight="false" outlineLevel="0" collapsed="false">
      <c r="A361" s="40"/>
      <c r="B361" s="2" t="s">
        <v>504</v>
      </c>
      <c r="D361" s="24"/>
      <c r="E361" s="24"/>
    </row>
    <row r="362" customFormat="false" ht="17.35" hidden="false" customHeight="false" outlineLevel="0" collapsed="false">
      <c r="A362" s="62"/>
      <c r="D362" s="24"/>
      <c r="E362" s="24"/>
    </row>
    <row r="363" customFormat="false" ht="15" hidden="false" customHeight="false" outlineLevel="0" collapsed="false">
      <c r="A363" s="40"/>
      <c r="D363" s="24"/>
      <c r="E363" s="24"/>
    </row>
    <row r="364" customFormat="false" ht="17.25" hidden="false" customHeight="false" outlineLevel="0" collapsed="false">
      <c r="A364" s="40"/>
      <c r="B364" s="4" t="s">
        <v>306</v>
      </c>
      <c r="D364" s="24"/>
      <c r="E364" s="24"/>
    </row>
    <row r="365" customFormat="false" ht="15" hidden="false" customHeight="false" outlineLevel="0" collapsed="false">
      <c r="A365" s="40"/>
      <c r="D365" s="25" t="s">
        <v>51</v>
      </c>
      <c r="E365" s="24"/>
    </row>
    <row r="366" customFormat="false" ht="15" hidden="false" customHeight="false" outlineLevel="0" collapsed="false">
      <c r="A366" s="40"/>
      <c r="D366" s="24"/>
      <c r="E366" s="24"/>
    </row>
    <row r="367" customFormat="false" ht="15" hidden="false" customHeight="false" outlineLevel="0" collapsed="false">
      <c r="A367" s="6" t="s">
        <v>5</v>
      </c>
      <c r="B367" s="7" t="s">
        <v>6</v>
      </c>
      <c r="C367" s="8" t="s">
        <v>7</v>
      </c>
      <c r="D367" s="42" t="s">
        <v>8</v>
      </c>
      <c r="E367" s="43" t="s">
        <v>9</v>
      </c>
    </row>
    <row r="368" customFormat="false" ht="15" hidden="false" customHeight="false" outlineLevel="0" collapsed="false">
      <c r="A368" s="49" t="n">
        <v>1</v>
      </c>
      <c r="B368" s="32" t="s">
        <v>443</v>
      </c>
      <c r="C368" s="16" t="n">
        <v>416500</v>
      </c>
      <c r="D368" s="13" t="n">
        <f aca="false">200000+16500+100000+100000</f>
        <v>416500</v>
      </c>
      <c r="E368" s="14" t="n">
        <f aca="false">C368-D368</f>
        <v>0</v>
      </c>
    </row>
    <row r="369" customFormat="false" ht="15" hidden="false" customHeight="false" outlineLevel="0" collapsed="false">
      <c r="A369" s="18" t="n">
        <v>2</v>
      </c>
      <c r="B369" s="44" t="s">
        <v>444</v>
      </c>
      <c r="C369" s="16" t="n">
        <v>416500</v>
      </c>
      <c r="D369" s="13" t="n">
        <f aca="false">216500+200000</f>
        <v>416500</v>
      </c>
      <c r="E369" s="14" t="n">
        <f aca="false">C369-D369</f>
        <v>0</v>
      </c>
    </row>
    <row r="370" customFormat="false" ht="15" hidden="false" customHeight="false" outlineLevel="0" collapsed="false">
      <c r="A370" s="18" t="n">
        <v>3</v>
      </c>
      <c r="B370" s="32" t="s">
        <v>445</v>
      </c>
      <c r="C370" s="16" t="n">
        <v>416500</v>
      </c>
      <c r="D370" s="13" t="n">
        <f aca="false">100000</f>
        <v>100000</v>
      </c>
      <c r="E370" s="14" t="n">
        <f aca="false">C370-D370</f>
        <v>316500</v>
      </c>
    </row>
    <row r="371" customFormat="false" ht="15" hidden="false" customHeight="false" outlineLevel="0" collapsed="false">
      <c r="A371" s="49" t="n">
        <v>4</v>
      </c>
      <c r="B371" s="32" t="s">
        <v>446</v>
      </c>
      <c r="C371" s="16" t="n">
        <v>416500</v>
      </c>
      <c r="D371" s="13" t="n">
        <f aca="false">216500+200000</f>
        <v>416500</v>
      </c>
      <c r="E371" s="14" t="n">
        <f aca="false">C371-D371</f>
        <v>0</v>
      </c>
    </row>
    <row r="372" customFormat="false" ht="15" hidden="false" customHeight="false" outlineLevel="0" collapsed="false">
      <c r="A372" s="18" t="n">
        <v>5</v>
      </c>
      <c r="B372" s="32" t="s">
        <v>447</v>
      </c>
      <c r="C372" s="16" t="n">
        <v>416500</v>
      </c>
      <c r="D372" s="13" t="n">
        <f aca="false">200000+16500+200000</f>
        <v>416500</v>
      </c>
      <c r="E372" s="14" t="n">
        <f aca="false">C372-D372</f>
        <v>0</v>
      </c>
    </row>
    <row r="373" customFormat="false" ht="15" hidden="false" customHeight="false" outlineLevel="0" collapsed="false">
      <c r="A373" s="49" t="n">
        <v>6</v>
      </c>
      <c r="B373" s="32" t="s">
        <v>448</v>
      </c>
      <c r="C373" s="16" t="n">
        <v>416500</v>
      </c>
      <c r="D373" s="13" t="n">
        <f aca="false">216500+200000</f>
        <v>416500</v>
      </c>
      <c r="E373" s="14" t="n">
        <f aca="false">C373-D373</f>
        <v>0</v>
      </c>
    </row>
    <row r="374" customFormat="false" ht="15" hidden="false" customHeight="false" outlineLevel="0" collapsed="false">
      <c r="A374" s="56" t="n">
        <v>7</v>
      </c>
      <c r="B374" s="32" t="s">
        <v>449</v>
      </c>
      <c r="C374" s="16" t="n">
        <v>416500</v>
      </c>
      <c r="D374" s="13" t="n">
        <f aca="false">250000+166500</f>
        <v>416500</v>
      </c>
      <c r="E374" s="14" t="n">
        <f aca="false">C374-D374</f>
        <v>0</v>
      </c>
    </row>
    <row r="375" customFormat="false" ht="15" hidden="false" customHeight="false" outlineLevel="0" collapsed="false">
      <c r="A375" s="72" t="n">
        <v>8</v>
      </c>
      <c r="B375" s="32" t="s">
        <v>450</v>
      </c>
      <c r="C375" s="16" t="n">
        <v>416500</v>
      </c>
      <c r="D375" s="13" t="n">
        <f aca="false">216500+200000</f>
        <v>416500</v>
      </c>
      <c r="E375" s="14" t="n">
        <f aca="false">C375-D375</f>
        <v>0</v>
      </c>
    </row>
    <row r="376" customFormat="false" ht="15" hidden="false" customHeight="false" outlineLevel="0" collapsed="false">
      <c r="A376" s="49" t="n">
        <v>9</v>
      </c>
      <c r="B376" s="32" t="s">
        <v>451</v>
      </c>
      <c r="C376" s="16" t="n">
        <v>416500</v>
      </c>
      <c r="D376" s="13" t="n">
        <f aca="false">226500+190000</f>
        <v>416500</v>
      </c>
      <c r="E376" s="14" t="n">
        <f aca="false">C376-D376</f>
        <v>0</v>
      </c>
    </row>
    <row r="377" customFormat="false" ht="15" hidden="false" customHeight="false" outlineLevel="0" collapsed="false">
      <c r="A377" s="49" t="n">
        <v>10</v>
      </c>
      <c r="B377" s="44" t="s">
        <v>452</v>
      </c>
      <c r="C377" s="16" t="n">
        <v>416500</v>
      </c>
      <c r="D377" s="13" t="n">
        <f aca="false">416500</f>
        <v>416500</v>
      </c>
      <c r="E377" s="14" t="n">
        <f aca="false">C377-D377</f>
        <v>0</v>
      </c>
    </row>
    <row r="378" customFormat="false" ht="15" hidden="false" customHeight="false" outlineLevel="0" collapsed="false">
      <c r="A378" s="49" t="n">
        <v>11</v>
      </c>
      <c r="B378" s="32" t="s">
        <v>453</v>
      </c>
      <c r="C378" s="16" t="n">
        <v>416500</v>
      </c>
      <c r="D378" s="13" t="n">
        <f aca="false">216500+200000</f>
        <v>416500</v>
      </c>
      <c r="E378" s="14" t="n">
        <f aca="false">C378-D378</f>
        <v>0</v>
      </c>
    </row>
    <row r="379" customFormat="false" ht="15" hidden="false" customHeight="false" outlineLevel="0" collapsed="false">
      <c r="A379" s="18" t="n">
        <v>12</v>
      </c>
      <c r="B379" s="32" t="s">
        <v>454</v>
      </c>
      <c r="C379" s="16" t="n">
        <v>225000</v>
      </c>
      <c r="D379" s="13" t="n">
        <f aca="false">99500+125000</f>
        <v>224500</v>
      </c>
      <c r="E379" s="14" t="n">
        <f aca="false">C379-D379</f>
        <v>500</v>
      </c>
    </row>
    <row r="380" customFormat="false" ht="15" hidden="false" customHeight="false" outlineLevel="0" collapsed="false">
      <c r="A380" s="18" t="n">
        <v>13</v>
      </c>
      <c r="B380" s="32" t="s">
        <v>455</v>
      </c>
      <c r="C380" s="16" t="n">
        <v>416500</v>
      </c>
      <c r="D380" s="13" t="n">
        <f aca="false">220000+196500</f>
        <v>416500</v>
      </c>
      <c r="E380" s="14" t="n">
        <f aca="false">C380-D380</f>
        <v>0</v>
      </c>
    </row>
    <row r="381" customFormat="false" ht="15" hidden="false" customHeight="false" outlineLevel="0" collapsed="false">
      <c r="A381" s="72" t="n">
        <v>14</v>
      </c>
      <c r="B381" s="32" t="s">
        <v>456</v>
      </c>
      <c r="C381" s="16" t="n">
        <v>416500</v>
      </c>
      <c r="D381" s="13" t="n">
        <f aca="false">216500+200000</f>
        <v>416500</v>
      </c>
      <c r="E381" s="14" t="n">
        <f aca="false">C381-D381</f>
        <v>0</v>
      </c>
    </row>
    <row r="382" customFormat="false" ht="15" hidden="false" customHeight="false" outlineLevel="0" collapsed="false">
      <c r="A382" s="72" t="n">
        <v>15</v>
      </c>
      <c r="B382" s="32" t="s">
        <v>457</v>
      </c>
      <c r="C382" s="16" t="n">
        <v>416500</v>
      </c>
      <c r="D382" s="13" t="n">
        <f aca="false">216500+150000</f>
        <v>366500</v>
      </c>
      <c r="E382" s="14" t="n">
        <f aca="false">C382-D382</f>
        <v>50000</v>
      </c>
    </row>
    <row r="383" customFormat="false" ht="15" hidden="false" customHeight="false" outlineLevel="0" collapsed="false">
      <c r="A383" s="72" t="n">
        <v>16</v>
      </c>
      <c r="B383" s="32" t="s">
        <v>458</v>
      </c>
      <c r="C383" s="16" t="n">
        <v>416500</v>
      </c>
      <c r="D383" s="13" t="n">
        <f aca="false">116500+100000+100000+100000</f>
        <v>416500</v>
      </c>
      <c r="E383" s="14" t="n">
        <f aca="false">C383-D383</f>
        <v>0</v>
      </c>
    </row>
    <row r="384" customFormat="false" ht="15" hidden="false" customHeight="false" outlineLevel="0" collapsed="false">
      <c r="A384" s="72" t="n">
        <v>17</v>
      </c>
      <c r="B384" s="32" t="s">
        <v>459</v>
      </c>
      <c r="C384" s="16" t="n">
        <v>416500</v>
      </c>
      <c r="D384" s="13" t="n">
        <f aca="false">216500+100000+100000</f>
        <v>416500</v>
      </c>
      <c r="E384" s="14" t="n">
        <f aca="false">C384-D384</f>
        <v>0</v>
      </c>
    </row>
    <row r="385" customFormat="false" ht="15" hidden="false" customHeight="false" outlineLevel="0" collapsed="false">
      <c r="A385" s="72" t="n">
        <v>18</v>
      </c>
      <c r="B385" s="44" t="s">
        <v>460</v>
      </c>
      <c r="C385" s="16" t="n">
        <v>416500</v>
      </c>
      <c r="D385" s="13" t="n">
        <f aca="false">220000+196500</f>
        <v>416500</v>
      </c>
      <c r="E385" s="14" t="n">
        <f aca="false">C385-D385</f>
        <v>0</v>
      </c>
    </row>
    <row r="386" customFormat="false" ht="15" hidden="false" customHeight="false" outlineLevel="0" collapsed="false">
      <c r="A386" s="72" t="n">
        <v>19</v>
      </c>
      <c r="B386" s="32" t="s">
        <v>461</v>
      </c>
      <c r="C386" s="16" t="n">
        <v>416500</v>
      </c>
      <c r="D386" s="13" t="n">
        <f aca="false">16500+200000+200000</f>
        <v>416500</v>
      </c>
      <c r="E386" s="14" t="n">
        <f aca="false">C386-D386</f>
        <v>0</v>
      </c>
    </row>
    <row r="387" customFormat="false" ht="15" hidden="false" customHeight="false" outlineLevel="0" collapsed="false">
      <c r="A387" s="72" t="n">
        <v>20</v>
      </c>
      <c r="B387" s="32" t="s">
        <v>462</v>
      </c>
      <c r="C387" s="16" t="n">
        <v>416500</v>
      </c>
      <c r="D387" s="13" t="n">
        <f aca="false">216500+150000+50000</f>
        <v>416500</v>
      </c>
      <c r="E387" s="14" t="n">
        <f aca="false">C387-D387</f>
        <v>0</v>
      </c>
    </row>
    <row r="388" customFormat="false" ht="15" hidden="false" customHeight="false" outlineLevel="0" collapsed="false">
      <c r="A388" s="72" t="n">
        <v>21</v>
      </c>
      <c r="B388" s="32" t="s">
        <v>463</v>
      </c>
      <c r="C388" s="16" t="n">
        <v>416500</v>
      </c>
      <c r="D388" s="13" t="n">
        <f aca="false">216500</f>
        <v>216500</v>
      </c>
      <c r="E388" s="14" t="n">
        <f aca="false">C388-D388</f>
        <v>200000</v>
      </c>
    </row>
    <row r="389" customFormat="false" ht="15" hidden="false" customHeight="false" outlineLevel="0" collapsed="false">
      <c r="A389" s="72" t="n">
        <v>22</v>
      </c>
      <c r="B389" s="32" t="s">
        <v>464</v>
      </c>
      <c r="C389" s="16" t="n">
        <v>416500</v>
      </c>
      <c r="D389" s="13" t="n">
        <f aca="false">416500</f>
        <v>416500</v>
      </c>
      <c r="E389" s="14" t="n">
        <f aca="false">C389-D389</f>
        <v>0</v>
      </c>
    </row>
    <row r="390" customFormat="false" ht="15" hidden="false" customHeight="false" outlineLevel="0" collapsed="false">
      <c r="A390" s="72" t="n">
        <v>23</v>
      </c>
      <c r="B390" s="44" t="s">
        <v>465</v>
      </c>
      <c r="C390" s="16" t="n">
        <v>416500</v>
      </c>
      <c r="D390" s="13" t="n">
        <f aca="false">220000</f>
        <v>220000</v>
      </c>
      <c r="E390" s="14" t="n">
        <f aca="false">C390-D390</f>
        <v>196500</v>
      </c>
    </row>
    <row r="391" customFormat="false" ht="15" hidden="false" customHeight="false" outlineLevel="0" collapsed="false">
      <c r="A391" s="72" t="n">
        <v>24</v>
      </c>
      <c r="B391" s="32" t="s">
        <v>466</v>
      </c>
      <c r="C391" s="16" t="n">
        <v>416500</v>
      </c>
      <c r="D391" s="13" t="n">
        <f aca="false">216500+150000+50000</f>
        <v>416500</v>
      </c>
      <c r="E391" s="14" t="n">
        <f aca="false">C391-D391</f>
        <v>0</v>
      </c>
    </row>
    <row r="392" customFormat="false" ht="15" hidden="false" customHeight="false" outlineLevel="0" collapsed="false">
      <c r="A392" s="18" t="n">
        <v>25</v>
      </c>
      <c r="B392" s="32" t="s">
        <v>467</v>
      </c>
      <c r="C392" s="16" t="n">
        <v>416500</v>
      </c>
      <c r="D392" s="13" t="n">
        <f aca="false">200000+16500+200000</f>
        <v>416500</v>
      </c>
      <c r="E392" s="14" t="n">
        <f aca="false">C392-D392</f>
        <v>0</v>
      </c>
    </row>
    <row r="393" customFormat="false" ht="15" hidden="false" customHeight="false" outlineLevel="0" collapsed="false">
      <c r="A393" s="18" t="n">
        <v>26</v>
      </c>
      <c r="B393" s="32" t="s">
        <v>468</v>
      </c>
      <c r="C393" s="13" t="n">
        <v>416500</v>
      </c>
      <c r="D393" s="13" t="n">
        <v>416500</v>
      </c>
      <c r="E393" s="14" t="n">
        <f aca="false">C393-D393</f>
        <v>0</v>
      </c>
    </row>
    <row r="394" customFormat="false" ht="15" hidden="false" customHeight="false" outlineLevel="0" collapsed="false">
      <c r="A394" s="18" t="n">
        <v>27</v>
      </c>
      <c r="B394" s="32" t="s">
        <v>469</v>
      </c>
      <c r="C394" s="16" t="n">
        <v>416500</v>
      </c>
      <c r="D394" s="13" t="n">
        <f aca="false">216500+200000</f>
        <v>416500</v>
      </c>
      <c r="E394" s="14" t="n">
        <f aca="false">C394-D394</f>
        <v>0</v>
      </c>
    </row>
    <row r="395" customFormat="false" ht="15" hidden="false" customHeight="false" outlineLevel="0" collapsed="false">
      <c r="A395" s="18" t="n">
        <v>28</v>
      </c>
      <c r="B395" s="32" t="s">
        <v>470</v>
      </c>
      <c r="C395" s="16" t="n">
        <v>416500</v>
      </c>
      <c r="D395" s="13" t="n">
        <f aca="false">216500+200000</f>
        <v>416500</v>
      </c>
      <c r="E395" s="14" t="n">
        <f aca="false">C395-D395</f>
        <v>0</v>
      </c>
    </row>
    <row r="396" customFormat="false" ht="15" hidden="false" customHeight="false" outlineLevel="0" collapsed="false">
      <c r="A396" s="18" t="n">
        <v>29</v>
      </c>
      <c r="B396" s="32" t="s">
        <v>471</v>
      </c>
      <c r="C396" s="16" t="n">
        <v>416500</v>
      </c>
      <c r="D396" s="13" t="n">
        <f aca="false">60500+100000+256000</f>
        <v>416500</v>
      </c>
      <c r="E396" s="14" t="n">
        <f aca="false">C396-D396</f>
        <v>0</v>
      </c>
    </row>
    <row r="397" customFormat="false" ht="15" hidden="false" customHeight="false" outlineLevel="0" collapsed="false">
      <c r="A397" s="18" t="n">
        <v>30</v>
      </c>
      <c r="B397" s="32" t="s">
        <v>472</v>
      </c>
      <c r="C397" s="16" t="n">
        <v>416500</v>
      </c>
      <c r="D397" s="13" t="n">
        <f aca="false">217500+200000</f>
        <v>417500</v>
      </c>
      <c r="E397" s="14" t="n">
        <f aca="false">C397-D397</f>
        <v>-1000</v>
      </c>
    </row>
    <row r="398" customFormat="false" ht="15" hidden="false" customHeight="false" outlineLevel="0" collapsed="false">
      <c r="A398" s="18" t="n">
        <v>31</v>
      </c>
      <c r="B398" s="32" t="s">
        <v>473</v>
      </c>
      <c r="C398" s="16" t="n">
        <v>416500</v>
      </c>
      <c r="D398" s="13" t="n">
        <f aca="false">216500+200000</f>
        <v>416500</v>
      </c>
      <c r="E398" s="14" t="n">
        <f aca="false">C398-D398</f>
        <v>0</v>
      </c>
    </row>
    <row r="399" customFormat="false" ht="15" hidden="false" customHeight="false" outlineLevel="0" collapsed="false">
      <c r="A399" s="18" t="n">
        <v>32</v>
      </c>
      <c r="B399" s="32" t="s">
        <v>474</v>
      </c>
      <c r="C399" s="16" t="n">
        <v>416500</v>
      </c>
      <c r="D399" s="13" t="n">
        <v>416500</v>
      </c>
      <c r="E399" s="14" t="n">
        <f aca="false">C399-D399</f>
        <v>0</v>
      </c>
    </row>
    <row r="400" customFormat="false" ht="15" hidden="false" customHeight="false" outlineLevel="0" collapsed="false">
      <c r="A400" s="18" t="n">
        <v>33</v>
      </c>
      <c r="B400" s="68" t="s">
        <v>475</v>
      </c>
      <c r="C400" s="16" t="n">
        <v>416500</v>
      </c>
      <c r="D400" s="13" t="n">
        <f aca="false">216500+200000</f>
        <v>416500</v>
      </c>
      <c r="E400" s="14" t="n">
        <f aca="false">C400-D400</f>
        <v>0</v>
      </c>
    </row>
    <row r="401" customFormat="false" ht="17.35" hidden="false" customHeight="false" outlineLevel="0" collapsed="false">
      <c r="A401" s="18"/>
      <c r="B401" s="20" t="s">
        <v>22</v>
      </c>
      <c r="C401" s="21" t="n">
        <f aca="false">SUM(C368:C400)</f>
        <v>13553000</v>
      </c>
      <c r="D401" s="22" t="n">
        <f aca="false">SUM(D368:D400)</f>
        <v>12790500</v>
      </c>
      <c r="E401" s="45" t="n">
        <f aca="false">SUM(E368:E400)</f>
        <v>762500</v>
      </c>
    </row>
    <row r="402" customFormat="false" ht="15" hidden="false" customHeight="false" outlineLevel="0" collapsed="false">
      <c r="A402" s="46"/>
      <c r="D402" s="24"/>
      <c r="E402" s="24"/>
    </row>
    <row r="403" customFormat="false" ht="15" hidden="false" customHeight="false" outlineLevel="0" collapsed="false">
      <c r="A403" s="46"/>
      <c r="D403" s="24"/>
      <c r="E403" s="24"/>
    </row>
    <row r="404" customFormat="false" ht="17.35" hidden="false" customHeight="false" outlineLevel="0" collapsed="false">
      <c r="A404" s="40"/>
      <c r="B404" s="2" t="s">
        <v>504</v>
      </c>
      <c r="D404" s="24"/>
      <c r="E404" s="24"/>
    </row>
    <row r="405" customFormat="false" ht="17.35" hidden="false" customHeight="false" outlineLevel="0" collapsed="false">
      <c r="A405" s="62"/>
      <c r="D405" s="24"/>
      <c r="E405" s="24"/>
    </row>
    <row r="406" customFormat="false" ht="15" hidden="false" customHeight="false" outlineLevel="0" collapsed="false">
      <c r="A406" s="40"/>
      <c r="D406" s="24"/>
      <c r="E406" s="24"/>
    </row>
    <row r="407" customFormat="false" ht="17.25" hidden="false" customHeight="false" outlineLevel="0" collapsed="false">
      <c r="A407" s="40"/>
      <c r="B407" s="4" t="s">
        <v>357</v>
      </c>
      <c r="D407" s="24"/>
      <c r="E407" s="24"/>
    </row>
    <row r="408" customFormat="false" ht="15" hidden="false" customHeight="false" outlineLevel="0" collapsed="false">
      <c r="A408" s="40"/>
      <c r="D408" s="25" t="s">
        <v>4</v>
      </c>
      <c r="E408" s="24"/>
    </row>
    <row r="409" customFormat="false" ht="15" hidden="false" customHeight="false" outlineLevel="0" collapsed="false">
      <c r="A409" s="40"/>
      <c r="D409" s="24"/>
      <c r="E409" s="24"/>
    </row>
    <row r="410" customFormat="false" ht="15" hidden="false" customHeight="false" outlineLevel="0" collapsed="false">
      <c r="A410" s="6" t="s">
        <v>5</v>
      </c>
      <c r="B410" s="7" t="s">
        <v>6</v>
      </c>
      <c r="C410" s="8" t="s">
        <v>7</v>
      </c>
      <c r="D410" s="42" t="s">
        <v>8</v>
      </c>
      <c r="E410" s="43" t="s">
        <v>9</v>
      </c>
    </row>
    <row r="411" customFormat="false" ht="15" hidden="false" customHeight="false" outlineLevel="0" collapsed="false">
      <c r="A411" s="18" t="n">
        <v>1</v>
      </c>
      <c r="B411" s="32" t="s">
        <v>358</v>
      </c>
      <c r="C411" s="16" t="n">
        <v>416500</v>
      </c>
      <c r="D411" s="13" t="n">
        <f aca="false">216500+200000</f>
        <v>416500</v>
      </c>
      <c r="E411" s="14" t="n">
        <f aca="false">C411-D411</f>
        <v>0</v>
      </c>
    </row>
    <row r="412" customFormat="false" ht="15" hidden="false" customHeight="false" outlineLevel="0" collapsed="false">
      <c r="A412" s="49" t="n">
        <v>2</v>
      </c>
      <c r="B412" s="32" t="s">
        <v>359</v>
      </c>
      <c r="C412" s="16" t="n">
        <v>416500</v>
      </c>
      <c r="D412" s="13" t="n">
        <f aca="false">200000+16500+100000+100000</f>
        <v>416500</v>
      </c>
      <c r="E412" s="14" t="n">
        <f aca="false">C412-D412</f>
        <v>0</v>
      </c>
    </row>
    <row r="413" customFormat="false" ht="15" hidden="false" customHeight="false" outlineLevel="0" collapsed="false">
      <c r="A413" s="49" t="n">
        <v>3</v>
      </c>
      <c r="B413" s="32" t="s">
        <v>360</v>
      </c>
      <c r="C413" s="16" t="n">
        <v>416500</v>
      </c>
      <c r="D413" s="13" t="n">
        <f aca="false">215000+201500</f>
        <v>416500</v>
      </c>
      <c r="E413" s="14" t="n">
        <f aca="false">C413-D413</f>
        <v>0</v>
      </c>
    </row>
    <row r="414" customFormat="false" ht="15" hidden="false" customHeight="false" outlineLevel="0" collapsed="false">
      <c r="A414" s="18" t="n">
        <v>4</v>
      </c>
      <c r="B414" s="32" t="s">
        <v>361</v>
      </c>
      <c r="C414" s="16" t="n">
        <v>416500</v>
      </c>
      <c r="D414" s="13" t="n">
        <f aca="false">216500+100000+100000</f>
        <v>416500</v>
      </c>
      <c r="E414" s="14" t="n">
        <f aca="false">C414-D414</f>
        <v>0</v>
      </c>
    </row>
    <row r="415" customFormat="false" ht="15" hidden="false" customHeight="false" outlineLevel="0" collapsed="false">
      <c r="A415" s="49" t="n">
        <v>5</v>
      </c>
      <c r="B415" s="32" t="s">
        <v>362</v>
      </c>
      <c r="C415" s="16" t="n">
        <v>416500</v>
      </c>
      <c r="D415" s="13"/>
      <c r="E415" s="14" t="n">
        <f aca="false">C415-D415</f>
        <v>416500</v>
      </c>
    </row>
    <row r="416" customFormat="false" ht="15" hidden="false" customHeight="false" outlineLevel="0" collapsed="false">
      <c r="A416" s="49" t="n">
        <v>6</v>
      </c>
      <c r="B416" s="32" t="s">
        <v>363</v>
      </c>
      <c r="C416" s="16" t="n">
        <v>416500</v>
      </c>
      <c r="D416" s="13" t="n">
        <f aca="false">217000+199500</f>
        <v>416500</v>
      </c>
      <c r="E416" s="14" t="n">
        <f aca="false">C416-D416</f>
        <v>0</v>
      </c>
    </row>
    <row r="417" customFormat="false" ht="15" hidden="false" customHeight="false" outlineLevel="0" collapsed="false">
      <c r="A417" s="18" t="n">
        <v>7</v>
      </c>
      <c r="B417" s="32" t="s">
        <v>364</v>
      </c>
      <c r="C417" s="16" t="n">
        <v>416500</v>
      </c>
      <c r="D417" s="13" t="n">
        <f aca="false">215500+200500</f>
        <v>416000</v>
      </c>
      <c r="E417" s="14" t="n">
        <f aca="false">C417-D417</f>
        <v>500</v>
      </c>
    </row>
    <row r="418" customFormat="false" ht="15" hidden="false" customHeight="false" outlineLevel="0" collapsed="false">
      <c r="A418" s="49" t="n">
        <v>8</v>
      </c>
      <c r="B418" s="32" t="s">
        <v>365</v>
      </c>
      <c r="C418" s="16" t="n">
        <v>416500</v>
      </c>
      <c r="D418" s="13" t="n">
        <f aca="false">216500+200000</f>
        <v>416500</v>
      </c>
      <c r="E418" s="14" t="n">
        <f aca="false">C418-D418</f>
        <v>0</v>
      </c>
    </row>
    <row r="419" customFormat="false" ht="15" hidden="false" customHeight="false" outlineLevel="0" collapsed="false">
      <c r="A419" s="49" t="n">
        <v>9</v>
      </c>
      <c r="B419" s="32" t="s">
        <v>366</v>
      </c>
      <c r="C419" s="16" t="n">
        <v>416500</v>
      </c>
      <c r="D419" s="13" t="n">
        <f aca="false">316500</f>
        <v>316500</v>
      </c>
      <c r="E419" s="14" t="n">
        <f aca="false">C419-D419</f>
        <v>100000</v>
      </c>
    </row>
    <row r="420" customFormat="false" ht="15" hidden="false" customHeight="false" outlineLevel="0" collapsed="false">
      <c r="A420" s="18" t="n">
        <v>10</v>
      </c>
      <c r="B420" s="32" t="s">
        <v>367</v>
      </c>
      <c r="C420" s="16" t="n">
        <v>416500</v>
      </c>
      <c r="D420" s="13" t="n">
        <v>416500</v>
      </c>
      <c r="E420" s="14" t="n">
        <f aca="false">C420-D420</f>
        <v>0</v>
      </c>
    </row>
    <row r="421" customFormat="false" ht="15" hidden="false" customHeight="false" outlineLevel="0" collapsed="false">
      <c r="A421" s="49" t="n">
        <v>11</v>
      </c>
      <c r="B421" s="32" t="s">
        <v>368</v>
      </c>
      <c r="C421" s="16" t="n">
        <v>416500</v>
      </c>
      <c r="D421" s="13" t="n">
        <f aca="false">220000+196500</f>
        <v>416500</v>
      </c>
      <c r="E421" s="14" t="n">
        <f aca="false">C421-D421</f>
        <v>0</v>
      </c>
    </row>
    <row r="422" customFormat="false" ht="15" hidden="false" customHeight="false" outlineLevel="0" collapsed="false">
      <c r="A422" s="49" t="n">
        <v>12</v>
      </c>
      <c r="B422" s="32" t="s">
        <v>369</v>
      </c>
      <c r="C422" s="16" t="n">
        <v>416500</v>
      </c>
      <c r="D422" s="13" t="n">
        <f aca="false">216500</f>
        <v>216500</v>
      </c>
      <c r="E422" s="14" t="n">
        <f aca="false">C422-D422</f>
        <v>200000</v>
      </c>
    </row>
    <row r="423" customFormat="false" ht="15" hidden="false" customHeight="false" outlineLevel="0" collapsed="false">
      <c r="A423" s="18" t="n">
        <v>13</v>
      </c>
      <c r="B423" s="32" t="s">
        <v>370</v>
      </c>
      <c r="C423" s="16" t="n">
        <v>416500</v>
      </c>
      <c r="D423" s="13" t="n">
        <f aca="false">217000</f>
        <v>217000</v>
      </c>
      <c r="E423" s="14" t="n">
        <f aca="false">C423-D423</f>
        <v>199500</v>
      </c>
    </row>
    <row r="424" customFormat="false" ht="15" hidden="false" customHeight="false" outlineLevel="0" collapsed="false">
      <c r="A424" s="49" t="n">
        <v>14</v>
      </c>
      <c r="B424" s="32" t="s">
        <v>1411</v>
      </c>
      <c r="C424" s="16" t="n">
        <v>416500</v>
      </c>
      <c r="D424" s="13" t="n">
        <f aca="false">216000</f>
        <v>216000</v>
      </c>
      <c r="E424" s="14" t="n">
        <f aca="false">C424-D424</f>
        <v>200500</v>
      </c>
    </row>
    <row r="425" customFormat="false" ht="15" hidden="false" customHeight="false" outlineLevel="0" collapsed="false">
      <c r="A425" s="49" t="n">
        <v>15</v>
      </c>
      <c r="B425" s="32" t="s">
        <v>371</v>
      </c>
      <c r="C425" s="16" t="n">
        <v>416500</v>
      </c>
      <c r="D425" s="13" t="n">
        <f aca="false">250000+166500</f>
        <v>416500</v>
      </c>
      <c r="E425" s="14" t="n">
        <f aca="false">C425-D425</f>
        <v>0</v>
      </c>
    </row>
    <row r="426" customFormat="false" ht="15" hidden="false" customHeight="false" outlineLevel="0" collapsed="false">
      <c r="A426" s="18" t="n">
        <v>16</v>
      </c>
      <c r="B426" s="32" t="s">
        <v>372</v>
      </c>
      <c r="C426" s="16" t="n">
        <v>416500</v>
      </c>
      <c r="D426" s="13" t="n">
        <f aca="false">200000+100000+116500</f>
        <v>416500</v>
      </c>
      <c r="E426" s="14" t="n">
        <f aca="false">C426-D426</f>
        <v>0</v>
      </c>
    </row>
    <row r="427" customFormat="false" ht="15" hidden="false" customHeight="false" outlineLevel="0" collapsed="false">
      <c r="A427" s="49" t="n">
        <v>17</v>
      </c>
      <c r="B427" s="32" t="s">
        <v>373</v>
      </c>
      <c r="C427" s="16" t="n">
        <v>416500</v>
      </c>
      <c r="D427" s="13" t="n">
        <v>416500</v>
      </c>
      <c r="E427" s="14" t="n">
        <f aca="false">C427-D427</f>
        <v>0</v>
      </c>
    </row>
    <row r="428" customFormat="false" ht="15" hidden="false" customHeight="false" outlineLevel="0" collapsed="false">
      <c r="A428" s="49" t="n">
        <v>18</v>
      </c>
      <c r="B428" s="32" t="s">
        <v>374</v>
      </c>
      <c r="C428" s="16" t="n">
        <v>416500</v>
      </c>
      <c r="D428" s="13" t="n">
        <f aca="false">206500+60000</f>
        <v>266500</v>
      </c>
      <c r="E428" s="14" t="n">
        <f aca="false">C428-D428</f>
        <v>150000</v>
      </c>
    </row>
    <row r="429" customFormat="false" ht="15" hidden="false" customHeight="false" outlineLevel="0" collapsed="false">
      <c r="A429" s="18" t="n">
        <v>19</v>
      </c>
      <c r="B429" s="32" t="s">
        <v>375</v>
      </c>
      <c r="C429" s="16" t="n">
        <v>416500</v>
      </c>
      <c r="D429" s="13" t="n">
        <f aca="false">216500+200000</f>
        <v>416500</v>
      </c>
      <c r="E429" s="14" t="n">
        <f aca="false">C429-D429</f>
        <v>0</v>
      </c>
    </row>
    <row r="430" customFormat="false" ht="15" hidden="false" customHeight="false" outlineLevel="0" collapsed="false">
      <c r="A430" s="49" t="n">
        <v>20</v>
      </c>
      <c r="B430" s="32" t="s">
        <v>376</v>
      </c>
      <c r="C430" s="16" t="n">
        <v>416500</v>
      </c>
      <c r="D430" s="13" t="n">
        <f aca="false">100000+50000+217000</f>
        <v>367000</v>
      </c>
      <c r="E430" s="14" t="n">
        <f aca="false">C430-D430</f>
        <v>49500</v>
      </c>
    </row>
    <row r="431" customFormat="false" ht="15" hidden="false" customHeight="false" outlineLevel="0" collapsed="false">
      <c r="A431" s="49" t="n">
        <v>21</v>
      </c>
      <c r="B431" s="32" t="s">
        <v>377</v>
      </c>
      <c r="C431" s="16" t="n">
        <v>416500</v>
      </c>
      <c r="D431" s="13" t="n">
        <f aca="false">300000</f>
        <v>300000</v>
      </c>
      <c r="E431" s="14" t="n">
        <f aca="false">C431-D431</f>
        <v>116500</v>
      </c>
    </row>
    <row r="432" customFormat="false" ht="15" hidden="false" customHeight="false" outlineLevel="0" collapsed="false">
      <c r="A432" s="18" t="n">
        <v>22</v>
      </c>
      <c r="B432" s="32" t="s">
        <v>378</v>
      </c>
      <c r="C432" s="16" t="n">
        <v>416500</v>
      </c>
      <c r="D432" s="13" t="n">
        <f aca="false">217000+199500</f>
        <v>416500</v>
      </c>
      <c r="E432" s="14" t="n">
        <f aca="false">C432-D432</f>
        <v>0</v>
      </c>
    </row>
    <row r="433" customFormat="false" ht="15" hidden="false" customHeight="false" outlineLevel="0" collapsed="false">
      <c r="A433" s="49" t="n">
        <v>23</v>
      </c>
      <c r="B433" s="32" t="s">
        <v>1563</v>
      </c>
      <c r="C433" s="16" t="s">
        <v>128</v>
      </c>
      <c r="D433" s="13" t="s">
        <v>128</v>
      </c>
      <c r="E433" s="14" t="s">
        <v>128</v>
      </c>
    </row>
    <row r="434" customFormat="false" ht="15" hidden="false" customHeight="false" outlineLevel="0" collapsed="false">
      <c r="A434" s="49" t="n">
        <v>24</v>
      </c>
      <c r="B434" s="32" t="s">
        <v>379</v>
      </c>
      <c r="C434" s="16" t="n">
        <v>416500</v>
      </c>
      <c r="D434" s="13" t="n">
        <f aca="false">216500+200000</f>
        <v>416500</v>
      </c>
      <c r="E434" s="14" t="n">
        <f aca="false">C434-D434</f>
        <v>0</v>
      </c>
    </row>
    <row r="435" customFormat="false" ht="15" hidden="false" customHeight="false" outlineLevel="0" collapsed="false">
      <c r="A435" s="18" t="n">
        <v>25</v>
      </c>
      <c r="B435" s="32" t="s">
        <v>380</v>
      </c>
      <c r="C435" s="16" t="n">
        <v>416500</v>
      </c>
      <c r="D435" s="13" t="n">
        <f aca="false">100000+115000+100000+101500</f>
        <v>416500</v>
      </c>
      <c r="E435" s="14" t="n">
        <f aca="false">C435-D435</f>
        <v>0</v>
      </c>
    </row>
    <row r="436" customFormat="false" ht="15" hidden="false" customHeight="false" outlineLevel="0" collapsed="false">
      <c r="A436" s="49" t="n">
        <v>26</v>
      </c>
      <c r="B436" s="32" t="s">
        <v>381</v>
      </c>
      <c r="C436" s="16" t="n">
        <v>416500</v>
      </c>
      <c r="D436" s="13" t="n">
        <f aca="false">216500+200000</f>
        <v>416500</v>
      </c>
      <c r="E436" s="14" t="n">
        <f aca="false">C436-D436</f>
        <v>0</v>
      </c>
    </row>
    <row r="437" customFormat="false" ht="15" hidden="false" customHeight="false" outlineLevel="0" collapsed="false">
      <c r="A437" s="49" t="n">
        <v>27</v>
      </c>
      <c r="B437" s="32" t="s">
        <v>382</v>
      </c>
      <c r="C437" s="16" t="n">
        <v>416500</v>
      </c>
      <c r="D437" s="13" t="n">
        <f aca="false">216500+200000</f>
        <v>416500</v>
      </c>
      <c r="E437" s="14" t="n">
        <f aca="false">C437-D437</f>
        <v>0</v>
      </c>
    </row>
    <row r="438" customFormat="false" ht="15" hidden="false" customHeight="false" outlineLevel="0" collapsed="false">
      <c r="A438" s="18" t="n">
        <v>28</v>
      </c>
      <c r="B438" s="32" t="s">
        <v>383</v>
      </c>
      <c r="C438" s="16" t="n">
        <v>416500</v>
      </c>
      <c r="D438" s="13" t="n">
        <f aca="false">216000+200000</f>
        <v>416000</v>
      </c>
      <c r="E438" s="14" t="n">
        <f aca="false">C438-D438</f>
        <v>500</v>
      </c>
    </row>
    <row r="439" customFormat="false" ht="15" hidden="false" customHeight="false" outlineLevel="0" collapsed="false">
      <c r="A439" s="49" t="n">
        <v>29</v>
      </c>
      <c r="B439" s="32" t="s">
        <v>384</v>
      </c>
      <c r="C439" s="16" t="n">
        <v>416500</v>
      </c>
      <c r="D439" s="13" t="n">
        <f aca="false">200000+16500+100000+100000</f>
        <v>416500</v>
      </c>
      <c r="E439" s="14" t="n">
        <f aca="false">C439-D439</f>
        <v>0</v>
      </c>
    </row>
    <row r="440" customFormat="false" ht="15" hidden="false" customHeight="false" outlineLevel="0" collapsed="false">
      <c r="A440" s="49" t="n">
        <v>30</v>
      </c>
      <c r="B440" s="32" t="s">
        <v>385</v>
      </c>
      <c r="C440" s="16" t="n">
        <v>416500</v>
      </c>
      <c r="D440" s="13" t="n">
        <f aca="false">217000</f>
        <v>217000</v>
      </c>
      <c r="E440" s="14" t="n">
        <f aca="false">C440-D440</f>
        <v>199500</v>
      </c>
    </row>
    <row r="441" customFormat="false" ht="15" hidden="false" customHeight="false" outlineLevel="0" collapsed="false">
      <c r="A441" s="18" t="n">
        <v>31</v>
      </c>
      <c r="B441" s="32" t="s">
        <v>386</v>
      </c>
      <c r="C441" s="16" t="n">
        <v>416500</v>
      </c>
      <c r="D441" s="13" t="n">
        <f aca="false">216500+200000</f>
        <v>416500</v>
      </c>
      <c r="E441" s="14" t="n">
        <f aca="false">C441-D441</f>
        <v>0</v>
      </c>
    </row>
    <row r="442" customFormat="false" ht="15" hidden="false" customHeight="false" outlineLevel="0" collapsed="false">
      <c r="A442" s="49" t="n">
        <v>32</v>
      </c>
      <c r="B442" s="32" t="s">
        <v>387</v>
      </c>
      <c r="C442" s="16" t="n">
        <v>416500</v>
      </c>
      <c r="D442" s="13" t="n">
        <f aca="false">106500+100000+50000+150000+10000</f>
        <v>416500</v>
      </c>
      <c r="E442" s="14" t="n">
        <f aca="false">C442-D442</f>
        <v>0</v>
      </c>
    </row>
    <row r="443" customFormat="false" ht="15" hidden="false" customHeight="false" outlineLevel="0" collapsed="false">
      <c r="A443" s="49" t="n">
        <v>33</v>
      </c>
      <c r="B443" s="32" t="s">
        <v>388</v>
      </c>
      <c r="C443" s="16" t="n">
        <v>416500</v>
      </c>
      <c r="D443" s="13" t="n">
        <f aca="false">216500+100000+100000</f>
        <v>416500</v>
      </c>
      <c r="E443" s="14" t="n">
        <f aca="false">C443-D443</f>
        <v>0</v>
      </c>
    </row>
    <row r="444" customFormat="false" ht="15" hidden="false" customHeight="false" outlineLevel="0" collapsed="false">
      <c r="A444" s="18" t="n">
        <v>34</v>
      </c>
      <c r="B444" s="32" t="s">
        <v>1412</v>
      </c>
      <c r="C444" s="16" t="n">
        <v>416500</v>
      </c>
      <c r="D444" s="13" t="n">
        <f aca="false">16500+200000+200000</f>
        <v>416500</v>
      </c>
      <c r="E444" s="14" t="n">
        <f aca="false">C444-D444</f>
        <v>0</v>
      </c>
    </row>
    <row r="445" customFormat="false" ht="15" hidden="false" customHeight="false" outlineLevel="0" collapsed="false">
      <c r="A445" s="49" t="n">
        <v>35</v>
      </c>
      <c r="B445" s="32" t="s">
        <v>390</v>
      </c>
      <c r="C445" s="16" t="n">
        <v>416500</v>
      </c>
      <c r="D445" s="13" t="n">
        <f aca="false">200000+216000</f>
        <v>416000</v>
      </c>
      <c r="E445" s="14" t="n">
        <f aca="false">C445-D445</f>
        <v>500</v>
      </c>
    </row>
    <row r="446" customFormat="false" ht="15" hidden="false" customHeight="false" outlineLevel="0" collapsed="false">
      <c r="A446" s="49" t="n">
        <v>36</v>
      </c>
      <c r="B446" s="32" t="s">
        <v>391</v>
      </c>
      <c r="C446" s="16" t="n">
        <v>416500</v>
      </c>
      <c r="D446" s="13" t="n">
        <f aca="false">216500+200000</f>
        <v>416500</v>
      </c>
      <c r="E446" s="14" t="n">
        <f aca="false">C446-D446</f>
        <v>0</v>
      </c>
    </row>
    <row r="447" customFormat="false" ht="15" hidden="false" customHeight="false" outlineLevel="0" collapsed="false">
      <c r="A447" s="18" t="n">
        <v>37</v>
      </c>
      <c r="B447" s="32" t="s">
        <v>392</v>
      </c>
      <c r="C447" s="16" t="n">
        <v>416500</v>
      </c>
      <c r="D447" s="13" t="n">
        <f aca="false">217000+100000</f>
        <v>317000</v>
      </c>
      <c r="E447" s="14" t="n">
        <f aca="false">C447-D447</f>
        <v>99500</v>
      </c>
    </row>
    <row r="448" customFormat="false" ht="15" hidden="false" customHeight="false" outlineLevel="0" collapsed="false">
      <c r="A448" s="49" t="n">
        <v>38</v>
      </c>
      <c r="B448" s="32" t="s">
        <v>393</v>
      </c>
      <c r="C448" s="16" t="n">
        <v>416500</v>
      </c>
      <c r="D448" s="13" t="n">
        <f aca="false">216500+200000</f>
        <v>416500</v>
      </c>
      <c r="E448" s="14" t="n">
        <f aca="false">C448-D448</f>
        <v>0</v>
      </c>
    </row>
    <row r="449" customFormat="false" ht="15" hidden="false" customHeight="false" outlineLevel="0" collapsed="false">
      <c r="A449" s="49" t="n">
        <v>39</v>
      </c>
      <c r="B449" s="32" t="s">
        <v>394</v>
      </c>
      <c r="C449" s="16" t="n">
        <v>416500</v>
      </c>
      <c r="D449" s="13" t="n">
        <f aca="false">216500+200000</f>
        <v>416500</v>
      </c>
      <c r="E449" s="14" t="n">
        <f aca="false">C449-D449</f>
        <v>0</v>
      </c>
    </row>
    <row r="450" customFormat="false" ht="15" hidden="false" customHeight="false" outlineLevel="0" collapsed="false">
      <c r="A450" s="18" t="n">
        <v>40</v>
      </c>
      <c r="B450" s="32" t="s">
        <v>395</v>
      </c>
      <c r="C450" s="16" t="n">
        <v>416500</v>
      </c>
      <c r="D450" s="13" t="n">
        <f aca="false">216500+200000</f>
        <v>416500</v>
      </c>
      <c r="E450" s="14" t="n">
        <f aca="false">C450-D450</f>
        <v>0</v>
      </c>
    </row>
    <row r="451" customFormat="false" ht="15" hidden="false" customHeight="false" outlineLevel="0" collapsed="false">
      <c r="A451" s="49" t="n">
        <v>41</v>
      </c>
      <c r="B451" s="32" t="s">
        <v>396</v>
      </c>
      <c r="C451" s="16" t="n">
        <v>416500</v>
      </c>
      <c r="D451" s="13" t="n">
        <f aca="false">215500+200000</f>
        <v>415500</v>
      </c>
      <c r="E451" s="14" t="n">
        <f aca="false">C451-D451</f>
        <v>1000</v>
      </c>
    </row>
    <row r="452" customFormat="false" ht="15" hidden="false" customHeight="false" outlineLevel="0" collapsed="false">
      <c r="A452" s="49" t="n">
        <v>42</v>
      </c>
      <c r="B452" s="32" t="s">
        <v>397</v>
      </c>
      <c r="C452" s="16" t="n">
        <v>416500</v>
      </c>
      <c r="D452" s="13"/>
      <c r="E452" s="14" t="n">
        <f aca="false">C452-D452</f>
        <v>416500</v>
      </c>
    </row>
    <row r="453" customFormat="false" ht="15" hidden="false" customHeight="false" outlineLevel="0" collapsed="false">
      <c r="A453" s="18" t="n">
        <v>43</v>
      </c>
      <c r="B453" s="32" t="s">
        <v>398</v>
      </c>
      <c r="C453" s="16" t="n">
        <v>416500</v>
      </c>
      <c r="D453" s="13" t="n">
        <f aca="false">116500+300000</f>
        <v>416500</v>
      </c>
      <c r="E453" s="14" t="n">
        <f aca="false">C453-D453</f>
        <v>0</v>
      </c>
    </row>
    <row r="454" customFormat="false" ht="15" hidden="false" customHeight="false" outlineLevel="0" collapsed="false">
      <c r="A454" s="49" t="n">
        <v>44</v>
      </c>
      <c r="B454" s="32" t="s">
        <v>399</v>
      </c>
      <c r="C454" s="16" t="n">
        <v>416500</v>
      </c>
      <c r="D454" s="13" t="n">
        <f aca="false">216500+100000+100000</f>
        <v>416500</v>
      </c>
      <c r="E454" s="14" t="n">
        <f aca="false">C454-D454</f>
        <v>0</v>
      </c>
    </row>
    <row r="455" customFormat="false" ht="15" hidden="false" customHeight="false" outlineLevel="0" collapsed="false">
      <c r="A455" s="49" t="n">
        <v>45</v>
      </c>
      <c r="B455" s="32" t="s">
        <v>400</v>
      </c>
      <c r="C455" s="16" t="n">
        <v>416500</v>
      </c>
      <c r="D455" s="13" t="n">
        <f aca="false">90000+126500+95000+80000+25000</f>
        <v>416500</v>
      </c>
      <c r="E455" s="14" t="n">
        <f aca="false">C455-D455</f>
        <v>0</v>
      </c>
    </row>
    <row r="456" customFormat="false" ht="15" hidden="false" customHeight="false" outlineLevel="0" collapsed="false">
      <c r="A456" s="18" t="n">
        <v>46</v>
      </c>
      <c r="B456" s="32" t="s">
        <v>401</v>
      </c>
      <c r="C456" s="16" t="n">
        <v>416500</v>
      </c>
      <c r="D456" s="13" t="n">
        <f aca="false">216500+200000</f>
        <v>416500</v>
      </c>
      <c r="E456" s="14" t="n">
        <f aca="false">C456-D456</f>
        <v>0</v>
      </c>
    </row>
    <row r="457" customFormat="false" ht="15" hidden="false" customHeight="false" outlineLevel="0" collapsed="false">
      <c r="A457" s="49" t="n">
        <v>47</v>
      </c>
      <c r="B457" s="32" t="s">
        <v>402</v>
      </c>
      <c r="C457" s="16" t="n">
        <v>416500</v>
      </c>
      <c r="D457" s="13" t="n">
        <f aca="false">216500+200000</f>
        <v>416500</v>
      </c>
      <c r="E457" s="14" t="n">
        <f aca="false">C457-D457</f>
        <v>0</v>
      </c>
    </row>
    <row r="458" customFormat="false" ht="15" hidden="false" customHeight="false" outlineLevel="0" collapsed="false">
      <c r="A458" s="49" t="n">
        <v>48</v>
      </c>
      <c r="B458" s="32" t="s">
        <v>403</v>
      </c>
      <c r="C458" s="16" t="n">
        <v>416500</v>
      </c>
      <c r="D458" s="13" t="n">
        <f aca="false">216500+100000+100000</f>
        <v>416500</v>
      </c>
      <c r="E458" s="14" t="n">
        <f aca="false">C458-D458</f>
        <v>0</v>
      </c>
    </row>
    <row r="459" customFormat="false" ht="15" hidden="false" customHeight="false" outlineLevel="0" collapsed="false">
      <c r="A459" s="18" t="n">
        <v>49</v>
      </c>
      <c r="B459" s="32" t="s">
        <v>404</v>
      </c>
      <c r="C459" s="16" t="n">
        <v>416500</v>
      </c>
      <c r="D459" s="13" t="n">
        <f aca="false">220000+196500</f>
        <v>416500</v>
      </c>
      <c r="E459" s="14" t="n">
        <f aca="false">C459-D459</f>
        <v>0</v>
      </c>
    </row>
    <row r="460" customFormat="false" ht="15" hidden="false" customHeight="false" outlineLevel="0" collapsed="false">
      <c r="A460" s="49" t="n">
        <v>50</v>
      </c>
      <c r="B460" s="32" t="s">
        <v>405</v>
      </c>
      <c r="C460" s="16" t="n">
        <v>416500</v>
      </c>
      <c r="D460" s="13" t="n">
        <f aca="false">216500+200000</f>
        <v>416500</v>
      </c>
      <c r="E460" s="14" t="n">
        <f aca="false">C460-D460</f>
        <v>0</v>
      </c>
    </row>
    <row r="461" customFormat="false" ht="15" hidden="false" customHeight="false" outlineLevel="0" collapsed="false">
      <c r="A461" s="49" t="n">
        <v>51</v>
      </c>
      <c r="B461" s="32" t="s">
        <v>406</v>
      </c>
      <c r="C461" s="16" t="n">
        <v>416500</v>
      </c>
      <c r="D461" s="13" t="n">
        <f aca="false">216000+150000+50500</f>
        <v>416500</v>
      </c>
      <c r="E461" s="14" t="n">
        <f aca="false">C461-D461</f>
        <v>0</v>
      </c>
    </row>
    <row r="462" customFormat="false" ht="15" hidden="false" customHeight="false" outlineLevel="0" collapsed="false">
      <c r="A462" s="18" t="n">
        <v>52</v>
      </c>
      <c r="B462" s="32" t="s">
        <v>407</v>
      </c>
      <c r="C462" s="16" t="n">
        <v>416500</v>
      </c>
      <c r="D462" s="13" t="n">
        <f aca="false">100000+200000</f>
        <v>300000</v>
      </c>
      <c r="E462" s="14" t="n">
        <f aca="false">C462-D462</f>
        <v>116500</v>
      </c>
    </row>
    <row r="463" customFormat="false" ht="15" hidden="false" customHeight="false" outlineLevel="0" collapsed="false">
      <c r="A463" s="49" t="n">
        <v>53</v>
      </c>
      <c r="B463" s="32" t="s">
        <v>408</v>
      </c>
      <c r="C463" s="16" t="n">
        <v>416500</v>
      </c>
      <c r="D463" s="13" t="n">
        <f aca="false">216500+200000</f>
        <v>416500</v>
      </c>
      <c r="E463" s="14" t="n">
        <f aca="false">C463-D463</f>
        <v>0</v>
      </c>
    </row>
    <row r="464" customFormat="false" ht="15" hidden="false" customHeight="false" outlineLevel="0" collapsed="false">
      <c r="A464" s="49" t="n">
        <v>54</v>
      </c>
      <c r="B464" s="32" t="s">
        <v>409</v>
      </c>
      <c r="C464" s="16" t="n">
        <v>416500</v>
      </c>
      <c r="D464" s="13" t="n">
        <f aca="false">220000+196500</f>
        <v>416500</v>
      </c>
      <c r="E464" s="14" t="n">
        <f aca="false">C464-D464</f>
        <v>0</v>
      </c>
    </row>
    <row r="465" customFormat="false" ht="15" hidden="false" customHeight="false" outlineLevel="0" collapsed="false">
      <c r="A465" s="18" t="n">
        <v>55</v>
      </c>
      <c r="B465" s="32" t="s">
        <v>410</v>
      </c>
      <c r="C465" s="16" t="n">
        <v>416500</v>
      </c>
      <c r="D465" s="13" t="n">
        <f aca="false">216500+105000+95000</f>
        <v>416500</v>
      </c>
      <c r="E465" s="14" t="n">
        <f aca="false">C465-D465</f>
        <v>0</v>
      </c>
    </row>
    <row r="466" customFormat="false" ht="15" hidden="false" customHeight="false" outlineLevel="0" collapsed="false">
      <c r="A466" s="49" t="n">
        <v>56</v>
      </c>
      <c r="B466" s="32" t="s">
        <v>411</v>
      </c>
      <c r="C466" s="16" t="n">
        <v>416500</v>
      </c>
      <c r="D466" s="13" t="n">
        <f aca="false">216000+200500</f>
        <v>416500</v>
      </c>
      <c r="E466" s="14" t="n">
        <f aca="false">C466-D466</f>
        <v>0</v>
      </c>
    </row>
    <row r="467" customFormat="false" ht="15" hidden="false" customHeight="false" outlineLevel="0" collapsed="false">
      <c r="A467" s="49" t="n">
        <v>57</v>
      </c>
      <c r="B467" s="32" t="s">
        <v>412</v>
      </c>
      <c r="C467" s="16" t="n">
        <v>416500</v>
      </c>
      <c r="D467" s="13" t="n">
        <v>416500</v>
      </c>
      <c r="E467" s="14" t="n">
        <f aca="false">C467-D467</f>
        <v>0</v>
      </c>
    </row>
    <row r="468" customFormat="false" ht="15" hidden="false" customHeight="false" outlineLevel="0" collapsed="false">
      <c r="A468" s="18" t="n">
        <v>58</v>
      </c>
      <c r="B468" s="54" t="s">
        <v>413</v>
      </c>
      <c r="C468" s="16" t="n">
        <v>416500</v>
      </c>
      <c r="D468" s="76" t="n">
        <f aca="false">220000+200000</f>
        <v>420000</v>
      </c>
      <c r="E468" s="14" t="n">
        <f aca="false">C468-D468</f>
        <v>-3500</v>
      </c>
    </row>
    <row r="469" customFormat="false" ht="15" hidden="false" customHeight="false" outlineLevel="0" collapsed="false">
      <c r="A469" s="49" t="n">
        <v>59</v>
      </c>
      <c r="B469" s="54" t="s">
        <v>414</v>
      </c>
      <c r="C469" s="16" t="n">
        <v>416500</v>
      </c>
      <c r="D469" s="76" t="n">
        <f aca="false">217000+100000</f>
        <v>317000</v>
      </c>
      <c r="E469" s="14" t="n">
        <f aca="false">C469-D469</f>
        <v>99500</v>
      </c>
    </row>
    <row r="470" customFormat="false" ht="15" hidden="false" customHeight="false" outlineLevel="0" collapsed="false">
      <c r="A470" s="49" t="n">
        <v>60</v>
      </c>
      <c r="B470" s="54" t="s">
        <v>415</v>
      </c>
      <c r="C470" s="16" t="n">
        <v>416500</v>
      </c>
      <c r="D470" s="76"/>
      <c r="E470" s="14" t="n">
        <f aca="false">C470-D470</f>
        <v>416500</v>
      </c>
    </row>
    <row r="471" customFormat="false" ht="15" hidden="false" customHeight="false" outlineLevel="0" collapsed="false">
      <c r="A471" s="18" t="n">
        <v>61</v>
      </c>
      <c r="B471" s="32" t="s">
        <v>416</v>
      </c>
      <c r="C471" s="16" t="n">
        <v>416500</v>
      </c>
      <c r="D471" s="76" t="n">
        <f aca="false">300000+116500</f>
        <v>416500</v>
      </c>
      <c r="E471" s="14" t="n">
        <f aca="false">C471-D471</f>
        <v>0</v>
      </c>
    </row>
    <row r="472" customFormat="false" ht="15" hidden="false" customHeight="false" outlineLevel="0" collapsed="false">
      <c r="A472" s="49" t="n">
        <v>62</v>
      </c>
      <c r="B472" s="32" t="s">
        <v>1564</v>
      </c>
      <c r="C472" s="16" t="s">
        <v>128</v>
      </c>
      <c r="D472" s="13" t="s">
        <v>128</v>
      </c>
      <c r="E472" s="14" t="s">
        <v>128</v>
      </c>
    </row>
    <row r="473" customFormat="false" ht="17.35" hidden="false" customHeight="false" outlineLevel="0" collapsed="false">
      <c r="A473" s="72"/>
      <c r="B473" s="20" t="s">
        <v>22</v>
      </c>
      <c r="C473" s="21" t="n">
        <f aca="false">SUM(C411:C472)</f>
        <v>24990000</v>
      </c>
      <c r="D473" s="22" t="n">
        <f aca="false">SUM(D411:D472)</f>
        <v>22210500</v>
      </c>
      <c r="E473" s="45" t="n">
        <f aca="false">SUM(E411:E472)</f>
        <v>2779500</v>
      </c>
    </row>
    <row r="474" customFormat="false" ht="15" hidden="false" customHeight="false" outlineLevel="0" collapsed="false">
      <c r="A474" s="46"/>
      <c r="D474" s="24"/>
      <c r="E474" s="24"/>
    </row>
    <row r="475" customFormat="false" ht="15" hidden="false" customHeight="false" outlineLevel="0" collapsed="false">
      <c r="A475" s="46"/>
      <c r="D475" s="24"/>
      <c r="E475" s="24"/>
    </row>
    <row r="476" customFormat="false" ht="15" hidden="false" customHeight="false" outlineLevel="0" collapsed="false">
      <c r="A476" s="46"/>
      <c r="D476" s="24"/>
      <c r="E476" s="24"/>
    </row>
    <row r="477" customFormat="false" ht="17.35" hidden="false" customHeight="false" outlineLevel="0" collapsed="false">
      <c r="A477" s="40"/>
      <c r="B477" s="2" t="s">
        <v>504</v>
      </c>
      <c r="D477" s="24"/>
      <c r="E477" s="24"/>
    </row>
    <row r="478" customFormat="false" ht="17.35" hidden="false" customHeight="false" outlineLevel="0" collapsed="false">
      <c r="A478" s="62"/>
      <c r="D478" s="24"/>
      <c r="E478" s="24"/>
    </row>
    <row r="479" customFormat="false" ht="15" hidden="false" customHeight="false" outlineLevel="0" collapsed="false">
      <c r="A479" s="40"/>
      <c r="D479" s="24"/>
      <c r="E479" s="24"/>
    </row>
    <row r="480" customFormat="false" ht="17.25" hidden="false" customHeight="false" outlineLevel="0" collapsed="false">
      <c r="A480" s="40"/>
      <c r="B480" s="4" t="s">
        <v>357</v>
      </c>
      <c r="D480" s="24"/>
      <c r="E480" s="24"/>
    </row>
    <row r="481" customFormat="false" ht="15" hidden="false" customHeight="false" outlineLevel="0" collapsed="false">
      <c r="A481" s="40"/>
      <c r="D481" s="25" t="s">
        <v>51</v>
      </c>
      <c r="E481" s="24"/>
    </row>
    <row r="482" customFormat="false" ht="15" hidden="false" customHeight="false" outlineLevel="0" collapsed="false">
      <c r="A482" s="40"/>
      <c r="D482" s="24"/>
      <c r="E482" s="24"/>
    </row>
    <row r="483" customFormat="false" ht="15" hidden="false" customHeight="false" outlineLevel="0" collapsed="false">
      <c r="A483" s="6" t="s">
        <v>5</v>
      </c>
      <c r="B483" s="7" t="s">
        <v>6</v>
      </c>
      <c r="C483" s="8" t="s">
        <v>7</v>
      </c>
      <c r="D483" s="42" t="s">
        <v>8</v>
      </c>
      <c r="E483" s="43" t="s">
        <v>9</v>
      </c>
    </row>
    <row r="484" customFormat="false" ht="15" hidden="false" customHeight="false" outlineLevel="0" collapsed="false">
      <c r="A484" s="18" t="n">
        <v>1</v>
      </c>
      <c r="B484" s="32" t="s">
        <v>417</v>
      </c>
      <c r="C484" s="16" t="n">
        <v>416500</v>
      </c>
      <c r="D484" s="13" t="n">
        <f aca="false">220000+196500</f>
        <v>416500</v>
      </c>
      <c r="E484" s="14" t="n">
        <f aca="false">C484-D484</f>
        <v>0</v>
      </c>
    </row>
    <row r="485" customFormat="false" ht="15" hidden="false" customHeight="false" outlineLevel="0" collapsed="false">
      <c r="A485" s="49" t="n">
        <v>2</v>
      </c>
      <c r="B485" s="32" t="s">
        <v>418</v>
      </c>
      <c r="C485" s="16" t="n">
        <v>416500</v>
      </c>
      <c r="D485" s="13" t="n">
        <f aca="false">310000+80000+26500</f>
        <v>416500</v>
      </c>
      <c r="E485" s="14" t="n">
        <f aca="false">C485-D485</f>
        <v>0</v>
      </c>
    </row>
    <row r="486" customFormat="false" ht="15" hidden="false" customHeight="false" outlineLevel="0" collapsed="false">
      <c r="A486" s="18" t="n">
        <v>3</v>
      </c>
      <c r="B486" s="32" t="s">
        <v>419</v>
      </c>
      <c r="C486" s="16" t="n">
        <v>416500</v>
      </c>
      <c r="D486" s="13" t="n">
        <f aca="false">200500+200000</f>
        <v>400500</v>
      </c>
      <c r="E486" s="14" t="n">
        <f aca="false">C486-D486</f>
        <v>16000</v>
      </c>
    </row>
    <row r="487" customFormat="false" ht="15" hidden="false" customHeight="false" outlineLevel="0" collapsed="false">
      <c r="A487" s="49" t="n">
        <v>4</v>
      </c>
      <c r="B487" s="32" t="s">
        <v>420</v>
      </c>
      <c r="C487" s="16" t="n">
        <v>416500</v>
      </c>
      <c r="D487" s="13" t="n">
        <f aca="false">216500+100000</f>
        <v>316500</v>
      </c>
      <c r="E487" s="14" t="n">
        <f aca="false">C487-D487</f>
        <v>100000</v>
      </c>
    </row>
    <row r="488" customFormat="false" ht="15" hidden="false" customHeight="false" outlineLevel="0" collapsed="false">
      <c r="A488" s="18" t="n">
        <v>5</v>
      </c>
      <c r="B488" s="32" t="s">
        <v>421</v>
      </c>
      <c r="C488" s="16" t="n">
        <v>416500</v>
      </c>
      <c r="D488" s="13" t="n">
        <f aca="false">216500+200000</f>
        <v>416500</v>
      </c>
      <c r="E488" s="14" t="n">
        <f aca="false">C488-D488</f>
        <v>0</v>
      </c>
    </row>
    <row r="489" customFormat="false" ht="15" hidden="false" customHeight="false" outlineLevel="0" collapsed="false">
      <c r="A489" s="49" t="n">
        <v>6</v>
      </c>
      <c r="B489" s="32" t="s">
        <v>422</v>
      </c>
      <c r="C489" s="16" t="n">
        <v>416500</v>
      </c>
      <c r="D489" s="13" t="n">
        <f aca="false">216500+200000</f>
        <v>416500</v>
      </c>
      <c r="E489" s="14" t="n">
        <f aca="false">C489-D489</f>
        <v>0</v>
      </c>
    </row>
    <row r="490" customFormat="false" ht="15" hidden="false" customHeight="false" outlineLevel="0" collapsed="false">
      <c r="A490" s="18" t="n">
        <v>7</v>
      </c>
      <c r="B490" s="32" t="s">
        <v>423</v>
      </c>
      <c r="C490" s="16" t="n">
        <v>416500</v>
      </c>
      <c r="D490" s="13" t="n">
        <f aca="false">216500+200000</f>
        <v>416500</v>
      </c>
      <c r="E490" s="14" t="n">
        <f aca="false">C490-D490</f>
        <v>0</v>
      </c>
    </row>
    <row r="491" customFormat="false" ht="15" hidden="false" customHeight="false" outlineLevel="0" collapsed="false">
      <c r="A491" s="49" t="n">
        <v>8</v>
      </c>
      <c r="B491" s="32" t="s">
        <v>424</v>
      </c>
      <c r="C491" s="16" t="n">
        <v>416500</v>
      </c>
      <c r="D491" s="13" t="n">
        <f aca="false">216500+100000+100000</f>
        <v>416500</v>
      </c>
      <c r="E491" s="14" t="n">
        <f aca="false">C491-D491</f>
        <v>0</v>
      </c>
    </row>
    <row r="492" customFormat="false" ht="15" hidden="false" customHeight="false" outlineLevel="0" collapsed="false">
      <c r="A492" s="18" t="n">
        <v>9</v>
      </c>
      <c r="B492" s="32" t="s">
        <v>425</v>
      </c>
      <c r="C492" s="13" t="n">
        <v>416500</v>
      </c>
      <c r="D492" s="13" t="n">
        <f aca="false">216500+100000</f>
        <v>316500</v>
      </c>
      <c r="E492" s="14" t="n">
        <f aca="false">C492-D492</f>
        <v>100000</v>
      </c>
    </row>
    <row r="493" customFormat="false" ht="15" hidden="false" customHeight="false" outlineLevel="0" collapsed="false">
      <c r="A493" s="49" t="n">
        <v>10</v>
      </c>
      <c r="B493" s="32" t="s">
        <v>1413</v>
      </c>
      <c r="C493" s="16" t="n">
        <v>416500</v>
      </c>
      <c r="D493" s="13" t="n">
        <v>416500</v>
      </c>
      <c r="E493" s="14" t="n">
        <f aca="false">C493-D493</f>
        <v>0</v>
      </c>
    </row>
    <row r="494" customFormat="false" ht="15" hidden="false" customHeight="false" outlineLevel="0" collapsed="false">
      <c r="A494" s="18" t="n">
        <v>11</v>
      </c>
      <c r="B494" s="32" t="s">
        <v>426</v>
      </c>
      <c r="C494" s="16" t="n">
        <v>416500</v>
      </c>
      <c r="D494" s="13" t="n">
        <f aca="false">66500+100000+50000+200000</f>
        <v>416500</v>
      </c>
      <c r="E494" s="14" t="n">
        <f aca="false">C494-D494</f>
        <v>0</v>
      </c>
    </row>
    <row r="495" customFormat="false" ht="15" hidden="false" customHeight="false" outlineLevel="0" collapsed="false">
      <c r="A495" s="72" t="n">
        <v>12</v>
      </c>
      <c r="B495" s="32" t="s">
        <v>427</v>
      </c>
      <c r="C495" s="16" t="n">
        <v>416500</v>
      </c>
      <c r="D495" s="13" t="n">
        <v>416500</v>
      </c>
      <c r="E495" s="14" t="n">
        <f aca="false">C495-D495</f>
        <v>0</v>
      </c>
    </row>
    <row r="496" customFormat="false" ht="15" hidden="false" customHeight="false" outlineLevel="0" collapsed="false">
      <c r="A496" s="49" t="n">
        <v>13</v>
      </c>
      <c r="B496" s="32" t="s">
        <v>428</v>
      </c>
      <c r="C496" s="16" t="n">
        <v>416500</v>
      </c>
      <c r="D496" s="13" t="n">
        <f aca="false">216500+100000</f>
        <v>316500</v>
      </c>
      <c r="E496" s="14" t="n">
        <f aca="false">C496-D496</f>
        <v>100000</v>
      </c>
    </row>
    <row r="497" customFormat="false" ht="15" hidden="false" customHeight="false" outlineLevel="0" collapsed="false">
      <c r="A497" s="18" t="n">
        <v>14</v>
      </c>
      <c r="B497" s="32" t="s">
        <v>429</v>
      </c>
      <c r="C497" s="16" t="n">
        <v>416500</v>
      </c>
      <c r="D497" s="13" t="n">
        <f aca="false">16500+200000+100000+100000</f>
        <v>416500</v>
      </c>
      <c r="E497" s="14" t="n">
        <f aca="false">C497-D497</f>
        <v>0</v>
      </c>
    </row>
    <row r="498" customFormat="false" ht="15" hidden="false" customHeight="false" outlineLevel="0" collapsed="false">
      <c r="A498" s="72" t="n">
        <v>15</v>
      </c>
      <c r="B498" s="32" t="s">
        <v>430</v>
      </c>
      <c r="C498" s="16" t="n">
        <v>416500</v>
      </c>
      <c r="D498" s="13" t="n">
        <f aca="false">216500+200000</f>
        <v>416500</v>
      </c>
      <c r="E498" s="14" t="n">
        <f aca="false">C498-D498</f>
        <v>0</v>
      </c>
    </row>
    <row r="499" customFormat="false" ht="15" hidden="false" customHeight="false" outlineLevel="0" collapsed="false">
      <c r="A499" s="72" t="n">
        <v>16</v>
      </c>
      <c r="B499" s="32" t="s">
        <v>431</v>
      </c>
      <c r="C499" s="16" t="n">
        <v>416500</v>
      </c>
      <c r="D499" s="13" t="n">
        <f aca="false">220000+196500</f>
        <v>416500</v>
      </c>
      <c r="E499" s="14" t="n">
        <f aca="false">C499-D499</f>
        <v>0</v>
      </c>
    </row>
    <row r="500" customFormat="false" ht="15" hidden="false" customHeight="false" outlineLevel="0" collapsed="false">
      <c r="A500" s="72" t="n">
        <v>17</v>
      </c>
      <c r="B500" s="32" t="s">
        <v>432</v>
      </c>
      <c r="C500" s="16" t="n">
        <v>416500</v>
      </c>
      <c r="D500" s="13" t="n">
        <f aca="false">200000+200000</f>
        <v>400000</v>
      </c>
      <c r="E500" s="14" t="n">
        <f aca="false">C500-D500</f>
        <v>16500</v>
      </c>
    </row>
    <row r="501" customFormat="false" ht="15" hidden="false" customHeight="false" outlineLevel="0" collapsed="false">
      <c r="A501" s="72" t="n">
        <v>18</v>
      </c>
      <c r="B501" s="32" t="s">
        <v>433</v>
      </c>
      <c r="C501" s="16" t="n">
        <v>416500</v>
      </c>
      <c r="D501" s="13" t="n">
        <f aca="false">220000+150000+46500</f>
        <v>416500</v>
      </c>
      <c r="E501" s="14" t="n">
        <f aca="false">C501-D501</f>
        <v>0</v>
      </c>
    </row>
    <row r="502" customFormat="false" ht="15" hidden="false" customHeight="false" outlineLevel="0" collapsed="false">
      <c r="A502" s="72" t="n">
        <v>19</v>
      </c>
      <c r="B502" s="32" t="s">
        <v>434</v>
      </c>
      <c r="C502" s="16" t="n">
        <v>416500</v>
      </c>
      <c r="D502" s="13" t="n">
        <f aca="false">216500+200000</f>
        <v>416500</v>
      </c>
      <c r="E502" s="14" t="n">
        <f aca="false">C502-D502</f>
        <v>0</v>
      </c>
    </row>
    <row r="503" customFormat="false" ht="15" hidden="false" customHeight="false" outlineLevel="0" collapsed="false">
      <c r="A503" s="72" t="n">
        <v>20</v>
      </c>
      <c r="B503" s="32" t="s">
        <v>435</v>
      </c>
      <c r="C503" s="16" t="n">
        <v>416500</v>
      </c>
      <c r="D503" s="13" t="n">
        <f aca="false">220000+196500</f>
        <v>416500</v>
      </c>
      <c r="E503" s="14" t="n">
        <f aca="false">C503-D503</f>
        <v>0</v>
      </c>
    </row>
    <row r="504" customFormat="false" ht="15" hidden="false" customHeight="false" outlineLevel="0" collapsed="false">
      <c r="A504" s="72" t="n">
        <v>21</v>
      </c>
      <c r="B504" s="32" t="s">
        <v>436</v>
      </c>
      <c r="C504" s="16" t="n">
        <v>416500</v>
      </c>
      <c r="D504" s="13" t="n">
        <f aca="false">216500+200000</f>
        <v>416500</v>
      </c>
      <c r="E504" s="14" t="n">
        <f aca="false">C504-D504</f>
        <v>0</v>
      </c>
    </row>
    <row r="505" customFormat="false" ht="15" hidden="false" customHeight="false" outlineLevel="0" collapsed="false">
      <c r="A505" s="72" t="n">
        <v>22</v>
      </c>
      <c r="B505" s="32" t="s">
        <v>437</v>
      </c>
      <c r="C505" s="16" t="n">
        <v>416500</v>
      </c>
      <c r="D505" s="13" t="n">
        <f aca="false">216500+200000</f>
        <v>416500</v>
      </c>
      <c r="E505" s="14" t="n">
        <f aca="false">C505-D505</f>
        <v>0</v>
      </c>
    </row>
    <row r="506" customFormat="false" ht="15" hidden="false" customHeight="false" outlineLevel="0" collapsed="false">
      <c r="A506" s="72" t="n">
        <v>23</v>
      </c>
      <c r="B506" s="32" t="s">
        <v>438</v>
      </c>
      <c r="C506" s="16" t="n">
        <v>416500</v>
      </c>
      <c r="D506" s="13" t="n">
        <f aca="false">135000+70000+211500</f>
        <v>416500</v>
      </c>
      <c r="E506" s="14" t="n">
        <f aca="false">C506-D506</f>
        <v>0</v>
      </c>
    </row>
    <row r="507" customFormat="false" ht="15" hidden="false" customHeight="false" outlineLevel="0" collapsed="false">
      <c r="A507" s="72" t="n">
        <v>24</v>
      </c>
      <c r="B507" s="32" t="s">
        <v>439</v>
      </c>
      <c r="C507" s="16" t="n">
        <v>416500</v>
      </c>
      <c r="D507" s="13" t="n">
        <f aca="false">300000+100000+16500</f>
        <v>416500</v>
      </c>
      <c r="E507" s="14" t="n">
        <f aca="false">C507-D507</f>
        <v>0</v>
      </c>
    </row>
    <row r="508" customFormat="false" ht="15" hidden="false" customHeight="false" outlineLevel="0" collapsed="false">
      <c r="A508" s="72" t="n">
        <v>25</v>
      </c>
      <c r="B508" s="32" t="s">
        <v>440</v>
      </c>
      <c r="C508" s="16" t="n">
        <v>416500</v>
      </c>
      <c r="D508" s="13" t="n">
        <f aca="false">216500+200000</f>
        <v>416500</v>
      </c>
      <c r="E508" s="14" t="n">
        <f aca="false">C508-D508</f>
        <v>0</v>
      </c>
    </row>
    <row r="509" customFormat="false" ht="15" hidden="false" customHeight="false" outlineLevel="0" collapsed="false">
      <c r="A509" s="72" t="n">
        <v>26</v>
      </c>
      <c r="B509" s="32" t="s">
        <v>441</v>
      </c>
      <c r="C509" s="16" t="n">
        <v>416500</v>
      </c>
      <c r="D509" s="13" t="n">
        <f aca="false">216500+200000</f>
        <v>416500</v>
      </c>
      <c r="E509" s="14" t="n">
        <f aca="false">C509-D509</f>
        <v>0</v>
      </c>
    </row>
    <row r="510" customFormat="false" ht="17.35" hidden="false" customHeight="false" outlineLevel="0" collapsed="false">
      <c r="A510" s="19"/>
      <c r="B510" s="20" t="s">
        <v>22</v>
      </c>
      <c r="C510" s="21" t="n">
        <f aca="false">SUM(C484:C509)</f>
        <v>10829000</v>
      </c>
      <c r="D510" s="22" t="n">
        <f aca="false">SUM(D484:D509)</f>
        <v>10496500</v>
      </c>
      <c r="E510" s="45" t="n">
        <f aca="false">SUM(E484:E509)</f>
        <v>332500</v>
      </c>
    </row>
    <row r="511" customFormat="false" ht="15" hidden="false" customHeight="false" outlineLevel="0" collapsed="false">
      <c r="A511" s="46"/>
      <c r="D511" s="24"/>
      <c r="E511" s="24"/>
    </row>
    <row r="512" customFormat="false" ht="15" hidden="false" customHeight="false" outlineLevel="0" collapsed="false">
      <c r="D512" s="24"/>
      <c r="E512" s="24"/>
    </row>
    <row r="513" customFormat="false" ht="17.35" hidden="false" customHeight="false" outlineLevel="0" collapsed="false">
      <c r="A513" s="84"/>
      <c r="B513" s="36"/>
      <c r="C513" s="37"/>
      <c r="D513" s="38"/>
      <c r="E513" s="39"/>
    </row>
    <row r="514" customFormat="false" ht="17.35" hidden="false" customHeight="false" outlineLevel="0" collapsed="false">
      <c r="A514" s="40"/>
      <c r="B514" s="2" t="s">
        <v>504</v>
      </c>
      <c r="D514" s="24"/>
      <c r="E514" s="24"/>
    </row>
    <row r="515" customFormat="false" ht="17.35" hidden="false" customHeight="false" outlineLevel="0" collapsed="false">
      <c r="A515" s="62"/>
      <c r="D515" s="24"/>
      <c r="E515" s="24"/>
    </row>
    <row r="516" customFormat="false" ht="15" hidden="false" customHeight="false" outlineLevel="0" collapsed="false">
      <c r="A516" s="40"/>
      <c r="D516" s="24"/>
      <c r="E516" s="24"/>
    </row>
    <row r="517" customFormat="false" ht="17.25" hidden="false" customHeight="false" outlineLevel="0" collapsed="false">
      <c r="A517" s="40"/>
      <c r="B517" s="4" t="s">
        <v>476</v>
      </c>
      <c r="D517" s="24"/>
      <c r="E517" s="24"/>
    </row>
    <row r="518" customFormat="false" ht="15" hidden="false" customHeight="false" outlineLevel="0" collapsed="false">
      <c r="A518" s="40"/>
      <c r="D518" s="25" t="s">
        <v>51</v>
      </c>
      <c r="E518" s="24"/>
    </row>
    <row r="519" customFormat="false" ht="15" hidden="false" customHeight="false" outlineLevel="0" collapsed="false">
      <c r="A519" s="40"/>
      <c r="D519" s="24"/>
      <c r="E519" s="24"/>
    </row>
    <row r="520" customFormat="false" ht="15" hidden="false" customHeight="false" outlineLevel="0" collapsed="false">
      <c r="A520" s="6" t="s">
        <v>5</v>
      </c>
      <c r="B520" s="7" t="s">
        <v>6</v>
      </c>
      <c r="C520" s="8" t="s">
        <v>7</v>
      </c>
      <c r="D520" s="42" t="s">
        <v>8</v>
      </c>
      <c r="E520" s="43" t="s">
        <v>9</v>
      </c>
    </row>
    <row r="521" customFormat="false" ht="15" hidden="false" customHeight="false" outlineLevel="0" collapsed="false">
      <c r="A521" s="349" t="n">
        <v>1</v>
      </c>
      <c r="B521" s="15" t="s">
        <v>484</v>
      </c>
      <c r="C521" s="16" t="n">
        <v>416500</v>
      </c>
      <c r="D521" s="13" t="n">
        <f aca="false">200000+15500+201000</f>
        <v>416500</v>
      </c>
      <c r="E521" s="14" t="n">
        <f aca="false">C521-D521</f>
        <v>0</v>
      </c>
    </row>
    <row r="522" customFormat="false" ht="15" hidden="false" customHeight="false" outlineLevel="0" collapsed="false">
      <c r="A522" s="49" t="n">
        <v>2</v>
      </c>
      <c r="B522" s="68" t="s">
        <v>1565</v>
      </c>
      <c r="C522" s="16" t="s">
        <v>128</v>
      </c>
      <c r="D522" s="13" t="s">
        <v>128</v>
      </c>
      <c r="E522" s="14" t="s">
        <v>128</v>
      </c>
    </row>
    <row r="523" customFormat="false" ht="15" hidden="false" customHeight="false" outlineLevel="0" collapsed="false">
      <c r="A523" s="18" t="n">
        <v>3</v>
      </c>
      <c r="B523" s="32" t="s">
        <v>485</v>
      </c>
      <c r="C523" s="16" t="n">
        <v>416500</v>
      </c>
      <c r="D523" s="13"/>
      <c r="E523" s="14" t="n">
        <f aca="false">C523-D523</f>
        <v>416500</v>
      </c>
    </row>
    <row r="524" customFormat="false" ht="15" hidden="false" customHeight="false" outlineLevel="0" collapsed="false">
      <c r="A524" s="18" t="n">
        <v>4</v>
      </c>
      <c r="B524" s="32" t="s">
        <v>486</v>
      </c>
      <c r="C524" s="16" t="n">
        <v>416500</v>
      </c>
      <c r="D524" s="13"/>
      <c r="E524" s="14" t="n">
        <f aca="false">C524-D524</f>
        <v>416500</v>
      </c>
    </row>
    <row r="525" customFormat="false" ht="15" hidden="false" customHeight="false" outlineLevel="0" collapsed="false">
      <c r="A525" s="49" t="n">
        <v>5</v>
      </c>
      <c r="B525" s="32" t="s">
        <v>487</v>
      </c>
      <c r="C525" s="13" t="n">
        <v>416500</v>
      </c>
      <c r="D525" s="13" t="n">
        <f aca="false">117000+100000+100000+99500</f>
        <v>416500</v>
      </c>
      <c r="E525" s="14" t="n">
        <f aca="false">C525-D525</f>
        <v>0</v>
      </c>
    </row>
    <row r="526" customFormat="false" ht="15" hidden="false" customHeight="false" outlineLevel="0" collapsed="false">
      <c r="A526" s="49" t="n">
        <v>6</v>
      </c>
      <c r="B526" s="32" t="s">
        <v>1566</v>
      </c>
      <c r="C526" s="13" t="s">
        <v>128</v>
      </c>
      <c r="D526" s="13" t="s">
        <v>128</v>
      </c>
      <c r="E526" s="14" t="s">
        <v>128</v>
      </c>
    </row>
    <row r="527" customFormat="false" ht="15" hidden="false" customHeight="false" outlineLevel="0" collapsed="false">
      <c r="A527" s="49" t="n">
        <v>7</v>
      </c>
      <c r="B527" s="32" t="s">
        <v>488</v>
      </c>
      <c r="C527" s="16" t="n">
        <v>416500</v>
      </c>
      <c r="D527" s="13"/>
      <c r="E527" s="14" t="n">
        <f aca="false">C527-D527</f>
        <v>416500</v>
      </c>
    </row>
    <row r="528" customFormat="false" ht="15" hidden="false" customHeight="false" outlineLevel="0" collapsed="false">
      <c r="A528" s="49" t="n">
        <v>8</v>
      </c>
      <c r="B528" s="32" t="s">
        <v>489</v>
      </c>
      <c r="C528" s="16" t="n">
        <v>416500</v>
      </c>
      <c r="D528" s="13"/>
      <c r="E528" s="14" t="n">
        <f aca="false">C528-D528</f>
        <v>416500</v>
      </c>
    </row>
    <row r="529" customFormat="false" ht="15" hidden="false" customHeight="false" outlineLevel="0" collapsed="false">
      <c r="A529" s="49" t="n">
        <v>9</v>
      </c>
      <c r="B529" s="32" t="s">
        <v>490</v>
      </c>
      <c r="C529" s="16" t="n">
        <v>416500</v>
      </c>
      <c r="D529" s="13"/>
      <c r="E529" s="14" t="n">
        <f aca="false">C529-D529</f>
        <v>416500</v>
      </c>
    </row>
    <row r="530" customFormat="false" ht="15" hidden="false" customHeight="false" outlineLevel="0" collapsed="false">
      <c r="A530" s="49" t="n">
        <v>10</v>
      </c>
      <c r="B530" s="32" t="s">
        <v>491</v>
      </c>
      <c r="C530" s="16" t="n">
        <v>416500</v>
      </c>
      <c r="D530" s="13"/>
      <c r="E530" s="14" t="n">
        <f aca="false">C530-D530</f>
        <v>416500</v>
      </c>
    </row>
    <row r="531" customFormat="false" ht="15" hidden="false" customHeight="false" outlineLevel="0" collapsed="false">
      <c r="A531" s="49" t="n">
        <v>11</v>
      </c>
      <c r="B531" s="32" t="s">
        <v>492</v>
      </c>
      <c r="C531" s="16" t="n">
        <v>416500</v>
      </c>
      <c r="D531" s="13" t="n">
        <f aca="false">82000</f>
        <v>82000</v>
      </c>
      <c r="E531" s="14" t="n">
        <f aca="false">C531-D531</f>
        <v>334500</v>
      </c>
    </row>
    <row r="532" customFormat="false" ht="15" hidden="false" customHeight="false" outlineLevel="0" collapsed="false">
      <c r="A532" s="18" t="n">
        <v>12</v>
      </c>
      <c r="B532" s="32" t="s">
        <v>493</v>
      </c>
      <c r="C532" s="16" t="n">
        <v>416500</v>
      </c>
      <c r="D532" s="13" t="n">
        <f aca="false">215000+100000+101500</f>
        <v>416500</v>
      </c>
      <c r="E532" s="14" t="n">
        <f aca="false">C532-D532</f>
        <v>0</v>
      </c>
    </row>
    <row r="533" customFormat="false" ht="17.35" hidden="false" customHeight="false" outlineLevel="0" collapsed="false">
      <c r="A533" s="19"/>
      <c r="B533" s="20" t="s">
        <v>22</v>
      </c>
      <c r="C533" s="21" t="n">
        <f aca="false">SUM(C521:C532)</f>
        <v>4165000</v>
      </c>
      <c r="D533" s="22" t="n">
        <f aca="false">SUM(D521:D532)</f>
        <v>1331500</v>
      </c>
      <c r="E533" s="45" t="n">
        <f aca="false">SUM(E521:E532)</f>
        <v>2833500</v>
      </c>
    </row>
    <row r="534" customFormat="false" ht="17.35" hidden="false" customHeight="false" outlineLevel="0" collapsed="false">
      <c r="A534" s="84"/>
      <c r="B534" s="36"/>
      <c r="C534" s="37"/>
      <c r="D534" s="38"/>
      <c r="E534" s="39"/>
    </row>
    <row r="535" customFormat="false" ht="15" hidden="false" customHeight="false" outlineLevel="0" collapsed="false">
      <c r="D535" s="24"/>
      <c r="E535" s="24"/>
    </row>
    <row r="536" customFormat="false" ht="15" hidden="false" customHeight="false" outlineLevel="0" collapsed="false">
      <c r="D536" s="24"/>
      <c r="E536" s="24"/>
    </row>
    <row r="537" customFormat="false" ht="15" hidden="false" customHeight="false" outlineLevel="0" collapsed="false">
      <c r="D537" s="24"/>
      <c r="E537" s="24"/>
    </row>
    <row r="538" customFormat="false" ht="17.35" hidden="false" customHeight="false" outlineLevel="0" collapsed="false">
      <c r="A538" s="40"/>
      <c r="B538" s="2" t="s">
        <v>504</v>
      </c>
      <c r="D538" s="24"/>
      <c r="E538" s="24"/>
    </row>
    <row r="539" customFormat="false" ht="17.35" hidden="false" customHeight="false" outlineLevel="0" collapsed="false">
      <c r="A539" s="62"/>
      <c r="D539" s="24"/>
      <c r="E539" s="24"/>
    </row>
    <row r="540" customFormat="false" ht="15" hidden="false" customHeight="false" outlineLevel="0" collapsed="false">
      <c r="A540" s="40"/>
      <c r="D540" s="24"/>
      <c r="E540" s="24"/>
    </row>
    <row r="541" customFormat="false" ht="17.25" hidden="false" customHeight="false" outlineLevel="0" collapsed="false">
      <c r="A541" s="40"/>
      <c r="B541" s="4" t="s">
        <v>494</v>
      </c>
      <c r="D541" s="24"/>
      <c r="E541" s="24"/>
    </row>
    <row r="542" customFormat="false" ht="15" hidden="false" customHeight="false" outlineLevel="0" collapsed="false">
      <c r="A542" s="40"/>
      <c r="D542" s="25" t="s">
        <v>51</v>
      </c>
      <c r="E542" s="24"/>
    </row>
    <row r="543" customFormat="false" ht="15" hidden="false" customHeight="false" outlineLevel="0" collapsed="false">
      <c r="A543" s="40"/>
      <c r="D543" s="24"/>
      <c r="E543" s="24"/>
    </row>
    <row r="544" customFormat="false" ht="15" hidden="false" customHeight="false" outlineLevel="0" collapsed="false">
      <c r="A544" s="6" t="s">
        <v>5</v>
      </c>
      <c r="B544" s="7" t="s">
        <v>6</v>
      </c>
      <c r="C544" s="8" t="s">
        <v>7</v>
      </c>
      <c r="D544" s="42" t="s">
        <v>8</v>
      </c>
      <c r="E544" s="43" t="s">
        <v>9</v>
      </c>
    </row>
    <row r="545" customFormat="false" ht="15" hidden="false" customHeight="false" outlineLevel="0" collapsed="false">
      <c r="A545" s="49" t="n">
        <v>1</v>
      </c>
      <c r="B545" s="32" t="s">
        <v>505</v>
      </c>
      <c r="C545" s="16" t="n">
        <v>416500</v>
      </c>
      <c r="D545" s="13" t="n">
        <f aca="false">150500+70000+100000+96000</f>
        <v>416500</v>
      </c>
      <c r="E545" s="14" t="n">
        <f aca="false">C545-D545</f>
        <v>0</v>
      </c>
    </row>
    <row r="546" customFormat="false" ht="15" hidden="false" customHeight="false" outlineLevel="0" collapsed="false">
      <c r="A546" s="18" t="n">
        <v>2</v>
      </c>
      <c r="B546" s="88" t="s">
        <v>506</v>
      </c>
      <c r="C546" s="16" t="n">
        <v>416500</v>
      </c>
      <c r="D546" s="13" t="n">
        <f aca="false">216500+100000</f>
        <v>316500</v>
      </c>
      <c r="E546" s="14" t="n">
        <f aca="false">C546-D546</f>
        <v>100000</v>
      </c>
    </row>
    <row r="547" customFormat="false" ht="15" hidden="false" customHeight="false" outlineLevel="0" collapsed="false">
      <c r="A547" s="49" t="n">
        <v>3</v>
      </c>
      <c r="B547" s="32" t="s">
        <v>507</v>
      </c>
      <c r="C547" s="16" t="n">
        <v>416500</v>
      </c>
      <c r="D547" s="13"/>
      <c r="E547" s="14" t="n">
        <f aca="false">C547-D547</f>
        <v>416500</v>
      </c>
    </row>
    <row r="548" customFormat="false" ht="15" hidden="false" customHeight="false" outlineLevel="0" collapsed="false">
      <c r="A548" s="49" t="n">
        <v>4</v>
      </c>
      <c r="B548" s="32" t="s">
        <v>508</v>
      </c>
      <c r="C548" s="16" t="n">
        <v>416500</v>
      </c>
      <c r="D548" s="13" t="n">
        <f aca="false">83500</f>
        <v>83500</v>
      </c>
      <c r="E548" s="14" t="n">
        <f aca="false">C548-D548</f>
        <v>333000</v>
      </c>
    </row>
    <row r="549" customFormat="false" ht="15" hidden="false" customHeight="false" outlineLevel="0" collapsed="false">
      <c r="A549" s="49" t="n">
        <v>5</v>
      </c>
      <c r="B549" s="32" t="s">
        <v>509</v>
      </c>
      <c r="C549" s="86" t="n">
        <v>416500</v>
      </c>
      <c r="D549" s="87" t="n">
        <f aca="false">100000</f>
        <v>100000</v>
      </c>
      <c r="E549" s="14" t="n">
        <f aca="false">C549-D549</f>
        <v>316500</v>
      </c>
    </row>
    <row r="550" customFormat="false" ht="15" hidden="false" customHeight="false" outlineLevel="0" collapsed="false">
      <c r="A550" s="49" t="n">
        <v>6</v>
      </c>
      <c r="B550" s="32" t="s">
        <v>510</v>
      </c>
      <c r="C550" s="86" t="n">
        <v>416500</v>
      </c>
      <c r="D550" s="13" t="n">
        <f aca="false">32000</f>
        <v>32000</v>
      </c>
      <c r="E550" s="14" t="n">
        <f aca="false">C550-D550</f>
        <v>384500</v>
      </c>
    </row>
    <row r="551" customFormat="false" ht="15" hidden="false" customHeight="false" outlineLevel="0" collapsed="false">
      <c r="A551" s="49" t="n">
        <v>7</v>
      </c>
      <c r="B551" s="88" t="s">
        <v>1567</v>
      </c>
      <c r="C551" s="86" t="n">
        <v>416500</v>
      </c>
      <c r="D551" s="13"/>
      <c r="E551" s="14" t="n">
        <f aca="false">C551-D551</f>
        <v>416500</v>
      </c>
    </row>
    <row r="552" customFormat="false" ht="15" hidden="false" customHeight="false" outlineLevel="0" collapsed="false">
      <c r="A552" s="49" t="n">
        <v>8</v>
      </c>
      <c r="B552" s="32" t="s">
        <v>512</v>
      </c>
      <c r="C552" s="86" t="n">
        <v>416500</v>
      </c>
      <c r="D552" s="13" t="n">
        <f aca="false">30000</f>
        <v>30000</v>
      </c>
      <c r="E552" s="14" t="n">
        <f aca="false">C552-D552</f>
        <v>386500</v>
      </c>
    </row>
    <row r="553" customFormat="false" ht="15" hidden="false" customHeight="false" outlineLevel="0" collapsed="false">
      <c r="A553" s="18" t="n">
        <v>9</v>
      </c>
      <c r="B553" s="32" t="s">
        <v>513</v>
      </c>
      <c r="C553" s="16" t="n">
        <v>416500</v>
      </c>
      <c r="D553" s="13"/>
      <c r="E553" s="14" t="n">
        <f aca="false">C553-D553</f>
        <v>416500</v>
      </c>
    </row>
    <row r="554" customFormat="false" ht="17.35" hidden="false" customHeight="false" outlineLevel="0" collapsed="false">
      <c r="A554" s="19"/>
      <c r="B554" s="20" t="s">
        <v>22</v>
      </c>
      <c r="C554" s="21" t="n">
        <f aca="false">SUM(C545:C553)</f>
        <v>3748500</v>
      </c>
      <c r="D554" s="22" t="n">
        <f aca="false">SUM(D545:D553)</f>
        <v>978500</v>
      </c>
      <c r="E554" s="45" t="n">
        <f aca="false">SUM(E545:E553)</f>
        <v>2770000</v>
      </c>
    </row>
    <row r="555" customFormat="false" ht="15" hidden="false" customHeight="false" outlineLevel="0" collapsed="false">
      <c r="D555" s="24"/>
      <c r="E555" s="24"/>
    </row>
    <row r="556" customFormat="false" ht="15" hidden="false" customHeight="false" outlineLevel="0" collapsed="false">
      <c r="D556" s="24"/>
      <c r="E556" s="24"/>
    </row>
    <row r="557" customFormat="false" ht="15" hidden="false" customHeight="false" outlineLevel="0" collapsed="false">
      <c r="D557" s="24"/>
      <c r="E557" s="24"/>
    </row>
    <row r="558" customFormat="false" ht="15" hidden="false" customHeight="false" outlineLevel="0" collapsed="false">
      <c r="D558" s="24"/>
      <c r="E558" s="24"/>
    </row>
    <row r="559" customFormat="false" ht="15" hidden="false" customHeight="false" outlineLevel="0" collapsed="false">
      <c r="D559" s="24"/>
      <c r="E559" s="2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F51"/>
  <sheetViews>
    <sheetView showFormulas="false" showGridLines="true" showRowColHeaders="true" showZeros="true" rightToLeft="false" tabSelected="false" showOutlineSymbols="true" defaultGridColor="true" view="normal" topLeftCell="A1" colorId="64" zoomScale="93" zoomScaleNormal="93" zoomScalePageLayoutView="100" workbookViewId="0">
      <selection pane="topLeft" activeCell="K14" activeCellId="0" sqref="K14"/>
    </sheetView>
  </sheetViews>
  <sheetFormatPr defaultColWidth="11.00390625" defaultRowHeight="15" zeroHeight="false" outlineLevelRow="0" outlineLevelCol="0"/>
  <sheetData>
    <row r="6" customFormat="false" ht="15" hidden="false" customHeight="false" outlineLevel="0" collapsed="false">
      <c r="A6" s="175" t="s">
        <v>880</v>
      </c>
      <c r="B6" s="176"/>
      <c r="C6" s="176"/>
      <c r="D6" s="176"/>
      <c r="E6" s="176"/>
      <c r="F6" s="176"/>
    </row>
    <row r="7" customFormat="false" ht="15" hidden="false" customHeight="false" outlineLevel="0" collapsed="false">
      <c r="A7" s="177" t="s">
        <v>881</v>
      </c>
      <c r="B7" s="178" t="s">
        <v>882</v>
      </c>
      <c r="C7" s="178"/>
      <c r="D7" s="178"/>
      <c r="E7" s="179"/>
      <c r="F7" s="176"/>
    </row>
    <row r="9" customFormat="false" ht="28.35" hidden="false" customHeight="false" outlineLevel="0" collapsed="false">
      <c r="A9" s="180" t="s">
        <v>883</v>
      </c>
      <c r="B9" s="181" t="s">
        <v>884</v>
      </c>
      <c r="C9" s="180" t="s">
        <v>885</v>
      </c>
      <c r="D9" s="182" t="s">
        <v>886</v>
      </c>
      <c r="E9" s="183" t="s">
        <v>887</v>
      </c>
      <c r="F9" s="184" t="s">
        <v>888</v>
      </c>
    </row>
    <row r="10" customFormat="false" ht="15" hidden="false" customHeight="false" outlineLevel="0" collapsed="false">
      <c r="A10" s="185"/>
      <c r="B10" s="186"/>
      <c r="C10" s="187"/>
      <c r="D10" s="187"/>
      <c r="E10" s="187"/>
      <c r="F10" s="188"/>
    </row>
    <row r="11" customFormat="false" ht="15" hidden="false" customHeight="false" outlineLevel="0" collapsed="false">
      <c r="A11" s="189" t="s">
        <v>889</v>
      </c>
      <c r="B11" s="190" t="n">
        <v>29</v>
      </c>
      <c r="C11" s="191" t="n">
        <f aca="false">'LICENCE PRO. 1ère ANNEE'!C68</f>
        <v>0</v>
      </c>
      <c r="D11" s="191" t="n">
        <f aca="false">'LICENCE PRO. 1ère ANNEE'!D68</f>
        <v>0</v>
      </c>
      <c r="E11" s="192" t="n">
        <f aca="false">'LICENCE PRO. 1ère ANNEE'!E68</f>
        <v>0</v>
      </c>
      <c r="F11" s="193"/>
    </row>
    <row r="12" customFormat="false" ht="15" hidden="false" customHeight="false" outlineLevel="0" collapsed="false">
      <c r="A12" s="189" t="s">
        <v>890</v>
      </c>
      <c r="B12" s="190" t="n">
        <v>20</v>
      </c>
      <c r="C12" s="191" t="n">
        <f aca="false">'LICENCE PRO. 2è-3è-4è ANNEE'!C188</f>
        <v>0</v>
      </c>
      <c r="D12" s="191" t="n">
        <f aca="false">'LICENCE PRO. 2è-3è-4è ANNEE'!D188</f>
        <v>0</v>
      </c>
      <c r="E12" s="192" t="n">
        <f aca="false">C12-D12</f>
        <v>0</v>
      </c>
      <c r="F12" s="193"/>
    </row>
    <row r="13" customFormat="false" ht="15" hidden="false" customHeight="false" outlineLevel="0" collapsed="false">
      <c r="A13" s="189" t="s">
        <v>891</v>
      </c>
      <c r="B13" s="190" t="n">
        <v>34</v>
      </c>
      <c r="C13" s="191" t="n">
        <f aca="false">'LICENCE PRO. 2è-3è-4è ANNEE'!C232</f>
        <v>0</v>
      </c>
      <c r="D13" s="191" t="n">
        <f aca="false">'LICENCE PRO. 2è-3è-4è ANNEE'!D232</f>
        <v>0</v>
      </c>
      <c r="E13" s="192" t="n">
        <f aca="false">C13-D13</f>
        <v>0</v>
      </c>
      <c r="F13" s="193"/>
    </row>
    <row r="14" customFormat="false" ht="15" hidden="false" customHeight="false" outlineLevel="0" collapsed="false">
      <c r="A14" s="189" t="s">
        <v>892</v>
      </c>
      <c r="B14" s="190" t="n">
        <v>23</v>
      </c>
      <c r="C14" s="191" t="n">
        <f aca="false">'LICENCE PRO. 2è-3è-4è ANNEE'!C265</f>
        <v>0</v>
      </c>
      <c r="D14" s="191" t="n">
        <f aca="false">'LICENCE PRO. 2è-3è-4è ANNEE'!D265</f>
        <v>0</v>
      </c>
      <c r="E14" s="192" t="n">
        <f aca="false">C14-D14</f>
        <v>0</v>
      </c>
      <c r="F14" s="193"/>
    </row>
    <row r="15" customFormat="false" ht="15" hidden="false" customHeight="false" outlineLevel="0" collapsed="false">
      <c r="A15" s="194"/>
      <c r="B15" s="195"/>
      <c r="C15" s="196"/>
      <c r="D15" s="196"/>
      <c r="E15" s="196"/>
      <c r="F15" s="197"/>
    </row>
    <row r="16" customFormat="false" ht="15" hidden="false" customHeight="false" outlineLevel="0" collapsed="false">
      <c r="A16" s="189" t="s">
        <v>893</v>
      </c>
      <c r="B16" s="190" t="n">
        <v>20</v>
      </c>
      <c r="C16" s="191" t="n">
        <f aca="false">'LICENCE PRO. 1ère ANNEE'!C99</f>
        <v>0</v>
      </c>
      <c r="D16" s="191" t="n">
        <f aca="false">'LICENCE PRO. 1ère ANNEE'!D99</f>
        <v>0</v>
      </c>
      <c r="E16" s="191" t="n">
        <f aca="false">C16-D16</f>
        <v>0</v>
      </c>
      <c r="F16" s="198"/>
    </row>
    <row r="17" customFormat="false" ht="15" hidden="false" customHeight="false" outlineLevel="0" collapsed="false">
      <c r="A17" s="189" t="s">
        <v>894</v>
      </c>
      <c r="B17" s="190" t="n">
        <v>18</v>
      </c>
      <c r="C17" s="191" t="n">
        <f aca="false">'LICENCE PRO. 2è-3è-4è ANNEE'!C295</f>
        <v>0</v>
      </c>
      <c r="D17" s="191" t="n">
        <f aca="false">'LICENCE PRO. 2è-3è-4è ANNEE'!D295</f>
        <v>0</v>
      </c>
      <c r="E17" s="191" t="n">
        <f aca="false">C17-D17</f>
        <v>0</v>
      </c>
      <c r="F17" s="198"/>
    </row>
    <row r="18" customFormat="false" ht="15" hidden="false" customHeight="false" outlineLevel="0" collapsed="false">
      <c r="A18" s="189" t="s">
        <v>895</v>
      </c>
      <c r="B18" s="190" t="n">
        <v>22</v>
      </c>
      <c r="C18" s="191" t="n">
        <f aca="false">'LICENCE PRO. 2è-3è-4è ANNEE'!C327</f>
        <v>0</v>
      </c>
      <c r="D18" s="191" t="n">
        <f aca="false">'LICENCE PRO. 2è-3è-4è ANNEE'!D327</f>
        <v>0</v>
      </c>
      <c r="E18" s="191" t="n">
        <f aca="false">C18-D18</f>
        <v>0</v>
      </c>
      <c r="F18" s="198"/>
    </row>
    <row r="19" customFormat="false" ht="15" hidden="false" customHeight="false" outlineLevel="0" collapsed="false">
      <c r="A19" s="189" t="s">
        <v>896</v>
      </c>
      <c r="B19" s="190" t="n">
        <v>21</v>
      </c>
      <c r="C19" s="191" t="n">
        <f aca="false">'LICENCE PRO. 2è-3è-4è ANNEE'!C359</f>
        <v>0</v>
      </c>
      <c r="D19" s="191" t="n">
        <f aca="false">'LICENCE PRO. 2è-3è-4è ANNEE'!D359</f>
        <v>0</v>
      </c>
      <c r="E19" s="191" t="n">
        <f aca="false">C19-D19</f>
        <v>0</v>
      </c>
      <c r="F19" s="198"/>
    </row>
    <row r="20" customFormat="false" ht="15" hidden="false" customHeight="false" outlineLevel="0" collapsed="false">
      <c r="A20" s="199"/>
      <c r="B20" s="199"/>
      <c r="C20" s="200"/>
      <c r="D20" s="200"/>
      <c r="E20" s="200"/>
      <c r="F20" s="201"/>
    </row>
    <row r="21" customFormat="false" ht="15" hidden="false" customHeight="false" outlineLevel="0" collapsed="false">
      <c r="A21" s="190" t="s">
        <v>897</v>
      </c>
      <c r="B21" s="190" t="n">
        <v>22</v>
      </c>
      <c r="C21" s="191" t="str">
        <f aca="false">'LICENCE PRO. 1ère ANNEE'!C130</f>
        <v>LICENCE PROFESSIONNELLE 2017-2018</v>
      </c>
      <c r="D21" s="191" t="n">
        <f aca="false">'LICENCE PRO. 1ère ANNEE'!D130</f>
        <v>0</v>
      </c>
      <c r="E21" s="191" t="e">
        <f aca="false">C21-D21</f>
        <v>#VALUE!</v>
      </c>
      <c r="F21" s="193"/>
    </row>
    <row r="22" customFormat="false" ht="15" hidden="false" customHeight="false" outlineLevel="0" collapsed="false">
      <c r="A22" s="190" t="s">
        <v>898</v>
      </c>
      <c r="B22" s="190" t="n">
        <v>11</v>
      </c>
      <c r="C22" s="191" t="n">
        <f aca="false">'LICENCE PRO. 2è-3è-4è ANNEE'!C381</f>
        <v>0</v>
      </c>
      <c r="D22" s="191" t="n">
        <f aca="false">'LICENCE PRO. 2è-3è-4è ANNEE'!D381</f>
        <v>0</v>
      </c>
      <c r="E22" s="191" t="n">
        <f aca="false">C22-D22</f>
        <v>0</v>
      </c>
      <c r="F22" s="193"/>
    </row>
    <row r="23" customFormat="false" ht="15" hidden="false" customHeight="false" outlineLevel="0" collapsed="false">
      <c r="A23" s="190" t="s">
        <v>899</v>
      </c>
      <c r="B23" s="190" t="n">
        <v>17</v>
      </c>
      <c r="C23" s="191" t="n">
        <f aca="false">'LICENCE PRO. 2è-3è-4è ANNEE'!C409</f>
        <v>0</v>
      </c>
      <c r="D23" s="191" t="n">
        <f aca="false">'LICENCE PRO. 2è-3è-4è ANNEE'!D409</f>
        <v>0</v>
      </c>
      <c r="E23" s="191" t="n">
        <f aca="false">C23-D23</f>
        <v>0</v>
      </c>
      <c r="F23" s="193"/>
    </row>
    <row r="24" customFormat="false" ht="15" hidden="false" customHeight="false" outlineLevel="0" collapsed="false">
      <c r="A24" s="190" t="s">
        <v>900</v>
      </c>
      <c r="B24" s="190" t="n">
        <v>16</v>
      </c>
      <c r="C24" s="191" t="n">
        <f aca="false">'LICENCE PRO. 2è-3è-4è ANNEE'!C435</f>
        <v>0</v>
      </c>
      <c r="D24" s="191" t="n">
        <f aca="false">'LICENCE PRO. 2è-3è-4è ANNEE'!D435</f>
        <v>0</v>
      </c>
      <c r="E24" s="191" t="n">
        <f aca="false">C24-D24</f>
        <v>0</v>
      </c>
      <c r="F24" s="193"/>
    </row>
    <row r="25" customFormat="false" ht="15" hidden="false" customHeight="false" outlineLevel="0" collapsed="false">
      <c r="A25" s="202"/>
      <c r="B25" s="203"/>
      <c r="C25" s="204"/>
      <c r="D25" s="204"/>
      <c r="E25" s="204"/>
      <c r="F25" s="205"/>
    </row>
    <row r="26" customFormat="false" ht="15" hidden="false" customHeight="false" outlineLevel="0" collapsed="false">
      <c r="A26" s="206"/>
      <c r="B26" s="206"/>
      <c r="C26" s="206"/>
      <c r="D26" s="206"/>
      <c r="E26" s="206"/>
      <c r="F26" s="206"/>
    </row>
    <row r="27" customFormat="false" ht="15" hidden="false" customHeight="false" outlineLevel="0" collapsed="false">
      <c r="A27" s="189" t="s">
        <v>901</v>
      </c>
      <c r="B27" s="190" t="n">
        <v>6</v>
      </c>
      <c r="C27" s="191" t="n">
        <f aca="false">'LICENCE PRO. 2è-3è-4è ANNEE'!C674</f>
        <v>0</v>
      </c>
      <c r="D27" s="191" t="n">
        <f aca="false">'LICENCE PRO. 2è-3è-4è ANNEE'!D674</f>
        <v>0</v>
      </c>
      <c r="E27" s="207" t="n">
        <f aca="false">C27-D27</f>
        <v>0</v>
      </c>
      <c r="F27" s="198"/>
    </row>
    <row r="28" customFormat="false" ht="15" hidden="false" customHeight="false" outlineLevel="0" collapsed="false">
      <c r="A28" s="189" t="s">
        <v>902</v>
      </c>
      <c r="B28" s="190" t="n">
        <v>10</v>
      </c>
      <c r="C28" s="191" t="n">
        <f aca="false">'LICENCE PRO. 2è-3è-4è ANNEE'!C694</f>
        <v>0</v>
      </c>
      <c r="D28" s="191" t="n">
        <f aca="false">'LICENCE PRO. 2è-3è-4è ANNEE'!D694</f>
        <v>0</v>
      </c>
      <c r="E28" s="207" t="n">
        <f aca="false">C28-D28</f>
        <v>0</v>
      </c>
      <c r="F28" s="198"/>
    </row>
    <row r="29" customFormat="false" ht="15" hidden="false" customHeight="false" outlineLevel="0" collapsed="false">
      <c r="A29" s="203"/>
      <c r="B29" s="208"/>
      <c r="C29" s="209"/>
      <c r="D29" s="209"/>
      <c r="E29" s="209"/>
      <c r="F29" s="205"/>
    </row>
    <row r="30" customFormat="false" ht="15" hidden="false" customHeight="false" outlineLevel="0" collapsed="false">
      <c r="A30" s="189" t="s">
        <v>903</v>
      </c>
      <c r="B30" s="190" t="n">
        <v>15</v>
      </c>
      <c r="C30" s="191" t="n">
        <f aca="false">'LICENCE PRO. 1ère ANNEE'!C30</f>
        <v>0</v>
      </c>
      <c r="D30" s="191" t="n">
        <f aca="false">'LICENCE PRO. 1ère ANNEE'!D30</f>
        <v>0</v>
      </c>
      <c r="E30" s="191" t="n">
        <f aca="false">C30-D30</f>
        <v>0</v>
      </c>
      <c r="F30" s="198"/>
    </row>
    <row r="31" customFormat="false" ht="15" hidden="false" customHeight="false" outlineLevel="0" collapsed="false">
      <c r="A31" s="189" t="s">
        <v>904</v>
      </c>
      <c r="B31" s="190" t="n">
        <v>13</v>
      </c>
      <c r="C31" s="191" t="n">
        <f aca="false">'LICENCE PRO. 2è-3è-4è ANNEE'!C74</f>
        <v>0</v>
      </c>
      <c r="D31" s="191" t="n">
        <f aca="false">'LICENCE PRO. 2è-3è-4è ANNEE'!D74</f>
        <v>0</v>
      </c>
      <c r="E31" s="191" t="n">
        <f aca="false">C31-D31</f>
        <v>0</v>
      </c>
      <c r="F31" s="198"/>
    </row>
    <row r="32" customFormat="false" ht="15" hidden="false" customHeight="false" outlineLevel="0" collapsed="false">
      <c r="A32" s="189" t="s">
        <v>905</v>
      </c>
      <c r="B32" s="190" t="n">
        <v>22</v>
      </c>
      <c r="C32" s="191" t="n">
        <f aca="false">'LICENCE PRO. 2è-3è-4è ANNEE'!C105</f>
        <v>0</v>
      </c>
      <c r="D32" s="191" t="n">
        <f aca="false">'LICENCE PRO. 2è-3è-4è ANNEE'!D105</f>
        <v>0</v>
      </c>
      <c r="E32" s="191" t="n">
        <f aca="false">C32-D32</f>
        <v>0</v>
      </c>
      <c r="F32" s="198"/>
    </row>
    <row r="33" customFormat="false" ht="15" hidden="false" customHeight="false" outlineLevel="0" collapsed="false">
      <c r="A33" s="189" t="s">
        <v>906</v>
      </c>
      <c r="B33" s="190" t="n">
        <v>44</v>
      </c>
      <c r="C33" s="191" t="n">
        <f aca="false">'LICENCE PRO. 2è-3è-4è ANNEE'!C158</f>
        <v>0</v>
      </c>
      <c r="D33" s="191" t="n">
        <f aca="false">'LICENCE PRO. 2è-3è-4è ANNEE'!D158</f>
        <v>0</v>
      </c>
      <c r="E33" s="191" t="n">
        <f aca="false">C33-D33</f>
        <v>0</v>
      </c>
      <c r="F33" s="198"/>
    </row>
    <row r="34" customFormat="false" ht="15" hidden="false" customHeight="false" outlineLevel="0" collapsed="false">
      <c r="A34" s="203"/>
      <c r="B34" s="208"/>
      <c r="C34" s="209"/>
      <c r="D34" s="209"/>
      <c r="E34" s="210"/>
      <c r="F34" s="211"/>
    </row>
    <row r="35" customFormat="false" ht="15" hidden="false" customHeight="false" outlineLevel="0" collapsed="false">
      <c r="A35" s="189" t="s">
        <v>907</v>
      </c>
      <c r="B35" s="190" t="n">
        <v>12</v>
      </c>
      <c r="C35" s="191" t="n">
        <f aca="false">'LICENCE PRO. 2è-3è-4è ANNEE'!C25</f>
        <v>0</v>
      </c>
      <c r="D35" s="191" t="n">
        <f aca="false">'LICENCE PRO. 2è-3è-4è ANNEE'!D25</f>
        <v>0</v>
      </c>
      <c r="E35" s="207" t="n">
        <f aca="false">C35-D35</f>
        <v>0</v>
      </c>
      <c r="F35" s="198"/>
    </row>
    <row r="36" customFormat="false" ht="15" hidden="false" customHeight="false" outlineLevel="0" collapsed="false">
      <c r="A36" s="189" t="s">
        <v>908</v>
      </c>
      <c r="B36" s="212" t="n">
        <v>13</v>
      </c>
      <c r="C36" s="191" t="n">
        <f aca="false">'LICENCE PRO. 2è-3è-4è ANNEE'!C51</f>
        <v>0</v>
      </c>
      <c r="D36" s="191" t="n">
        <f aca="false">'LICENCE PRO. 2è-3è-4è ANNEE'!D51</f>
        <v>0</v>
      </c>
      <c r="E36" s="207" t="n">
        <f aca="false">C36-D36</f>
        <v>0</v>
      </c>
      <c r="F36" s="213"/>
    </row>
    <row r="37" customFormat="false" ht="15" hidden="false" customHeight="false" outlineLevel="0" collapsed="false">
      <c r="A37" s="214"/>
      <c r="B37" s="215"/>
      <c r="C37" s="216"/>
      <c r="D37" s="216"/>
      <c r="E37" s="216"/>
      <c r="F37" s="217"/>
    </row>
    <row r="38" customFormat="false" ht="15" hidden="false" customHeight="false" outlineLevel="0" collapsed="false">
      <c r="A38" s="218" t="s">
        <v>909</v>
      </c>
      <c r="B38" s="219" t="n">
        <v>60</v>
      </c>
      <c r="C38" s="207" t="n">
        <f aca="false">'LICENCE PRO. 1ère ANNEE'!C222</f>
        <v>0</v>
      </c>
      <c r="D38" s="207" t="n">
        <f aca="false">'LICENCE PRO. 1ère ANNEE'!D222</f>
        <v>0</v>
      </c>
      <c r="E38" s="207" t="n">
        <f aca="false">C38-D38</f>
        <v>0</v>
      </c>
      <c r="F38" s="220"/>
    </row>
    <row r="39" customFormat="false" ht="15" hidden="false" customHeight="false" outlineLevel="0" collapsed="false">
      <c r="A39" s="218" t="s">
        <v>910</v>
      </c>
      <c r="B39" s="221" t="n">
        <v>35</v>
      </c>
      <c r="C39" s="207" t="n">
        <f aca="false">'LICENCE PRO. 2è-3è-4è ANNEE'!C510</f>
        <v>0</v>
      </c>
      <c r="D39" s="207" t="n">
        <f aca="false">'LICENCE PRO. 2è-3è-4è ANNEE'!D510</f>
        <v>0</v>
      </c>
      <c r="E39" s="207" t="n">
        <f aca="false">C39-D39</f>
        <v>0</v>
      </c>
      <c r="F39" s="220"/>
    </row>
    <row r="40" customFormat="false" ht="15" hidden="false" customHeight="false" outlineLevel="0" collapsed="false">
      <c r="A40" s="222" t="s">
        <v>911</v>
      </c>
      <c r="B40" s="221" t="n">
        <v>59</v>
      </c>
      <c r="C40" s="207" t="n">
        <f aca="false">'LICENCE PRO. 2è-3è-4è ANNEE'!C579</f>
        <v>0</v>
      </c>
      <c r="D40" s="207" t="n">
        <f aca="false">'LICENCE PRO. 2è-3è-4è ANNEE'!D579</f>
        <v>0</v>
      </c>
      <c r="E40" s="207" t="n">
        <f aca="false">C40-D40</f>
        <v>0</v>
      </c>
      <c r="F40" s="220"/>
    </row>
    <row r="41" customFormat="false" ht="15" hidden="false" customHeight="false" outlineLevel="0" collapsed="false">
      <c r="A41" s="222" t="s">
        <v>912</v>
      </c>
      <c r="B41" s="223" t="n">
        <v>25</v>
      </c>
      <c r="C41" s="191" t="n">
        <f aca="false">'LICENCE PRO. 2è-3è-4è ANNEE'!C615</f>
        <v>0</v>
      </c>
      <c r="D41" s="191" t="n">
        <f aca="false">'LICENCE PRO. 2è-3è-4è ANNEE'!D615</f>
        <v>0</v>
      </c>
      <c r="E41" s="207" t="n">
        <f aca="false">C41-D41</f>
        <v>0</v>
      </c>
      <c r="F41" s="198"/>
    </row>
    <row r="42" customFormat="false" ht="15" hidden="false" customHeight="false" outlineLevel="0" collapsed="false">
      <c r="A42" s="224"/>
      <c r="B42" s="225"/>
      <c r="C42" s="226"/>
      <c r="D42" s="226"/>
      <c r="E42" s="226"/>
      <c r="F42" s="227"/>
    </row>
    <row r="43" customFormat="false" ht="15" hidden="false" customHeight="false" outlineLevel="0" collapsed="false">
      <c r="A43" s="222" t="s">
        <v>913</v>
      </c>
      <c r="B43" s="223" t="n">
        <v>14</v>
      </c>
      <c r="C43" s="191" t="n">
        <f aca="false">'LICENCE PRO. 2è-3è-4è ANNEE'!C464</f>
        <v>0</v>
      </c>
      <c r="D43" s="191" t="n">
        <f aca="false">'LICENCE PRO. 2è-3è-4è ANNEE'!D464</f>
        <v>0</v>
      </c>
      <c r="E43" s="191" t="n">
        <f aca="false">C43-D43</f>
        <v>0</v>
      </c>
      <c r="F43" s="198"/>
    </row>
    <row r="44" customFormat="false" ht="15" hidden="false" customHeight="false" outlineLevel="0" collapsed="false">
      <c r="A44" s="222" t="s">
        <v>914</v>
      </c>
      <c r="B44" s="223" t="n">
        <v>33</v>
      </c>
      <c r="C44" s="191" t="n">
        <f aca="false">'LICENCE PRO. 2è-3è-4è ANNEE'!C658</f>
        <v>0</v>
      </c>
      <c r="D44" s="191" t="n">
        <f aca="false">'LICENCE PRO. 2è-3è-4è ANNEE'!D658</f>
        <v>0</v>
      </c>
      <c r="E44" s="191" t="n">
        <f aca="false">C44-D44</f>
        <v>0</v>
      </c>
      <c r="F44" s="198"/>
    </row>
    <row r="45" customFormat="false" ht="15" hidden="false" customHeight="false" outlineLevel="0" collapsed="false">
      <c r="A45" s="229"/>
      <c r="B45" s="230"/>
      <c r="C45" s="231"/>
      <c r="D45" s="231"/>
      <c r="E45" s="231"/>
      <c r="F45" s="232"/>
    </row>
    <row r="46" customFormat="false" ht="15" hidden="false" customHeight="false" outlineLevel="0" collapsed="false">
      <c r="A46" s="218" t="s">
        <v>915</v>
      </c>
      <c r="B46" s="221" t="n">
        <v>14</v>
      </c>
      <c r="C46" s="207" t="n">
        <f aca="false">'LICENCE PRO. 1ère ANNEE'!C153</f>
        <v>0</v>
      </c>
      <c r="D46" s="207" t="n">
        <f aca="false">'LICENCE PRO. 1ère ANNEE'!D153</f>
        <v>0</v>
      </c>
      <c r="E46" s="207" t="n">
        <f aca="false">C46-D46</f>
        <v>0</v>
      </c>
      <c r="F46" s="220"/>
    </row>
    <row r="47" customFormat="false" ht="15" hidden="false" customHeight="false" outlineLevel="0" collapsed="false">
      <c r="A47" s="218" t="s">
        <v>916</v>
      </c>
      <c r="B47" s="221" t="n">
        <v>10</v>
      </c>
      <c r="C47" s="207" t="n">
        <f aca="false">'LICENCE PRO. 2è-3è-4è ANNEE'!C716</f>
        <v>0</v>
      </c>
      <c r="D47" s="207" t="n">
        <f aca="false">'LICENCE PRO. 2è-3è-4è ANNEE'!D716</f>
        <v>0</v>
      </c>
      <c r="E47" s="207" t="n">
        <f aca="false">C47-D47</f>
        <v>0</v>
      </c>
      <c r="F47" s="220"/>
    </row>
    <row r="48" customFormat="false" ht="15" hidden="false" customHeight="false" outlineLevel="0" collapsed="false">
      <c r="A48" s="218" t="s">
        <v>917</v>
      </c>
      <c r="B48" s="221" t="n">
        <v>9</v>
      </c>
      <c r="C48" s="207" t="n">
        <f aca="false">'LICENCE PRO. 2è-3è-4è ANNEE'!C737</f>
        <v>0</v>
      </c>
      <c r="D48" s="207" t="n">
        <f aca="false">'LICENCE PRO. 2è-3è-4è ANNEE'!D737</f>
        <v>0</v>
      </c>
      <c r="E48" s="207" t="n">
        <f aca="false">C48-D48</f>
        <v>0</v>
      </c>
      <c r="F48" s="220"/>
    </row>
    <row r="49" customFormat="false" ht="15" hidden="false" customHeight="false" outlineLevel="0" collapsed="false">
      <c r="A49" s="224"/>
      <c r="B49" s="233"/>
      <c r="C49" s="226"/>
      <c r="D49" s="226"/>
      <c r="E49" s="226"/>
      <c r="F49" s="227"/>
    </row>
    <row r="50" customFormat="false" ht="15" hidden="false" customHeight="false" outlineLevel="0" collapsed="false">
      <c r="A50" s="234" t="s">
        <v>918</v>
      </c>
      <c r="B50" s="235" t="n">
        <f aca="false">B11+B12+B13+B14+B16+B17+B18+B19+B21+B22+B23+B24+B27+B28+B30+B31+B32+B33+B35+B36+B38+B39+B40+B41+B43+B44+B46+B47+B48</f>
        <v>647</v>
      </c>
      <c r="C50" s="235" t="e">
        <f aca="false">C11+C12+C13+C14+C16+C17+C18+C19+C21+C22+C23+C24+C27+C28+C30+C31+C32+C33+C35+C36+C38+C39+C41+C43+C44+C46+C47+C48</f>
        <v>#VALUE!</v>
      </c>
      <c r="D50" s="236" t="n">
        <f aca="false">SUM(D11:D49)</f>
        <v>0</v>
      </c>
      <c r="E50" s="235" t="e">
        <f aca="false">SUM(E11:E49)</f>
        <v>#VALUE!</v>
      </c>
      <c r="F50" s="237" t="e">
        <f aca="false">D50/C50</f>
        <v>#VALUE!</v>
      </c>
    </row>
    <row r="51" customFormat="false" ht="15.75" hidden="false" customHeight="false" outlineLevel="0" collapsed="false">
      <c r="A51" s="238"/>
      <c r="B51" s="238"/>
      <c r="C51" s="239"/>
      <c r="D51" s="239"/>
      <c r="E51" s="239"/>
      <c r="F51" s="240"/>
    </row>
  </sheetData>
  <mergeCells count="2">
    <mergeCell ref="B7:D7"/>
    <mergeCell ref="A26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2015-02-05T14:12:00Z</dcterms:created>
  <dc:creator>HP</dc:creator>
  <dc:description/>
  <dc:language>fr-FR</dc:language>
  <cp:lastModifiedBy/>
  <cp:lastPrinted>2019-12-19T13:05:00Z</cp:lastPrinted>
  <dcterms:modified xsi:type="dcterms:W3CDTF">2024-12-23T07:30:22Z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BD77ECB45EEF45C4BAC7DA90EEB85D54_12</vt:lpwstr>
  </property>
  <property fmtid="{D5CDD505-2E9C-101B-9397-08002B2CF9AE}" pid="3" name="KSOProductBuildVer">
    <vt:lpwstr>1036-12.2.0.17119</vt:lpwstr>
  </property>
</Properties>
</file>