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_IGNORER_1" sheetId="1" state="visible" r:id="rId3"/>
    <sheet name="LICENCE PRO. 2è-3è-4è ANNEE" sheetId="2" state="visible" r:id="rId4"/>
    <sheet name="LICENCE PRO. 1ère ANNEE" sheetId="3" state="visible" r:id="rId5"/>
    <sheet name="INGENIEUR" sheetId="4" state="visible" r:id="rId6"/>
    <sheet name="A_IGNORER_2" sheetId="5" state="visible" r:id="rId7"/>
    <sheet name="A_IGNORER_3" sheetId="6" state="visible" r:id="rId8"/>
    <sheet name="Feuil1" sheetId="7" state="visible" r:id="rId9"/>
    <sheet name="A_IGNORER_4" sheetId="8" state="visible" r:id="rId10"/>
    <sheet name="Feuil4" sheetId="9" state="visible" r:id="rId11"/>
    <sheet name="Feuille11" sheetId="10" state="visible" r:id="rId12"/>
  </sheets>
  <definedNames>
    <definedName function="false" hidden="false" localSheetId="3" name="_xlnm.Print_Area" vbProcedure="false">INGENIEUR!$A$1:$E$368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<sst xmlns="http://schemas.openxmlformats.org/spreadsheetml/2006/main" count="2072" uniqueCount="1299">
  <si>
    <t xml:space="preserve">LICENCE PROFESSIONNELLE 2018-2019</t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</si>
  <si>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PRODUCTION VEGETALE</t>
    </r>
  </si>
  <si>
    <t xml:space="preserve">2ème Année</t>
  </si>
  <si>
    <t xml:space="preserve">N°</t>
  </si>
  <si>
    <t xml:space="preserve">NOM  ET  PRENOMS</t>
  </si>
  <si>
    <t xml:space="preserve">MONT.TOTAL</t>
  </si>
  <si>
    <t xml:space="preserve">MONT.PAYE</t>
  </si>
  <si>
    <t xml:space="preserve">MONT.DÜ</t>
  </si>
  <si>
    <r>
      <rPr>
        <sz val="12"/>
        <color rgb="FF000000"/>
        <rFont val="Calibri"/>
        <family val="0"/>
        <charset val="134"/>
      </rPr>
      <t xml:space="preserve">AMETEPE </t>
    </r>
    <r>
      <rPr>
        <sz val="12"/>
        <color rgb="FF000000"/>
        <rFont val="Calibri"/>
        <family val="0"/>
        <charset val="1"/>
      </rPr>
      <t xml:space="preserve">Hermesse Mirabelle</t>
    </r>
  </si>
  <si>
    <r>
      <rPr>
        <sz val="12"/>
        <color rgb="FF000000"/>
        <rFont val="Calibri"/>
        <family val="0"/>
        <charset val="134"/>
      </rPr>
      <t xml:space="preserve">AMOULE </t>
    </r>
    <r>
      <rPr>
        <sz val="12"/>
        <color rgb="FF000000"/>
        <rFont val="Calibri"/>
        <family val="0"/>
        <charset val="1"/>
      </rPr>
      <t xml:space="preserve">A. Odile</t>
    </r>
  </si>
  <si>
    <r>
      <rPr>
        <sz val="12"/>
        <color rgb="FF000000"/>
        <rFont val="Calibri"/>
        <family val="0"/>
        <charset val="134"/>
      </rPr>
      <t xml:space="preserve">BIO SENON WASSAGUI </t>
    </r>
    <r>
      <rPr>
        <sz val="12"/>
        <color rgb="FF000000"/>
        <rFont val="Calibri"/>
        <family val="0"/>
        <charset val="1"/>
      </rPr>
      <t xml:space="preserve">Phillipe</t>
    </r>
  </si>
  <si>
    <r>
      <rPr>
        <sz val="12"/>
        <color rgb="FF000000"/>
        <rFont val="Calibri"/>
        <family val="0"/>
        <charset val="134"/>
      </rPr>
      <t xml:space="preserve">COMBETTO </t>
    </r>
    <r>
      <rPr>
        <sz val="12"/>
        <color rgb="FF000000"/>
        <rFont val="Calibri"/>
        <family val="0"/>
        <charset val="1"/>
      </rPr>
      <t xml:space="preserve">Yatté  Montand</t>
    </r>
  </si>
  <si>
    <r>
      <rPr>
        <sz val="12"/>
        <color rgb="FF000000"/>
        <rFont val="Calibri"/>
        <family val="0"/>
        <charset val="134"/>
      </rPr>
      <t xml:space="preserve">DEGUENONVO </t>
    </r>
    <r>
      <rPr>
        <sz val="12"/>
        <color rgb="FF000000"/>
        <rFont val="Calibri"/>
        <family val="0"/>
        <charset val="1"/>
      </rPr>
      <t xml:space="preserve">Sènan Doris Marlyse</t>
    </r>
  </si>
  <si>
    <r>
      <rPr>
        <sz val="12"/>
        <color rgb="FF000000"/>
        <rFont val="Calibri"/>
        <family val="0"/>
        <charset val="134"/>
      </rPr>
      <t xml:space="preserve">GBIAN </t>
    </r>
    <r>
      <rPr>
        <sz val="12"/>
        <color rgb="FF000000"/>
        <rFont val="Calibri"/>
        <family val="0"/>
        <charset val="1"/>
      </rPr>
      <t xml:space="preserve">Gnon Nari Nadia</t>
    </r>
  </si>
  <si>
    <r>
      <rPr>
        <sz val="12"/>
        <color rgb="FF000000"/>
        <rFont val="Calibri"/>
        <family val="0"/>
        <charset val="134"/>
      </rPr>
      <t xml:space="preserve">GNIMAGNON </t>
    </r>
    <r>
      <rPr>
        <sz val="12"/>
        <color rgb="FF000000"/>
        <rFont val="Calibri"/>
        <family val="0"/>
        <charset val="1"/>
      </rPr>
      <t xml:space="preserve">Maurice Serge Roland</t>
    </r>
  </si>
  <si>
    <r>
      <rPr>
        <sz val="12"/>
        <color rgb="FF000000"/>
        <rFont val="Calibri"/>
        <family val="0"/>
        <charset val="134"/>
      </rPr>
      <t xml:space="preserve">GUIDI Bio </t>
    </r>
    <r>
      <rPr>
        <sz val="12"/>
        <color rgb="FF000000"/>
        <rFont val="Calibri"/>
        <family val="0"/>
        <charset val="1"/>
      </rPr>
      <t xml:space="preserve">Imorou</t>
    </r>
  </si>
  <si>
    <r>
      <rPr>
        <sz val="12"/>
        <color rgb="FF000000"/>
        <rFont val="Calibri"/>
        <family val="0"/>
        <charset val="134"/>
      </rPr>
      <t xml:space="preserve">KARIM </t>
    </r>
    <r>
      <rPr>
        <sz val="12"/>
        <color rgb="FF000000"/>
        <rFont val="Calibri"/>
        <family val="0"/>
        <charset val="1"/>
      </rPr>
      <t xml:space="preserve">Wahabou</t>
    </r>
  </si>
  <si>
    <t xml:space="preserve">ABD</t>
  </si>
  <si>
    <r>
      <rPr>
        <sz val="12"/>
        <color rgb="FF000000"/>
        <rFont val="Calibri"/>
        <family val="0"/>
        <charset val="134"/>
      </rPr>
      <t xml:space="preserve">KOUDJANGNIHOUE </t>
    </r>
    <r>
      <rPr>
        <sz val="12"/>
        <color rgb="FF000000"/>
        <rFont val="Calibri"/>
        <family val="0"/>
        <charset val="1"/>
      </rPr>
      <t xml:space="preserve">Devi Aurore Tielle</t>
    </r>
  </si>
  <si>
    <r>
      <rPr>
        <sz val="12"/>
        <color rgb="FF000000"/>
        <rFont val="Calibri"/>
        <family val="0"/>
        <charset val="134"/>
      </rPr>
      <t xml:space="preserve">SABI SIDI </t>
    </r>
    <r>
      <rPr>
        <sz val="12"/>
        <color rgb="FF000000"/>
        <rFont val="Calibri"/>
        <family val="0"/>
        <charset val="1"/>
      </rPr>
      <t xml:space="preserve">Zalfatou</t>
    </r>
  </si>
  <si>
    <r>
      <rPr>
        <sz val="12"/>
        <color rgb="FF000000"/>
        <rFont val="Calibri"/>
        <family val="0"/>
        <charset val="134"/>
      </rPr>
      <t xml:space="preserve">SEGBEDJI </t>
    </r>
    <r>
      <rPr>
        <sz val="12"/>
        <color rgb="FF000000"/>
        <rFont val="Calibri"/>
        <family val="0"/>
        <charset val="1"/>
      </rPr>
      <t xml:space="preserve">Amos</t>
    </r>
  </si>
  <si>
    <r>
      <rPr>
        <sz val="12"/>
        <color rgb="FF000000"/>
        <rFont val="Calibri"/>
        <family val="0"/>
        <charset val="134"/>
      </rPr>
      <t xml:space="preserve">LOKOSSI </t>
    </r>
    <r>
      <rPr>
        <sz val="12"/>
        <color rgb="FF000000"/>
        <rFont val="Calibri"/>
        <family val="0"/>
        <charset val="1"/>
      </rPr>
      <t xml:space="preserve">Franck</t>
    </r>
  </si>
  <si>
    <t xml:space="preserve">OSSENI S AKIM ( inconnu)</t>
  </si>
  <si>
    <r>
      <rPr>
        <sz val="12"/>
        <color rgb="FF000000"/>
        <rFont val="Calibri"/>
        <family val="0"/>
        <charset val="134"/>
      </rPr>
      <t xml:space="preserve">SENOUWA </t>
    </r>
    <r>
      <rPr>
        <sz val="12"/>
        <color rgb="FF000000"/>
        <rFont val="Calibri"/>
        <family val="0"/>
        <charset val="1"/>
      </rPr>
      <t xml:space="preserve">Dèwanou Ambroise</t>
    </r>
  </si>
  <si>
    <t xml:space="preserve">BALANCE</t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</si>
  <si>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GENIE CIVIL</t>
    </r>
  </si>
  <si>
    <r>
      <rPr>
        <sz val="12"/>
        <color rgb="FF000000"/>
        <rFont val="Calibri"/>
        <family val="0"/>
        <charset val="134"/>
      </rPr>
      <t xml:space="preserve">ADITE </t>
    </r>
    <r>
      <rPr>
        <sz val="12"/>
        <color rgb="FF000000"/>
        <rFont val="Calibri"/>
        <family val="0"/>
        <charset val="1"/>
      </rPr>
      <t xml:space="preserve">David Bénédicte</t>
    </r>
  </si>
  <si>
    <r>
      <rPr>
        <sz val="12"/>
        <color rgb="FF000000"/>
        <rFont val="Calibri"/>
        <family val="0"/>
        <charset val="134"/>
      </rPr>
      <t xml:space="preserve">ADJAMAÏ </t>
    </r>
    <r>
      <rPr>
        <sz val="12"/>
        <color rgb="FF000000"/>
        <rFont val="Calibri"/>
        <family val="0"/>
        <charset val="1"/>
      </rPr>
      <t xml:space="preserve">Norval Frydose Aristide Sènankpon</t>
    </r>
  </si>
  <si>
    <r>
      <rPr>
        <sz val="12"/>
        <color rgb="FF000000"/>
        <rFont val="Calibri"/>
        <family val="0"/>
        <charset val="134"/>
      </rPr>
      <t xml:space="preserve">AGODY </t>
    </r>
    <r>
      <rPr>
        <sz val="12"/>
        <color rgb="FF000000"/>
        <rFont val="Calibri"/>
        <family val="0"/>
        <charset val="1"/>
      </rPr>
      <t xml:space="preserve">Hototon Sylvain</t>
    </r>
  </si>
  <si>
    <r>
      <rPr>
        <sz val="12"/>
        <color rgb="FF000000"/>
        <rFont val="Calibri"/>
        <family val="0"/>
        <charset val="134"/>
      </rPr>
      <t xml:space="preserve">AÏDEGO </t>
    </r>
    <r>
      <rPr>
        <sz val="12"/>
        <color rgb="FF000000"/>
        <rFont val="Calibri"/>
        <family val="0"/>
        <charset val="1"/>
      </rPr>
      <t xml:space="preserve">Gildas</t>
    </r>
  </si>
  <si>
    <r>
      <rPr>
        <sz val="12"/>
        <rFont val="Arial Narrow"/>
        <family val="0"/>
        <charset val="134"/>
      </rPr>
      <t xml:space="preserve">AIDONOUGBO </t>
    </r>
    <r>
      <rPr>
        <sz val="12"/>
        <color rgb="FF000000"/>
        <rFont val="Calibri"/>
        <family val="0"/>
        <charset val="1"/>
      </rPr>
      <t xml:space="preserve">F. Martial</t>
    </r>
  </si>
  <si>
    <r>
      <rPr>
        <sz val="12"/>
        <color rgb="FF000000"/>
        <rFont val="Calibri"/>
        <family val="0"/>
        <charset val="134"/>
      </rPr>
      <t xml:space="preserve">AKOGNON </t>
    </r>
    <r>
      <rPr>
        <sz val="12"/>
        <color rgb="FF000000"/>
        <rFont val="Calibri"/>
        <family val="0"/>
        <charset val="1"/>
      </rPr>
      <t xml:space="preserve">Alban H. André</t>
    </r>
  </si>
  <si>
    <r>
      <rPr>
        <sz val="12"/>
        <color rgb="FF000000"/>
        <rFont val="Calibri"/>
        <family val="0"/>
        <charset val="134"/>
      </rPr>
      <t xml:space="preserve">AKPO Oloufèmi </t>
    </r>
    <r>
      <rPr>
        <sz val="12"/>
        <color rgb="FF000000"/>
        <rFont val="Calibri"/>
        <family val="0"/>
        <charset val="1"/>
      </rPr>
      <t xml:space="preserve">T. Wilson</t>
    </r>
  </si>
  <si>
    <r>
      <rPr>
        <sz val="12"/>
        <color rgb="FF000000"/>
        <rFont val="Calibri"/>
        <family val="0"/>
        <charset val="134"/>
      </rPr>
      <t xml:space="preserve">AGBOGBA </t>
    </r>
    <r>
      <rPr>
        <sz val="12"/>
        <color rgb="FF000000"/>
        <rFont val="Calibri"/>
        <family val="0"/>
        <charset val="1"/>
      </rPr>
      <t xml:space="preserve">Joël</t>
    </r>
  </si>
  <si>
    <r>
      <rPr>
        <sz val="12"/>
        <color rgb="FF000000"/>
        <rFont val="Calibri"/>
        <family val="0"/>
        <charset val="134"/>
      </rPr>
      <t xml:space="preserve">AVONON </t>
    </r>
    <r>
      <rPr>
        <sz val="12"/>
        <color rgb="FF000000"/>
        <rFont val="Calibri"/>
        <family val="0"/>
        <charset val="1"/>
      </rPr>
      <t xml:space="preserve">N. Serge Cyriaque</t>
    </r>
  </si>
  <si>
    <r>
      <rPr>
        <sz val="12"/>
        <color rgb="FF000000"/>
        <rFont val="Calibri"/>
        <family val="0"/>
        <charset val="134"/>
      </rPr>
      <t xml:space="preserve">AYENAN </t>
    </r>
    <r>
      <rPr>
        <sz val="12"/>
        <color rgb="FF000000"/>
        <rFont val="Calibri"/>
        <family val="0"/>
        <charset val="1"/>
      </rPr>
      <t xml:space="preserve">Tohouégnon Casimir</t>
    </r>
  </si>
  <si>
    <r>
      <rPr>
        <sz val="12"/>
        <color rgb="FF000000"/>
        <rFont val="Calibri"/>
        <family val="0"/>
        <charset val="134"/>
      </rPr>
      <t xml:space="preserve">BABADJIHOU </t>
    </r>
    <r>
      <rPr>
        <sz val="12"/>
        <color rgb="FF000000"/>
        <rFont val="Calibri"/>
        <family val="0"/>
        <charset val="1"/>
      </rPr>
      <t xml:space="preserve">Maurice Vital</t>
    </r>
  </si>
  <si>
    <r>
      <rPr>
        <sz val="12"/>
        <color rgb="FF000000"/>
        <rFont val="Calibri"/>
        <family val="0"/>
        <charset val="134"/>
      </rPr>
      <t xml:space="preserve">BIO FERI </t>
    </r>
    <r>
      <rPr>
        <sz val="12"/>
        <color rgb="FF000000"/>
        <rFont val="Calibri"/>
        <family val="0"/>
        <charset val="1"/>
      </rPr>
      <t xml:space="preserve">Amidou</t>
    </r>
  </si>
  <si>
    <r>
      <rPr>
        <sz val="12"/>
        <color rgb="FF000000"/>
        <rFont val="Calibri"/>
        <family val="0"/>
        <charset val="134"/>
      </rPr>
      <t xml:space="preserve">DEGNIDE </t>
    </r>
    <r>
      <rPr>
        <sz val="12"/>
        <color rgb="FF000000"/>
        <rFont val="Calibri"/>
        <family val="0"/>
        <charset val="1"/>
      </rPr>
      <t xml:space="preserve">Vincent</t>
    </r>
  </si>
  <si>
    <r>
      <rPr>
        <sz val="12"/>
        <color rgb="FF000000"/>
        <rFont val="Calibri"/>
        <family val="0"/>
        <charset val="134"/>
      </rPr>
      <t xml:space="preserve">DOSSOU </t>
    </r>
    <r>
      <rPr>
        <sz val="12"/>
        <color rgb="FF000000"/>
        <rFont val="Calibri"/>
        <family val="0"/>
        <charset val="1"/>
      </rPr>
      <t xml:space="preserve">Codjo Benjamin</t>
    </r>
  </si>
  <si>
    <r>
      <rPr>
        <sz val="12"/>
        <color rgb="FF000000"/>
        <rFont val="Calibri"/>
        <family val="0"/>
        <charset val="134"/>
      </rPr>
      <t xml:space="preserve">EHAKO </t>
    </r>
    <r>
      <rPr>
        <sz val="12"/>
        <color rgb="FF000000"/>
        <rFont val="Calibri"/>
        <family val="0"/>
        <charset val="1"/>
      </rPr>
      <t xml:space="preserve">Exaucé Paul</t>
    </r>
  </si>
  <si>
    <t xml:space="preserve">GBAGUIDI B. Marius</t>
  </si>
  <si>
    <r>
      <rPr>
        <sz val="12"/>
        <color rgb="FF000000"/>
        <rFont val="Calibri"/>
        <family val="0"/>
        <charset val="134"/>
      </rPr>
      <t xml:space="preserve">HOUENONGBE </t>
    </r>
    <r>
      <rPr>
        <sz val="12"/>
        <color rgb="FF000000"/>
        <rFont val="Calibri"/>
        <family val="0"/>
        <charset val="1"/>
      </rPr>
      <t xml:space="preserve">Hospice</t>
    </r>
  </si>
  <si>
    <r>
      <rPr>
        <sz val="12"/>
        <color rgb="FF000000"/>
        <rFont val="Calibri"/>
        <family val="0"/>
        <charset val="134"/>
      </rPr>
      <t xml:space="preserve">HOUNKPEVI </t>
    </r>
    <r>
      <rPr>
        <sz val="12"/>
        <color rgb="FF000000"/>
        <rFont val="Calibri"/>
        <family val="0"/>
        <charset val="1"/>
      </rPr>
      <t xml:space="preserve">Carnot</t>
    </r>
  </si>
  <si>
    <r>
      <rPr>
        <sz val="12"/>
        <color rgb="FF000000"/>
        <rFont val="Calibri"/>
        <family val="0"/>
        <charset val="134"/>
      </rPr>
      <t xml:space="preserve">HOUNTON </t>
    </r>
    <r>
      <rPr>
        <sz val="12"/>
        <color rgb="FF000000"/>
        <rFont val="Calibri"/>
        <family val="0"/>
        <charset val="1"/>
      </rPr>
      <t xml:space="preserve">Célestin</t>
    </r>
  </si>
  <si>
    <r>
      <rPr>
        <sz val="12"/>
        <color rgb="FF000000"/>
        <rFont val="Calibri"/>
        <family val="0"/>
        <charset val="134"/>
      </rPr>
      <t xml:space="preserve">KETOUNOU </t>
    </r>
    <r>
      <rPr>
        <sz val="12"/>
        <color rgb="FF000000"/>
        <rFont val="Calibri"/>
        <family val="0"/>
        <charset val="1"/>
      </rPr>
      <t xml:space="preserve">Jean Joseph</t>
    </r>
  </si>
  <si>
    <r>
      <rPr>
        <sz val="12"/>
        <color rgb="FF000000"/>
        <rFont val="Calibri"/>
        <family val="0"/>
        <charset val="134"/>
      </rPr>
      <t xml:space="preserve">KIKI </t>
    </r>
    <r>
      <rPr>
        <sz val="12"/>
        <color rgb="FF000000"/>
        <rFont val="Calibri"/>
        <family val="0"/>
        <charset val="1"/>
      </rPr>
      <t xml:space="preserve">Patrick Jean Luc Yénoukounmè</t>
    </r>
  </si>
  <si>
    <r>
      <rPr>
        <sz val="12"/>
        <color rgb="FF000000"/>
        <rFont val="Calibri"/>
        <family val="0"/>
        <charset val="134"/>
      </rPr>
      <t xml:space="preserve">KOTTIN </t>
    </r>
    <r>
      <rPr>
        <sz val="12"/>
        <color rgb="FF000000"/>
        <rFont val="Calibri"/>
        <family val="0"/>
        <charset val="1"/>
      </rPr>
      <t xml:space="preserve">Jules</t>
    </r>
  </si>
  <si>
    <r>
      <rPr>
        <sz val="12"/>
        <color rgb="FF000000"/>
        <rFont val="Calibri"/>
        <family val="0"/>
        <charset val="134"/>
      </rPr>
      <t xml:space="preserve">KOTIN </t>
    </r>
    <r>
      <rPr>
        <sz val="12"/>
        <color rgb="FF000000"/>
        <rFont val="Calibri"/>
        <family val="0"/>
        <charset val="1"/>
      </rPr>
      <t xml:space="preserve">S. Lucien</t>
    </r>
  </si>
  <si>
    <r>
      <rPr>
        <sz val="12"/>
        <color rgb="FF000000"/>
        <rFont val="Calibri"/>
        <family val="0"/>
        <charset val="134"/>
      </rPr>
      <t xml:space="preserve">NATA </t>
    </r>
    <r>
      <rPr>
        <sz val="12"/>
        <color rgb="FF000000"/>
        <rFont val="Calibri"/>
        <family val="0"/>
        <charset val="1"/>
      </rPr>
      <t xml:space="preserve">Wantchoti Patrice</t>
    </r>
  </si>
  <si>
    <r>
      <rPr>
        <sz val="12"/>
        <color rgb="FF000000"/>
        <rFont val="Calibri"/>
        <family val="0"/>
        <charset val="134"/>
      </rPr>
      <t xml:space="preserve">NOUGLOI </t>
    </r>
    <r>
      <rPr>
        <sz val="12"/>
        <color rgb="FF000000"/>
        <rFont val="Calibri"/>
        <family val="0"/>
        <charset val="1"/>
      </rPr>
      <t xml:space="preserve">Marcel</t>
    </r>
  </si>
  <si>
    <r>
      <rPr>
        <sz val="12"/>
        <color rgb="FF000000"/>
        <rFont val="Calibri"/>
        <family val="0"/>
        <charset val="134"/>
      </rPr>
      <t xml:space="preserve">OSSENI </t>
    </r>
    <r>
      <rPr>
        <sz val="12"/>
        <color rgb="FF000000"/>
        <rFont val="Calibri"/>
        <family val="0"/>
        <charset val="1"/>
      </rPr>
      <t xml:space="preserve">Osséni</t>
    </r>
  </si>
  <si>
    <r>
      <rPr>
        <sz val="12"/>
        <color rgb="FF000000"/>
        <rFont val="Calibri"/>
        <family val="0"/>
        <charset val="134"/>
      </rPr>
      <t xml:space="preserve">OUSSA </t>
    </r>
    <r>
      <rPr>
        <sz val="12"/>
        <color rgb="FF000000"/>
        <rFont val="Calibri"/>
        <family val="0"/>
        <charset val="1"/>
      </rPr>
      <t xml:space="preserve">Sèyèton Armand</t>
    </r>
  </si>
  <si>
    <r>
      <rPr>
        <sz val="12"/>
        <color rgb="FF000000"/>
        <rFont val="Calibri"/>
        <family val="0"/>
        <charset val="134"/>
      </rPr>
      <t xml:space="preserve">RADJI </t>
    </r>
    <r>
      <rPr>
        <sz val="12"/>
        <color rgb="FF000000"/>
        <rFont val="Calibri"/>
        <family val="0"/>
        <charset val="1"/>
      </rPr>
      <t xml:space="preserve">Faosiyath</t>
    </r>
  </si>
  <si>
    <r>
      <rPr>
        <sz val="12"/>
        <color rgb="FF000000"/>
        <rFont val="Calibri"/>
        <family val="0"/>
        <charset val="134"/>
      </rPr>
      <t xml:space="preserve">SANNI </t>
    </r>
    <r>
      <rPr>
        <sz val="12"/>
        <color rgb="FF000000"/>
        <rFont val="Calibri"/>
        <family val="0"/>
        <charset val="1"/>
      </rPr>
      <t xml:space="preserve">Souaïbou</t>
    </r>
  </si>
  <si>
    <r>
      <rPr>
        <sz val="12"/>
        <color rgb="FF000000"/>
        <rFont val="Calibri"/>
        <family val="0"/>
        <charset val="134"/>
      </rPr>
      <t xml:space="preserve">SESSOU YAOVI </t>
    </r>
    <r>
      <rPr>
        <sz val="12"/>
        <color rgb="FF000000"/>
        <rFont val="Calibri"/>
        <family val="0"/>
        <charset val="1"/>
      </rPr>
      <t xml:space="preserve">Franck Erick</t>
    </r>
  </si>
  <si>
    <r>
      <rPr>
        <sz val="12"/>
        <color rgb="FF000000"/>
        <rFont val="Calibri"/>
        <family val="0"/>
        <charset val="134"/>
      </rPr>
      <t xml:space="preserve">SOUNOUKE </t>
    </r>
    <r>
      <rPr>
        <sz val="12"/>
        <color rgb="FF000000"/>
        <rFont val="Calibri"/>
        <family val="0"/>
        <charset val="1"/>
      </rPr>
      <t xml:space="preserve">Séraphin</t>
    </r>
  </si>
  <si>
    <r>
      <rPr>
        <sz val="12"/>
        <color rgb="FF000000"/>
        <rFont val="Calibri"/>
        <family val="0"/>
        <charset val="134"/>
      </rPr>
      <t xml:space="preserve">OGOUDELE TONI </t>
    </r>
    <r>
      <rPr>
        <sz val="12"/>
        <color rgb="FF000000"/>
        <rFont val="Calibri"/>
        <family val="0"/>
        <charset val="1"/>
      </rPr>
      <t xml:space="preserve">Charles</t>
    </r>
  </si>
  <si>
    <r>
      <rPr>
        <sz val="12"/>
        <color rgb="FF000000"/>
        <rFont val="Calibri"/>
        <family val="0"/>
        <charset val="134"/>
      </rPr>
      <t xml:space="preserve">AGBOGBA </t>
    </r>
    <r>
      <rPr>
        <sz val="12"/>
        <color rgb="FF000000"/>
        <rFont val="Calibri"/>
        <family val="0"/>
        <charset val="1"/>
      </rPr>
      <t xml:space="preserve">Joël Codjo</t>
    </r>
  </si>
  <si>
    <r>
      <rPr>
        <sz val="12"/>
        <color rgb="FF000000"/>
        <rFont val="Calibri"/>
        <family val="0"/>
        <charset val="134"/>
      </rPr>
      <t xml:space="preserve">MONGBO </t>
    </r>
    <r>
      <rPr>
        <sz val="12"/>
        <color rgb="FF000000"/>
        <rFont val="Calibri"/>
        <family val="0"/>
        <charset val="1"/>
      </rPr>
      <t xml:space="preserve">Donald K. S.</t>
    </r>
  </si>
  <si>
    <r>
      <rPr>
        <sz val="12"/>
        <color rgb="FF000000"/>
        <rFont val="Calibri"/>
        <family val="0"/>
        <charset val="134"/>
      </rPr>
      <t xml:space="preserve">FANNY </t>
    </r>
    <r>
      <rPr>
        <sz val="12"/>
        <color rgb="FF000000"/>
        <rFont val="Calibri"/>
        <family val="0"/>
        <charset val="1"/>
      </rPr>
      <t xml:space="preserve">Y. C.Nestor</t>
    </r>
  </si>
  <si>
    <r>
      <rPr>
        <sz val="12"/>
        <color rgb="FF000000"/>
        <rFont val="Calibri"/>
        <family val="0"/>
        <charset val="134"/>
      </rPr>
      <t xml:space="preserve">WOROU CODJO </t>
    </r>
    <r>
      <rPr>
        <sz val="12"/>
        <color rgb="FF000000"/>
        <rFont val="Calibri"/>
        <family val="0"/>
        <charset val="1"/>
      </rPr>
      <t xml:space="preserve">Sadikou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</si>
  <si>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GENIE ELECTRIQUE</t>
    </r>
  </si>
  <si>
    <r>
      <rPr>
        <sz val="12"/>
        <color rgb="FF000000"/>
        <rFont val="Calibri"/>
        <family val="0"/>
        <charset val="134"/>
      </rPr>
      <t xml:space="preserve">ABATAN</t>
    </r>
    <r>
      <rPr>
        <sz val="12"/>
        <color rgb="FF000000"/>
        <rFont val="Calibri"/>
        <family val="0"/>
        <charset val="1"/>
      </rPr>
      <t xml:space="preserve">Suru José Marius</t>
    </r>
  </si>
  <si>
    <r>
      <rPr>
        <sz val="12"/>
        <color rgb="FF000000"/>
        <rFont val="Calibri"/>
        <family val="0"/>
        <charset val="134"/>
      </rPr>
      <t xml:space="preserve">ADJE</t>
    </r>
    <r>
      <rPr>
        <sz val="12"/>
        <color rgb="FF000000"/>
        <rFont val="Calibri"/>
        <family val="0"/>
        <charset val="1"/>
      </rPr>
      <t xml:space="preserve">Soumoni Bissilola Michelle Camelle</t>
    </r>
  </si>
  <si>
    <r>
      <rPr>
        <sz val="12"/>
        <color rgb="FF000000"/>
        <rFont val="Calibri"/>
        <family val="0"/>
        <charset val="134"/>
      </rPr>
      <t xml:space="preserve">AGBODOSSINDJI</t>
    </r>
    <r>
      <rPr>
        <sz val="12"/>
        <color rgb="FF000000"/>
        <rFont val="Calibri"/>
        <family val="0"/>
        <charset val="1"/>
      </rPr>
      <t xml:space="preserve">Marc Rolland</t>
    </r>
  </si>
  <si>
    <r>
      <rPr>
        <sz val="12"/>
        <color rgb="FF000000"/>
        <rFont val="Calibri"/>
        <family val="0"/>
        <charset val="134"/>
      </rPr>
      <t xml:space="preserve">AGUINNE</t>
    </r>
    <r>
      <rPr>
        <sz val="12"/>
        <color rgb="FF000000"/>
        <rFont val="Calibri"/>
        <family val="0"/>
        <charset val="1"/>
      </rPr>
      <t xml:space="preserve">Sèvèho Fulbert</t>
    </r>
  </si>
  <si>
    <r>
      <rPr>
        <sz val="12"/>
        <color rgb="FF000000"/>
        <rFont val="Calibri"/>
        <family val="0"/>
        <charset val="134"/>
      </rPr>
      <t xml:space="preserve">AHOMLANTO</t>
    </r>
    <r>
      <rPr>
        <sz val="12"/>
        <color rgb="FF000000"/>
        <rFont val="Calibri"/>
        <family val="0"/>
        <charset val="1"/>
      </rPr>
      <t xml:space="preserve">Théophane</t>
    </r>
  </si>
  <si>
    <r>
      <rPr>
        <sz val="12"/>
        <color rgb="FF000000"/>
        <rFont val="Calibri"/>
        <family val="0"/>
        <charset val="134"/>
      </rPr>
      <t xml:space="preserve">AKOTCHEDE</t>
    </r>
    <r>
      <rPr>
        <sz val="12"/>
        <color rgb="FF000000"/>
        <rFont val="Calibri"/>
        <family val="0"/>
        <charset val="1"/>
      </rPr>
      <t xml:space="preserve">Nonvignon Cinth’Ange Kingson</t>
    </r>
  </si>
  <si>
    <r>
      <rPr>
        <sz val="12"/>
        <color rgb="FF000000"/>
        <rFont val="Calibri"/>
        <family val="0"/>
        <charset val="134"/>
      </rPr>
      <t xml:space="preserve">AKPLOGAN</t>
    </r>
    <r>
      <rPr>
        <sz val="12"/>
        <color rgb="FF000000"/>
        <rFont val="Calibri"/>
        <family val="0"/>
        <charset val="1"/>
      </rPr>
      <t xml:space="preserve">Dotou Odilon Franck</t>
    </r>
  </si>
  <si>
    <r>
      <rPr>
        <sz val="12"/>
        <color rgb="FF000000"/>
        <rFont val="Calibri"/>
        <family val="0"/>
        <charset val="134"/>
      </rPr>
      <t xml:space="preserve">ALOFAN</t>
    </r>
    <r>
      <rPr>
        <sz val="12"/>
        <color rgb="FF000000"/>
        <rFont val="Calibri"/>
        <family val="0"/>
        <charset val="1"/>
      </rPr>
      <t xml:space="preserve">Jean</t>
    </r>
  </si>
  <si>
    <r>
      <rPr>
        <sz val="12"/>
        <color rgb="FF000000"/>
        <rFont val="Calibri"/>
        <family val="0"/>
        <charset val="134"/>
      </rPr>
      <t xml:space="preserve">AMAYO</t>
    </r>
    <r>
      <rPr>
        <sz val="12"/>
        <color rgb="FF000000"/>
        <rFont val="Calibri"/>
        <family val="0"/>
        <charset val="1"/>
      </rPr>
      <t xml:space="preserve">S. Urbain</t>
    </r>
  </si>
  <si>
    <r>
      <rPr>
        <sz val="12"/>
        <color rgb="FF000000"/>
        <rFont val="Calibri"/>
        <family val="0"/>
        <charset val="134"/>
      </rPr>
      <t xml:space="preserve">AMAYO</t>
    </r>
    <r>
      <rPr>
        <sz val="12"/>
        <color rgb="FF000000"/>
        <rFont val="Calibri"/>
        <family val="0"/>
        <charset val="1"/>
      </rPr>
      <t xml:space="preserve">Y. Patrice</t>
    </r>
  </si>
  <si>
    <r>
      <rPr>
        <sz val="12"/>
        <color rgb="FF000000"/>
        <rFont val="Calibri"/>
        <family val="0"/>
        <charset val="134"/>
      </rPr>
      <t xml:space="preserve">DJIDO</t>
    </r>
    <r>
      <rPr>
        <sz val="12"/>
        <color rgb="FF000000"/>
        <rFont val="Calibri"/>
        <family val="0"/>
        <charset val="1"/>
      </rPr>
      <t xml:space="preserve">Codjo Eusèbe Alain</t>
    </r>
  </si>
  <si>
    <r>
      <rPr>
        <sz val="12"/>
        <color rgb="FF000000"/>
        <rFont val="Calibri"/>
        <family val="0"/>
        <charset val="134"/>
      </rPr>
      <t xml:space="preserve">DJISSO</t>
    </r>
    <r>
      <rPr>
        <sz val="12"/>
        <color rgb="FF000000"/>
        <rFont val="Calibri"/>
        <family val="0"/>
        <charset val="1"/>
      </rPr>
      <t xml:space="preserve">Yaovi Serge</t>
    </r>
  </si>
  <si>
    <r>
      <rPr>
        <sz val="12"/>
        <color rgb="FF000000"/>
        <rFont val="Calibri"/>
        <family val="0"/>
        <charset val="134"/>
      </rPr>
      <t xml:space="preserve">FAMBO</t>
    </r>
    <r>
      <rPr>
        <sz val="12"/>
        <color rgb="FF000000"/>
        <rFont val="Calibri"/>
        <family val="0"/>
        <charset val="1"/>
      </rPr>
      <t xml:space="preserve">Pierre </t>
    </r>
  </si>
  <si>
    <r>
      <rPr>
        <sz val="12"/>
        <color rgb="FF000000"/>
        <rFont val="Calibri"/>
        <family val="0"/>
        <charset val="134"/>
      </rPr>
      <t xml:space="preserve">GBANGOU</t>
    </r>
    <r>
      <rPr>
        <sz val="12"/>
        <color rgb="FF000000"/>
        <rFont val="Calibri"/>
        <family val="0"/>
        <charset val="1"/>
      </rPr>
      <t xml:space="preserve">Mouphtaou</t>
    </r>
  </si>
  <si>
    <r>
      <rPr>
        <sz val="12"/>
        <color rgb="FF000000"/>
        <rFont val="Calibri"/>
        <family val="0"/>
        <charset val="134"/>
      </rPr>
      <t xml:space="preserve">GNIMAVO</t>
    </r>
    <r>
      <rPr>
        <sz val="12"/>
        <color rgb="FF000000"/>
        <rFont val="Calibri"/>
        <family val="0"/>
        <charset val="1"/>
      </rPr>
      <t xml:space="preserve">Yélomé Annonciathe</t>
    </r>
  </si>
  <si>
    <r>
      <rPr>
        <sz val="12"/>
        <color rgb="FF000000"/>
        <rFont val="Calibri"/>
        <family val="0"/>
        <charset val="134"/>
      </rPr>
      <t xml:space="preserve">HONFO</t>
    </r>
    <r>
      <rPr>
        <sz val="12"/>
        <color rgb="FF000000"/>
        <rFont val="Calibri"/>
        <family val="0"/>
        <charset val="1"/>
      </rPr>
      <t xml:space="preserve">Kinsou Isidore</t>
    </r>
  </si>
  <si>
    <r>
      <rPr>
        <sz val="12"/>
        <color rgb="FF000000"/>
        <rFont val="Calibri"/>
        <family val="0"/>
        <charset val="134"/>
      </rPr>
      <t xml:space="preserve">LEGBA</t>
    </r>
    <r>
      <rPr>
        <sz val="12"/>
        <color rgb="FF000000"/>
        <rFont val="Calibri"/>
        <family val="0"/>
        <charset val="1"/>
      </rPr>
      <t xml:space="preserve">Comlan Majoric</t>
    </r>
  </si>
  <si>
    <r>
      <rPr>
        <sz val="12"/>
        <color rgb="FF000000"/>
        <rFont val="Calibri"/>
        <family val="0"/>
        <charset val="134"/>
      </rPr>
      <t xml:space="preserve">OMORES</t>
    </r>
    <r>
      <rPr>
        <sz val="12"/>
        <color rgb="FF000000"/>
        <rFont val="Calibri"/>
        <family val="0"/>
        <charset val="1"/>
      </rPr>
      <t xml:space="preserve">Babatoundé Roméo Serge</t>
    </r>
  </si>
  <si>
    <r>
      <rPr>
        <sz val="12"/>
        <color rgb="FF000000"/>
        <rFont val="Calibri"/>
        <family val="0"/>
        <charset val="134"/>
      </rPr>
      <t xml:space="preserve">BADOU </t>
    </r>
    <r>
      <rPr>
        <sz val="12"/>
        <color rgb="FF000000"/>
        <rFont val="Calibri"/>
        <family val="0"/>
        <charset val="1"/>
      </rPr>
      <t xml:space="preserve">A. Roland</t>
    </r>
  </si>
  <si>
    <r>
      <rPr>
        <sz val="12"/>
        <color rgb="FF000000"/>
        <rFont val="Calibri"/>
        <family val="0"/>
        <charset val="134"/>
      </rPr>
      <t xml:space="preserve">SAHGUI </t>
    </r>
    <r>
      <rPr>
        <sz val="12"/>
        <color rgb="FF000000"/>
        <rFont val="Calibri"/>
        <family val="0"/>
        <charset val="1"/>
      </rPr>
      <t xml:space="preserve">M. Gérard</t>
    </r>
  </si>
  <si>
    <r>
      <rPr>
        <sz val="12"/>
        <color rgb="FF000000"/>
        <rFont val="Calibri"/>
        <family val="0"/>
        <charset val="134"/>
      </rPr>
      <t xml:space="preserve">SEDJAME</t>
    </r>
    <r>
      <rPr>
        <sz val="12"/>
        <color rgb="FF000000"/>
        <rFont val="Calibri"/>
        <family val="0"/>
        <charset val="1"/>
      </rPr>
      <t xml:space="preserve">Alex</t>
    </r>
  </si>
  <si>
    <r>
      <rPr>
        <sz val="12"/>
        <color rgb="FF000000"/>
        <rFont val="Calibri"/>
        <family val="0"/>
        <charset val="134"/>
      </rPr>
      <t xml:space="preserve">TOKPANOU</t>
    </r>
    <r>
      <rPr>
        <sz val="12"/>
        <color rgb="FF000000"/>
        <rFont val="Calibri"/>
        <family val="0"/>
        <charset val="1"/>
      </rPr>
      <t xml:space="preserve">Medard</t>
    </r>
  </si>
  <si>
    <r>
      <rPr>
        <sz val="12"/>
        <color rgb="FF000000"/>
        <rFont val="Calibri"/>
        <family val="0"/>
        <charset val="134"/>
      </rPr>
      <t xml:space="preserve">SANHONGOU</t>
    </r>
    <r>
      <rPr>
        <sz val="12"/>
        <color rgb="FF000000"/>
        <rFont val="Calibri"/>
        <family val="0"/>
        <charset val="1"/>
      </rPr>
      <t xml:space="preserve">Nième Evariste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</si>
  <si>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HYGIENE ET CONTRÔLE DE QUALITE DES DENREES ALIMENTAIRES</t>
    </r>
  </si>
  <si>
    <r>
      <rPr>
        <sz val="12"/>
        <color rgb="FF000000"/>
        <rFont val="Calibri"/>
        <family val="0"/>
        <charset val="134"/>
      </rPr>
      <t xml:space="preserve">ADAM ROUGA </t>
    </r>
    <r>
      <rPr>
        <sz val="12"/>
        <color rgb="FF000000"/>
        <rFont val="Calibri"/>
        <family val="0"/>
        <charset val="1"/>
      </rPr>
      <t xml:space="preserve">Kamirou</t>
    </r>
  </si>
  <si>
    <r>
      <rPr>
        <sz val="12"/>
        <color rgb="FF000000"/>
        <rFont val="Calibri"/>
        <family val="0"/>
        <charset val="134"/>
      </rPr>
      <t xml:space="preserve">AGBANTONSOU </t>
    </r>
    <r>
      <rPr>
        <sz val="12"/>
        <color rgb="FF000000"/>
        <rFont val="Calibri"/>
        <family val="0"/>
        <charset val="1"/>
      </rPr>
      <t xml:space="preserve">Martin</t>
    </r>
  </si>
  <si>
    <r>
      <rPr>
        <sz val="12"/>
        <color rgb="FF000000"/>
        <rFont val="Calibri"/>
        <family val="0"/>
        <charset val="134"/>
      </rPr>
      <t xml:space="preserve">AGBONOUKON </t>
    </r>
    <r>
      <rPr>
        <sz val="12"/>
        <color rgb="FF000000"/>
        <rFont val="Calibri"/>
        <family val="0"/>
        <charset val="1"/>
      </rPr>
      <t xml:space="preserve">Agossi Julienne</t>
    </r>
  </si>
  <si>
    <r>
      <rPr>
        <sz val="10"/>
        <color rgb="FF000000"/>
        <rFont val="Tahoma"/>
        <family val="0"/>
        <charset val="134"/>
      </rPr>
      <t xml:space="preserve">AGOSSOU </t>
    </r>
    <r>
      <rPr>
        <sz val="10"/>
        <color rgb="FF000000"/>
        <rFont val="Tahoma"/>
        <family val="0"/>
        <charset val="1"/>
      </rPr>
      <t xml:space="preserve">Hermine Odile Kètomon</t>
    </r>
  </si>
  <si>
    <r>
      <rPr>
        <sz val="10"/>
        <color rgb="FF000000"/>
        <rFont val="Tahoma"/>
        <family val="0"/>
        <charset val="134"/>
      </rPr>
      <t xml:space="preserve">AGOSSOU </t>
    </r>
    <r>
      <rPr>
        <sz val="10"/>
        <color rgb="FF000000"/>
        <rFont val="Tahoma"/>
        <family val="0"/>
        <charset val="1"/>
      </rPr>
      <t xml:space="preserve">Mahougnon Rosine Francelle</t>
    </r>
  </si>
  <si>
    <r>
      <rPr>
        <sz val="12"/>
        <color rgb="FF000000"/>
        <rFont val="Calibri"/>
        <family val="0"/>
        <charset val="134"/>
      </rPr>
      <t xml:space="preserve">AKPOUE </t>
    </r>
    <r>
      <rPr>
        <sz val="12"/>
        <color rgb="FF000000"/>
        <rFont val="Calibri"/>
        <family val="0"/>
        <charset val="1"/>
      </rPr>
      <t xml:space="preserve">Ibrahim</t>
    </r>
  </si>
  <si>
    <r>
      <rPr>
        <sz val="12"/>
        <color rgb="FF000000"/>
        <rFont val="Calibri"/>
        <family val="0"/>
        <charset val="134"/>
      </rPr>
      <t xml:space="preserve">ASSOGBA </t>
    </r>
    <r>
      <rPr>
        <sz val="12"/>
        <color rgb="FF000000"/>
        <rFont val="Calibri"/>
        <family val="0"/>
        <charset val="1"/>
      </rPr>
      <t xml:space="preserve">Maxime Valère Toudonou</t>
    </r>
  </si>
  <si>
    <r>
      <rPr>
        <sz val="10"/>
        <color rgb="FF000000"/>
        <rFont val="Tahoma"/>
        <family val="0"/>
        <charset val="134"/>
      </rPr>
      <t xml:space="preserve">BLECO </t>
    </r>
    <r>
      <rPr>
        <sz val="10"/>
        <color rgb="FF000000"/>
        <rFont val="Tahoma"/>
        <family val="0"/>
        <charset val="1"/>
      </rPr>
      <t xml:space="preserve">Amedée Gaël</t>
    </r>
  </si>
  <si>
    <r>
      <rPr>
        <sz val="12"/>
        <color rgb="FF000000"/>
        <rFont val="Calibri"/>
        <family val="0"/>
        <charset val="134"/>
      </rPr>
      <t xml:space="preserve">BOUNIN </t>
    </r>
    <r>
      <rPr>
        <sz val="12"/>
        <color rgb="FF000000"/>
        <rFont val="Calibri"/>
        <family val="0"/>
        <charset val="1"/>
      </rPr>
      <t xml:space="preserve">Fousséni</t>
    </r>
  </si>
  <si>
    <r>
      <rPr>
        <sz val="10"/>
        <color rgb="FF000000"/>
        <rFont val="Tahoma"/>
        <family val="0"/>
        <charset val="134"/>
      </rPr>
      <t xml:space="preserve">DJIVOEDO </t>
    </r>
    <r>
      <rPr>
        <sz val="10"/>
        <color rgb="FF000000"/>
        <rFont val="Tahoma"/>
        <family val="0"/>
        <charset val="1"/>
      </rPr>
      <t xml:space="preserve">Gisèle</t>
    </r>
  </si>
  <si>
    <r>
      <rPr>
        <sz val="12"/>
        <color rgb="FF000000"/>
        <rFont val="Calibri"/>
        <family val="0"/>
        <charset val="134"/>
      </rPr>
      <t xml:space="preserve">DJOGBEDE </t>
    </r>
    <r>
      <rPr>
        <sz val="12"/>
        <color rgb="FF000000"/>
        <rFont val="Calibri"/>
        <family val="0"/>
        <charset val="1"/>
      </rPr>
      <t xml:space="preserve">Nonhouégnon</t>
    </r>
  </si>
  <si>
    <r>
      <rPr>
        <sz val="10"/>
        <color rgb="FF000000"/>
        <rFont val="Tahoma"/>
        <family val="0"/>
        <charset val="134"/>
      </rPr>
      <t xml:space="preserve">ELISHA </t>
    </r>
    <r>
      <rPr>
        <sz val="10"/>
        <color rgb="FF000000"/>
        <rFont val="Tahoma"/>
        <family val="0"/>
        <charset val="1"/>
      </rPr>
      <t xml:space="preserve">Ginette Floris Ablanvi</t>
    </r>
  </si>
  <si>
    <r>
      <rPr>
        <sz val="12"/>
        <color rgb="FF000000"/>
        <rFont val="Calibri"/>
        <family val="0"/>
        <charset val="134"/>
      </rPr>
      <t xml:space="preserve">GAZARD </t>
    </r>
    <r>
      <rPr>
        <sz val="12"/>
        <color rgb="FF000000"/>
        <rFont val="Calibri"/>
        <family val="0"/>
        <charset val="1"/>
      </rPr>
      <t xml:space="preserve">Hilda Nesta Biova</t>
    </r>
  </si>
  <si>
    <r>
      <rPr>
        <sz val="10"/>
        <color rgb="FF000000"/>
        <rFont val="Tahoma"/>
        <family val="0"/>
        <charset val="134"/>
      </rPr>
      <t xml:space="preserve">GBEDJI-SOKPA </t>
    </r>
    <r>
      <rPr>
        <sz val="10"/>
        <color rgb="FF000000"/>
        <rFont val="Tahoma"/>
        <family val="0"/>
        <charset val="1"/>
      </rPr>
      <t xml:space="preserve">Noussoï Larisssa</t>
    </r>
  </si>
  <si>
    <r>
      <rPr>
        <sz val="12"/>
        <color rgb="FF000000"/>
        <rFont val="Calibri"/>
        <family val="0"/>
        <charset val="134"/>
      </rPr>
      <t xml:space="preserve">NASSARAH </t>
    </r>
    <r>
      <rPr>
        <sz val="12"/>
        <color rgb="FF000000"/>
        <rFont val="Calibri"/>
        <family val="0"/>
        <charset val="1"/>
      </rPr>
      <t xml:space="preserve">Ruth Merveille Bignon</t>
    </r>
  </si>
  <si>
    <r>
      <rPr>
        <sz val="12"/>
        <color rgb="FF000000"/>
        <rFont val="Calibri"/>
        <family val="0"/>
        <charset val="134"/>
      </rPr>
      <t xml:space="preserve">NATTE </t>
    </r>
    <r>
      <rPr>
        <sz val="12"/>
        <color rgb="FF000000"/>
        <rFont val="Calibri"/>
        <family val="0"/>
        <charset val="1"/>
      </rPr>
      <t xml:space="preserve">Edé Noélie</t>
    </r>
  </si>
  <si>
    <r>
      <rPr>
        <sz val="10"/>
        <color rgb="FF000000"/>
        <rFont val="Tahoma"/>
        <family val="0"/>
        <charset val="134"/>
      </rPr>
      <t xml:space="preserve">VIATONOU </t>
    </r>
    <r>
      <rPr>
        <sz val="10"/>
        <color rgb="FF000000"/>
        <rFont val="Tahoma"/>
        <family val="0"/>
        <charset val="1"/>
      </rPr>
      <t xml:space="preserve">Dossa Albert</t>
    </r>
  </si>
  <si>
    <r>
      <rPr>
        <sz val="12"/>
        <color rgb="FF000000"/>
        <rFont val="Calibri"/>
        <family val="0"/>
        <charset val="134"/>
      </rPr>
      <t xml:space="preserve">VILON GUEZO </t>
    </r>
    <r>
      <rPr>
        <sz val="12"/>
        <color rgb="FF000000"/>
        <rFont val="Calibri"/>
        <family val="0"/>
        <charset val="1"/>
      </rPr>
      <t xml:space="preserve">S. Frise Moréas</t>
    </r>
  </si>
  <si>
    <r>
      <rPr>
        <sz val="12"/>
        <color rgb="FF000000"/>
        <rFont val="Calibri"/>
        <family val="0"/>
        <charset val="134"/>
      </rPr>
      <t xml:space="preserve">YABI </t>
    </r>
    <r>
      <rPr>
        <sz val="12"/>
        <color rgb="FF000000"/>
        <rFont val="Calibri"/>
        <family val="0"/>
        <charset val="1"/>
      </rPr>
      <t xml:space="preserve">Olabiyi Bérenger Roméo</t>
    </r>
  </si>
  <si>
    <r>
      <rPr>
        <sz val="12"/>
        <color rgb="FF000000"/>
        <rFont val="Calibri"/>
        <family val="0"/>
        <charset val="134"/>
      </rPr>
      <t xml:space="preserve">ZOHAN </t>
    </r>
    <r>
      <rPr>
        <sz val="12"/>
        <color rgb="FF000000"/>
        <rFont val="Calibri"/>
        <family val="0"/>
        <charset val="1"/>
      </rPr>
      <t xml:space="preserve">Fifonsi Inesse Machiavelle</t>
    </r>
  </si>
  <si>
    <r>
      <rPr>
        <sz val="10"/>
        <color rgb="FF000000"/>
        <rFont val="Tahoma"/>
        <family val="0"/>
        <charset val="134"/>
      </rPr>
      <t xml:space="preserve">ZOUTOUGOU </t>
    </r>
    <r>
      <rPr>
        <sz val="10"/>
        <color rgb="FF000000"/>
        <rFont val="Tahoma"/>
        <family val="0"/>
        <charset val="1"/>
      </rPr>
      <t xml:space="preserve">Odile</t>
    </r>
  </si>
  <si>
    <t xml:space="preserve">30h</t>
  </si>
  <si>
    <t xml:space="preserve">20h</t>
  </si>
  <si>
    <t xml:space="preserve">40h</t>
  </si>
  <si>
    <t xml:space="preserve">75h</t>
  </si>
  <si>
    <t xml:space="preserve">15h</t>
  </si>
  <si>
    <t xml:space="preserve">Option: Nutrition et Technologie Alimentaire </t>
  </si>
  <si>
    <r>
      <rPr>
        <sz val="10"/>
        <color rgb="FF000000"/>
        <rFont val="Tahoma"/>
        <family val="0"/>
        <charset val="134"/>
      </rPr>
      <t xml:space="preserve">ADAM BABA-BODY </t>
    </r>
    <r>
      <rPr>
        <sz val="10"/>
        <color rgb="FF000000"/>
        <rFont val="Tahoma"/>
        <family val="0"/>
        <charset val="1"/>
      </rPr>
      <t xml:space="preserve">Tamsiratou</t>
    </r>
  </si>
  <si>
    <r>
      <rPr>
        <sz val="10"/>
        <color rgb="FF000000"/>
        <rFont val="Tahoma"/>
        <family val="0"/>
        <charset val="134"/>
      </rPr>
      <t xml:space="preserve">ADJAHO </t>
    </r>
    <r>
      <rPr>
        <sz val="10"/>
        <color rgb="FF000000"/>
        <rFont val="Tahoma"/>
        <family val="0"/>
        <charset val="1"/>
      </rPr>
      <t xml:space="preserve">Ginette Ayaba Rolande</t>
    </r>
  </si>
  <si>
    <r>
      <rPr>
        <sz val="10"/>
        <color rgb="FF000000"/>
        <rFont val="Tahoma"/>
        <family val="0"/>
        <charset val="134"/>
      </rPr>
      <t xml:space="preserve">ADJALLALA </t>
    </r>
    <r>
      <rPr>
        <sz val="10"/>
        <color rgb="FF000000"/>
        <rFont val="Tahoma"/>
        <family val="0"/>
        <charset val="1"/>
      </rPr>
      <t xml:space="preserve">Georgette Eléonore</t>
    </r>
  </si>
  <si>
    <r>
      <rPr>
        <sz val="10"/>
        <color rgb="FF000000"/>
        <rFont val="Tahoma"/>
        <family val="0"/>
        <charset val="134"/>
      </rPr>
      <t xml:space="preserve">ADJANON </t>
    </r>
    <r>
      <rPr>
        <sz val="10"/>
        <color rgb="FF000000"/>
        <rFont val="Tahoma"/>
        <family val="0"/>
        <charset val="1"/>
      </rPr>
      <t xml:space="preserve">Afiavi Reine</t>
    </r>
  </si>
  <si>
    <r>
      <rPr>
        <sz val="10"/>
        <color rgb="FF000000"/>
        <rFont val="Tahoma"/>
        <family val="0"/>
        <charset val="134"/>
      </rPr>
      <t xml:space="preserve">AGBOTON</t>
    </r>
    <r>
      <rPr>
        <sz val="10"/>
        <color theme="1"/>
        <rFont val="Tahoma"/>
        <family val="0"/>
        <charset val="1"/>
      </rPr>
      <t xml:space="preserve">Sidonie Anne Sourou</t>
    </r>
  </si>
  <si>
    <r>
      <rPr>
        <sz val="10"/>
        <color rgb="FF000000"/>
        <rFont val="Tahoma"/>
        <family val="0"/>
        <charset val="134"/>
      </rPr>
      <t xml:space="preserve">AGUIAR </t>
    </r>
    <r>
      <rPr>
        <sz val="10"/>
        <color rgb="FF000000"/>
        <rFont val="Tahoma"/>
        <family val="0"/>
        <charset val="1"/>
      </rPr>
      <t xml:space="preserve">Nonvignon Priscille Ella Amour</t>
    </r>
  </si>
  <si>
    <r>
      <rPr>
        <sz val="10"/>
        <color rgb="FF000000"/>
        <rFont val="Tahoma"/>
        <family val="0"/>
        <charset val="134"/>
      </rPr>
      <t xml:space="preserve">AHANGBE </t>
    </r>
    <r>
      <rPr>
        <sz val="10"/>
        <color rgb="FF000000"/>
        <rFont val="Tahoma"/>
        <family val="0"/>
        <charset val="1"/>
      </rPr>
      <t xml:space="preserve">Fidèle</t>
    </r>
  </si>
  <si>
    <r>
      <rPr>
        <sz val="10"/>
        <color rgb="FF000000"/>
        <rFont val="Tahoma"/>
        <family val="0"/>
        <charset val="134"/>
      </rPr>
      <t xml:space="preserve">AHUIASSOU  </t>
    </r>
    <r>
      <rPr>
        <sz val="10"/>
        <color rgb="FF000000"/>
        <rFont val="Tahoma"/>
        <family val="0"/>
        <charset val="1"/>
      </rPr>
      <t xml:space="preserve">Sèwalin Anne-Marie Grâce</t>
    </r>
  </si>
  <si>
    <r>
      <rPr>
        <sz val="10"/>
        <color rgb="FF000000"/>
        <rFont val="Tahoma"/>
        <family val="0"/>
        <charset val="134"/>
      </rPr>
      <t xml:space="preserve">AÏDEGO  </t>
    </r>
    <r>
      <rPr>
        <sz val="10"/>
        <color rgb="FF000000"/>
        <rFont val="Tahoma"/>
        <family val="0"/>
        <charset val="1"/>
      </rPr>
      <t xml:space="preserve">Sèwanou Stanislas</t>
    </r>
  </si>
  <si>
    <r>
      <rPr>
        <sz val="10"/>
        <color rgb="FF000000"/>
        <rFont val="Tahoma"/>
        <family val="0"/>
        <charset val="134"/>
      </rPr>
      <t xml:space="preserve">AKELE </t>
    </r>
    <r>
      <rPr>
        <sz val="10"/>
        <color rgb="FF000000"/>
        <rFont val="Tahoma"/>
        <family val="0"/>
        <charset val="1"/>
      </rPr>
      <t xml:space="preserve">Noël Nounagnon</t>
    </r>
  </si>
  <si>
    <r>
      <rPr>
        <sz val="10"/>
        <color rgb="FF000000"/>
        <rFont val="Tahoma"/>
        <family val="0"/>
        <charset val="134"/>
      </rPr>
      <t xml:space="preserve">ALAZA  </t>
    </r>
    <r>
      <rPr>
        <sz val="10"/>
        <color rgb="FF000000"/>
        <rFont val="Tahoma"/>
        <family val="0"/>
        <charset val="1"/>
      </rPr>
      <t xml:space="preserve">Djalilatou</t>
    </r>
  </si>
  <si>
    <r>
      <rPr>
        <sz val="10"/>
        <color rgb="FF000000"/>
        <rFont val="Tahoma"/>
        <family val="0"/>
        <charset val="134"/>
      </rPr>
      <t xml:space="preserve">AMASSIWAN </t>
    </r>
    <r>
      <rPr>
        <sz val="10"/>
        <color rgb="FF000000"/>
        <rFont val="Tahoma"/>
        <family val="0"/>
        <charset val="1"/>
      </rPr>
      <t xml:space="preserve">Alihossi Berthe Thérèse</t>
    </r>
  </si>
  <si>
    <r>
      <rPr>
        <sz val="10"/>
        <color rgb="FF000000"/>
        <rFont val="Tahoma"/>
        <family val="0"/>
        <charset val="134"/>
      </rPr>
      <t xml:space="preserve">AZATASSOU </t>
    </r>
    <r>
      <rPr>
        <sz val="10"/>
        <color rgb="FF000000"/>
        <rFont val="Tahoma"/>
        <family val="0"/>
        <charset val="1"/>
      </rPr>
      <t xml:space="preserve">Delphine</t>
    </r>
  </si>
  <si>
    <r>
      <rPr>
        <sz val="10"/>
        <color rgb="FF000000"/>
        <rFont val="Tahoma"/>
        <family val="0"/>
        <charset val="134"/>
      </rPr>
      <t xml:space="preserve">BATCHO </t>
    </r>
    <r>
      <rPr>
        <sz val="10"/>
        <color rgb="FF000000"/>
        <rFont val="Tahoma"/>
        <family val="0"/>
        <charset val="1"/>
      </rPr>
      <t xml:space="preserve">A. I. Chantal</t>
    </r>
  </si>
  <si>
    <r>
      <rPr>
        <sz val="10"/>
        <color rgb="FF000000"/>
        <rFont val="Tahoma"/>
        <family val="0"/>
        <charset val="134"/>
      </rPr>
      <t xml:space="preserve">BINAZ0N</t>
    </r>
    <r>
      <rPr>
        <sz val="10"/>
        <color rgb="FF000000"/>
        <rFont val="Tahoma"/>
        <family val="0"/>
        <charset val="1"/>
      </rPr>
      <t xml:space="preserve">Missidou Henri Dohoue</t>
    </r>
  </si>
  <si>
    <r>
      <rPr>
        <sz val="10"/>
        <color rgb="FF000000"/>
        <rFont val="Tahoma"/>
        <family val="0"/>
        <charset val="134"/>
      </rPr>
      <t xml:space="preserve">BOHOUN </t>
    </r>
    <r>
      <rPr>
        <sz val="10"/>
        <color rgb="FF000000"/>
        <rFont val="Tahoma"/>
        <family val="0"/>
        <charset val="1"/>
      </rPr>
      <t xml:space="preserve">Sempè Aude</t>
    </r>
  </si>
  <si>
    <r>
      <rPr>
        <sz val="10"/>
        <color rgb="FF000000"/>
        <rFont val="Tahoma"/>
        <family val="0"/>
        <charset val="134"/>
      </rPr>
      <t xml:space="preserve">BOSSOU </t>
    </r>
    <r>
      <rPr>
        <sz val="10"/>
        <color rgb="FF000000"/>
        <rFont val="Tahoma"/>
        <family val="0"/>
        <charset val="1"/>
      </rPr>
      <t xml:space="preserve">Edwige</t>
    </r>
  </si>
  <si>
    <r>
      <rPr>
        <sz val="10"/>
        <color rgb="FF000000"/>
        <rFont val="Tahoma"/>
        <family val="0"/>
        <charset val="134"/>
      </rPr>
      <t xml:space="preserve">CHABLIS</t>
    </r>
    <r>
      <rPr>
        <sz val="10"/>
        <color rgb="FF000000"/>
        <rFont val="Tahoma"/>
        <family val="0"/>
        <charset val="1"/>
      </rPr>
      <t xml:space="preserve">Marie N. Noëlie</t>
    </r>
  </si>
  <si>
    <r>
      <rPr>
        <sz val="10"/>
        <color rgb="FF000000"/>
        <rFont val="Tahoma"/>
        <family val="0"/>
        <charset val="134"/>
      </rPr>
      <t xml:space="preserve">CODJA </t>
    </r>
    <r>
      <rPr>
        <sz val="10"/>
        <color rgb="FF000000"/>
        <rFont val="Tahoma"/>
        <family val="0"/>
        <charset val="1"/>
      </rPr>
      <t xml:space="preserve">Adélaïde Houndéma</t>
    </r>
  </si>
  <si>
    <r>
      <rPr>
        <sz val="10"/>
        <color rgb="FF000000"/>
        <rFont val="Tahoma"/>
        <family val="0"/>
        <charset val="134"/>
      </rPr>
      <t xml:space="preserve">COFFY </t>
    </r>
    <r>
      <rPr>
        <sz val="10"/>
        <color rgb="FF000000"/>
        <rFont val="Tahoma"/>
        <family val="0"/>
        <charset val="1"/>
      </rPr>
      <t xml:space="preserve">Prisca  Fifamey</t>
    </r>
  </si>
  <si>
    <r>
      <rPr>
        <sz val="10"/>
        <color rgb="FF000000"/>
        <rFont val="Tahoma"/>
        <family val="0"/>
        <charset val="134"/>
      </rPr>
      <t xml:space="preserve">COMLANVI </t>
    </r>
    <r>
      <rPr>
        <sz val="10"/>
        <color rgb="FF000000"/>
        <rFont val="Tahoma"/>
        <family val="0"/>
        <charset val="1"/>
      </rPr>
      <t xml:space="preserve">Ablawa Armellia Nancy</t>
    </r>
  </si>
  <si>
    <r>
      <rPr>
        <sz val="10"/>
        <color rgb="FF000000"/>
        <rFont val="Tahoma"/>
        <family val="0"/>
        <charset val="134"/>
      </rPr>
      <t xml:space="preserve">DANGBE </t>
    </r>
    <r>
      <rPr>
        <sz val="10"/>
        <color rgb="FF000000"/>
        <rFont val="Tahoma"/>
        <family val="0"/>
        <charset val="1"/>
      </rPr>
      <t xml:space="preserve">Houéfa Huguette Ghislaine</t>
    </r>
  </si>
  <si>
    <r>
      <rPr>
        <sz val="10"/>
        <color rgb="FF000000"/>
        <rFont val="Tahoma"/>
        <family val="0"/>
        <charset val="134"/>
      </rPr>
      <t xml:space="preserve">DENADI</t>
    </r>
    <r>
      <rPr>
        <sz val="10"/>
        <color rgb="FF000000"/>
        <rFont val="Tahoma"/>
        <family val="0"/>
        <charset val="1"/>
      </rPr>
      <t xml:space="preserve">Sènami Lydie Edith</t>
    </r>
  </si>
  <si>
    <r>
      <rPr>
        <sz val="10"/>
        <color rgb="FF000000"/>
        <rFont val="Tahoma"/>
        <family val="0"/>
        <charset val="134"/>
      </rPr>
      <t xml:space="preserve">DENADI  </t>
    </r>
    <r>
      <rPr>
        <sz val="10"/>
        <color rgb="FF000000"/>
        <rFont val="Tahoma"/>
        <family val="0"/>
        <charset val="1"/>
      </rPr>
      <t xml:space="preserve">Pierrette</t>
    </r>
  </si>
  <si>
    <r>
      <rPr>
        <sz val="10"/>
        <color rgb="FF000000"/>
        <rFont val="Tahoma"/>
        <family val="0"/>
        <charset val="134"/>
      </rPr>
      <t xml:space="preserve">DOMINGO </t>
    </r>
    <r>
      <rPr>
        <sz val="10"/>
        <color rgb="FF000000"/>
        <rFont val="Tahoma"/>
        <family val="0"/>
        <charset val="1"/>
      </rPr>
      <t xml:space="preserve">Vihotogbé Lucresse Laurence</t>
    </r>
  </si>
  <si>
    <r>
      <rPr>
        <sz val="10"/>
        <color rgb="FF000000"/>
        <rFont val="Tahoma"/>
        <family val="0"/>
        <charset val="134"/>
      </rPr>
      <t xml:space="preserve">ETEKA </t>
    </r>
    <r>
      <rPr>
        <sz val="10"/>
        <color rgb="FF000000"/>
        <rFont val="Tahoma"/>
        <family val="0"/>
        <charset val="1"/>
      </rPr>
      <t xml:space="preserve">Tinikowa Prudencia Doris</t>
    </r>
  </si>
  <si>
    <r>
      <rPr>
        <sz val="10"/>
        <color rgb="FF000000"/>
        <rFont val="Tahoma"/>
        <family val="0"/>
        <charset val="134"/>
      </rPr>
      <t xml:space="preserve">FANDI </t>
    </r>
    <r>
      <rPr>
        <sz val="10"/>
        <color rgb="FF000000"/>
        <rFont val="Tahoma"/>
        <family val="0"/>
        <charset val="1"/>
      </rPr>
      <t xml:space="preserve">Oboubé Olivia</t>
    </r>
  </si>
  <si>
    <r>
      <rPr>
        <sz val="10"/>
        <color rgb="FF000000"/>
        <rFont val="Tahoma"/>
        <family val="0"/>
        <charset val="134"/>
      </rPr>
      <t xml:space="preserve">FIDEMATIN </t>
    </r>
    <r>
      <rPr>
        <sz val="10"/>
        <color rgb="FF000000"/>
        <rFont val="Tahoma"/>
        <family val="0"/>
        <charset val="1"/>
      </rPr>
      <t xml:space="preserve">Gbèdohouèdé Vital</t>
    </r>
  </si>
  <si>
    <r>
      <rPr>
        <sz val="10"/>
        <color rgb="FF000000"/>
        <rFont val="Calibri"/>
        <family val="0"/>
        <charset val="134"/>
      </rPr>
      <t xml:space="preserve">FOURDI </t>
    </r>
    <r>
      <rPr>
        <sz val="10"/>
        <color rgb="FF000000"/>
        <rFont val="Calibri"/>
        <family val="0"/>
        <charset val="1"/>
      </rPr>
      <t xml:space="preserve">Séïdou Pierre Damien</t>
    </r>
  </si>
  <si>
    <r>
      <rPr>
        <sz val="10"/>
        <color rgb="FF000000"/>
        <rFont val="Tahoma"/>
        <family val="0"/>
        <charset val="134"/>
      </rPr>
      <t xml:space="preserve">GANSIMIN </t>
    </r>
    <r>
      <rPr>
        <sz val="10"/>
        <color rgb="FF000000"/>
        <rFont val="Tahoma"/>
        <family val="0"/>
        <charset val="1"/>
      </rPr>
      <t xml:space="preserve">Sêkimonwan Vincent</t>
    </r>
  </si>
  <si>
    <r>
      <rPr>
        <sz val="10"/>
        <color rgb="FF000000"/>
        <rFont val="Tahoma"/>
        <family val="0"/>
        <charset val="134"/>
      </rPr>
      <t xml:space="preserve">GOUKPANIAN  </t>
    </r>
    <r>
      <rPr>
        <sz val="10"/>
        <color rgb="FF000000"/>
        <rFont val="Tahoma"/>
        <family val="0"/>
        <charset val="1"/>
      </rPr>
      <t xml:space="preserve">Germain</t>
    </r>
  </si>
  <si>
    <r>
      <rPr>
        <sz val="10"/>
        <color rgb="FF000000"/>
        <rFont val="Tahoma"/>
        <family val="0"/>
        <charset val="134"/>
      </rPr>
      <t xml:space="preserve">HOUEDE </t>
    </r>
    <r>
      <rPr>
        <sz val="10"/>
        <color rgb="FF000000"/>
        <rFont val="Tahoma"/>
        <family val="0"/>
        <charset val="1"/>
      </rPr>
      <t xml:space="preserve">Angèle</t>
    </r>
  </si>
  <si>
    <r>
      <rPr>
        <sz val="10"/>
        <color rgb="FF000000"/>
        <rFont val="Tahoma"/>
        <family val="0"/>
        <charset val="134"/>
      </rPr>
      <t xml:space="preserve">HOUNZANDJI </t>
    </r>
    <r>
      <rPr>
        <sz val="10"/>
        <color rgb="FF000000"/>
        <rFont val="Tahoma"/>
        <family val="0"/>
        <charset val="1"/>
      </rPr>
      <t xml:space="preserve">Sèmèvo Chantale</t>
    </r>
  </si>
  <si>
    <r>
      <rPr>
        <sz val="10"/>
        <color rgb="FF000000"/>
        <rFont val="Tahoma"/>
        <family val="0"/>
        <charset val="134"/>
      </rPr>
      <t xml:space="preserve">KOUCHORO </t>
    </r>
    <r>
      <rPr>
        <sz val="10"/>
        <color rgb="FF000000"/>
        <rFont val="Tahoma"/>
        <family val="0"/>
        <charset val="1"/>
      </rPr>
      <t xml:space="preserve">Hovoèdo Achabi Falilath</t>
    </r>
  </si>
  <si>
    <r>
      <rPr>
        <sz val="10"/>
        <color rgb="FF000000"/>
        <rFont val="Tahoma"/>
        <family val="0"/>
        <charset val="134"/>
      </rPr>
      <t xml:space="preserve">KOUKPO </t>
    </r>
    <r>
      <rPr>
        <sz val="10"/>
        <color rgb="FF000000"/>
        <rFont val="Tahoma"/>
        <family val="0"/>
        <charset val="1"/>
      </rPr>
      <t xml:space="preserve">Agnihonsi Agossino Angèle</t>
    </r>
  </si>
  <si>
    <r>
      <rPr>
        <sz val="10"/>
        <color rgb="FF000000"/>
        <rFont val="Tahoma"/>
        <family val="0"/>
        <charset val="134"/>
      </rPr>
      <t xml:space="preserve">KOULO </t>
    </r>
    <r>
      <rPr>
        <sz val="10"/>
        <color rgb="FF000000"/>
        <rFont val="Tahoma"/>
        <family val="0"/>
        <charset val="1"/>
      </rPr>
      <t xml:space="preserve">Hermine Fernande</t>
    </r>
  </si>
  <si>
    <r>
      <rPr>
        <sz val="10"/>
        <color rgb="FF000000"/>
        <rFont val="Tahoma"/>
        <family val="0"/>
        <charset val="134"/>
      </rPr>
      <t xml:space="preserve">KOURA </t>
    </r>
    <r>
      <rPr>
        <sz val="10"/>
        <color rgb="FF000000"/>
        <rFont val="Tahoma"/>
        <family val="0"/>
        <charset val="1"/>
      </rPr>
      <t xml:space="preserve">Marceline</t>
    </r>
  </si>
  <si>
    <r>
      <rPr>
        <sz val="10"/>
        <color rgb="FF000000"/>
        <rFont val="Tahoma"/>
        <family val="0"/>
        <charset val="134"/>
      </rPr>
      <t xml:space="preserve">KPOKPOYA </t>
    </r>
    <r>
      <rPr>
        <sz val="10"/>
        <color rgb="FF000000"/>
        <rFont val="Tahoma"/>
        <family val="0"/>
        <charset val="1"/>
      </rPr>
      <t xml:space="preserve">A. M. Josiane</t>
    </r>
  </si>
  <si>
    <r>
      <rPr>
        <sz val="10"/>
        <color rgb="FF000000"/>
        <rFont val="Tahoma"/>
        <family val="0"/>
        <charset val="134"/>
      </rPr>
      <t xml:space="preserve">LOKO </t>
    </r>
    <r>
      <rPr>
        <sz val="10"/>
        <color rgb="FF000000"/>
        <rFont val="Tahoma"/>
        <family val="0"/>
        <charset val="1"/>
      </rPr>
      <t xml:space="preserve">Carôle Viho</t>
    </r>
  </si>
  <si>
    <r>
      <rPr>
        <sz val="10"/>
        <color rgb="FF000000"/>
        <rFont val="Tahoma"/>
        <family val="0"/>
        <charset val="134"/>
      </rPr>
      <t xml:space="preserve">MADOU </t>
    </r>
    <r>
      <rPr>
        <sz val="10"/>
        <color rgb="FF000000"/>
        <rFont val="Tahoma"/>
        <family val="0"/>
        <charset val="1"/>
      </rPr>
      <t xml:space="preserve">Monsohi Hélène</t>
    </r>
  </si>
  <si>
    <r>
      <rPr>
        <sz val="10"/>
        <color rgb="FF000000"/>
        <rFont val="Tahoma"/>
        <family val="0"/>
        <charset val="134"/>
      </rPr>
      <t xml:space="preserve">MEHOU </t>
    </r>
    <r>
      <rPr>
        <sz val="10"/>
        <color rgb="FF000000"/>
        <rFont val="Tahoma"/>
        <family val="0"/>
        <charset val="1"/>
      </rPr>
      <t xml:space="preserve">Edjrossè Félicité</t>
    </r>
  </si>
  <si>
    <r>
      <rPr>
        <sz val="10"/>
        <color rgb="FF000000"/>
        <rFont val="Tahoma"/>
        <family val="0"/>
        <charset val="134"/>
      </rPr>
      <t xml:space="preserve">MEKPO </t>
    </r>
    <r>
      <rPr>
        <sz val="10"/>
        <color rgb="FF000000"/>
        <rFont val="Tahoma"/>
        <family val="0"/>
        <charset val="1"/>
      </rPr>
      <t xml:space="preserve">Adjowavi Blandine</t>
    </r>
  </si>
  <si>
    <r>
      <rPr>
        <sz val="10"/>
        <color rgb="FF000000"/>
        <rFont val="Tahoma"/>
        <family val="0"/>
        <charset val="134"/>
      </rPr>
      <t xml:space="preserve">METOGNINOU  </t>
    </r>
    <r>
      <rPr>
        <sz val="10"/>
        <color rgb="FF000000"/>
        <rFont val="Tahoma"/>
        <family val="0"/>
        <charset val="1"/>
      </rPr>
      <t xml:space="preserve">Elisabeth</t>
    </r>
  </si>
  <si>
    <r>
      <rPr>
        <sz val="10"/>
        <color rgb="FF000000"/>
        <rFont val="Tahoma"/>
        <family val="0"/>
        <charset val="134"/>
      </rPr>
      <t xml:space="preserve">ODJO </t>
    </r>
    <r>
      <rPr>
        <sz val="10"/>
        <color rgb="FF000000"/>
        <rFont val="Tahoma"/>
        <family val="0"/>
        <charset val="1"/>
      </rPr>
      <t xml:space="preserve">Caroline</t>
    </r>
  </si>
  <si>
    <r>
      <rPr>
        <sz val="10"/>
        <color rgb="FF000000"/>
        <rFont val="Tahoma"/>
        <family val="0"/>
        <charset val="134"/>
      </rPr>
      <t xml:space="preserve">OKIOH </t>
    </r>
    <r>
      <rPr>
        <sz val="10"/>
        <color rgb="FF000000"/>
        <rFont val="Tahoma"/>
        <family val="0"/>
        <charset val="1"/>
      </rPr>
      <t xml:space="preserve">Annick Olga Akodédjou Mondoukpè</t>
    </r>
  </si>
  <si>
    <r>
      <rPr>
        <sz val="10"/>
        <color rgb="FF000000"/>
        <rFont val="Tahoma"/>
        <family val="0"/>
        <charset val="134"/>
      </rPr>
      <t xml:space="preserve">SAGBOHAN </t>
    </r>
    <r>
      <rPr>
        <sz val="10"/>
        <color rgb="FF000000"/>
        <rFont val="Tahoma"/>
        <family val="0"/>
        <charset val="1"/>
      </rPr>
      <t xml:space="preserve">Mèdessè Evelyne</t>
    </r>
  </si>
  <si>
    <r>
      <rPr>
        <sz val="10"/>
        <color rgb="FF000000"/>
        <rFont val="Tahoma"/>
        <family val="0"/>
        <charset val="134"/>
      </rPr>
      <t xml:space="preserve">SANNY </t>
    </r>
    <r>
      <rPr>
        <sz val="10"/>
        <color rgb="FF000000"/>
        <rFont val="Tahoma"/>
        <family val="0"/>
        <charset val="1"/>
      </rPr>
      <t xml:space="preserve">Geneviève Abodourin</t>
    </r>
  </si>
  <si>
    <r>
      <rPr>
        <sz val="10"/>
        <color rgb="FF000000"/>
        <rFont val="Tahoma"/>
        <family val="0"/>
        <charset val="134"/>
      </rPr>
      <t xml:space="preserve">SANOUSSI </t>
    </r>
    <r>
      <rPr>
        <sz val="10"/>
        <color rgb="FF000000"/>
        <rFont val="Tahoma"/>
        <family val="0"/>
        <charset val="1"/>
      </rPr>
      <t xml:space="preserve">Adjokè Latifatou</t>
    </r>
  </si>
  <si>
    <r>
      <rPr>
        <sz val="12"/>
        <color rgb="FF000000"/>
        <rFont val="Calibri"/>
        <family val="0"/>
        <charset val="134"/>
      </rPr>
      <t xml:space="preserve">SEGBEDJI </t>
    </r>
    <r>
      <rPr>
        <sz val="12"/>
        <color rgb="FF000000"/>
        <rFont val="Calibri"/>
        <family val="0"/>
        <charset val="1"/>
      </rPr>
      <t xml:space="preserve">Edwige</t>
    </r>
  </si>
  <si>
    <r>
      <rPr>
        <sz val="10"/>
        <color rgb="FF000000"/>
        <rFont val="Tahoma"/>
        <family val="0"/>
        <charset val="134"/>
      </rPr>
      <t xml:space="preserve">SINGBO </t>
    </r>
    <r>
      <rPr>
        <sz val="10"/>
        <color rgb="FF000000"/>
        <rFont val="Tahoma"/>
        <family val="0"/>
        <charset val="1"/>
      </rPr>
      <t xml:space="preserve">Missimahu Fidélia Valérie</t>
    </r>
  </si>
  <si>
    <r>
      <rPr>
        <sz val="10"/>
        <color rgb="FF000000"/>
        <rFont val="Tahoma"/>
        <family val="0"/>
        <charset val="134"/>
      </rPr>
      <t xml:space="preserve">SOUROU </t>
    </r>
    <r>
      <rPr>
        <sz val="10"/>
        <color rgb="FF000000"/>
        <rFont val="Tahoma"/>
        <family val="0"/>
        <charset val="1"/>
      </rPr>
      <t xml:space="preserve">Jacqueline Penty Miton</t>
    </r>
  </si>
  <si>
    <r>
      <rPr>
        <sz val="10"/>
        <color rgb="FF000000"/>
        <rFont val="Tahoma"/>
        <family val="0"/>
        <charset val="134"/>
      </rPr>
      <t xml:space="preserve">TASSI </t>
    </r>
    <r>
      <rPr>
        <sz val="10"/>
        <color rgb="FF000000"/>
        <rFont val="Tahoma"/>
        <family val="0"/>
        <charset val="1"/>
      </rPr>
      <t xml:space="preserve">Neully Euridice Alice</t>
    </r>
  </si>
  <si>
    <r>
      <rPr>
        <sz val="10"/>
        <color rgb="FF000000"/>
        <rFont val="Tahoma"/>
        <family val="0"/>
        <charset val="134"/>
      </rPr>
      <t xml:space="preserve">TOFFA </t>
    </r>
    <r>
      <rPr>
        <sz val="10"/>
        <color rgb="FF000000"/>
        <rFont val="Tahoma"/>
        <family val="0"/>
        <charset val="1"/>
      </rPr>
      <t xml:space="preserve">Christelle Yvette</t>
    </r>
  </si>
  <si>
    <r>
      <rPr>
        <sz val="10"/>
        <color rgb="FF000000"/>
        <rFont val="Calibri"/>
        <family val="0"/>
        <charset val="134"/>
      </rPr>
      <t xml:space="preserve">TOKOUZAN </t>
    </r>
    <r>
      <rPr>
        <sz val="10"/>
        <color rgb="FF000000"/>
        <rFont val="Calibri"/>
        <family val="0"/>
        <charset val="1"/>
      </rPr>
      <t xml:space="preserve">Eloïse</t>
    </r>
  </si>
  <si>
    <r>
      <rPr>
        <sz val="10"/>
        <color rgb="FF000000"/>
        <rFont val="Tahoma"/>
        <family val="0"/>
        <charset val="134"/>
      </rPr>
      <t xml:space="preserve">TOSSOU </t>
    </r>
    <r>
      <rPr>
        <sz val="10"/>
        <color theme="1"/>
        <rFont val="Tahoma"/>
        <family val="0"/>
        <charset val="1"/>
      </rPr>
      <t xml:space="preserve">Carroline</t>
    </r>
  </si>
  <si>
    <r>
      <rPr>
        <sz val="10"/>
        <color rgb="FF000000"/>
        <rFont val="Tahoma"/>
        <family val="0"/>
        <charset val="134"/>
      </rPr>
      <t xml:space="preserve">VODOUNNOU </t>
    </r>
    <r>
      <rPr>
        <sz val="10"/>
        <color rgb="FF000000"/>
        <rFont val="Tahoma"/>
        <family val="0"/>
        <charset val="1"/>
      </rPr>
      <t xml:space="preserve">Sèho Sadok Roméo</t>
    </r>
  </si>
  <si>
    <r>
      <rPr>
        <sz val="10"/>
        <color rgb="FF000000"/>
        <rFont val="Tahoma"/>
        <family val="0"/>
        <charset val="134"/>
      </rPr>
      <t xml:space="preserve">WELE PASCAL </t>
    </r>
    <r>
      <rPr>
        <sz val="10"/>
        <color rgb="FF000000"/>
        <rFont val="Tahoma"/>
        <family val="0"/>
        <charset val="1"/>
      </rPr>
      <t xml:space="preserve">Anne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</si>
  <si>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GEOMETRE TOPOGRAPHE</t>
    </r>
  </si>
  <si>
    <r>
      <rPr>
        <sz val="11"/>
        <color rgb="FF000000"/>
        <rFont val="Arial"/>
        <family val="0"/>
        <charset val="134"/>
      </rPr>
      <t xml:space="preserve">AÏDONOUGBO </t>
    </r>
    <r>
      <rPr>
        <sz val="11"/>
        <color rgb="FF000000"/>
        <rFont val="Arial"/>
        <family val="0"/>
        <charset val="1"/>
      </rPr>
      <t xml:space="preserve">Fagbédji Martial</t>
    </r>
  </si>
  <si>
    <r>
      <rPr>
        <sz val="11"/>
        <color rgb="FF000000"/>
        <rFont val="Arial"/>
        <family val="0"/>
        <charset val="134"/>
      </rPr>
      <t xml:space="preserve">ALOKPOGNANDJI </t>
    </r>
    <r>
      <rPr>
        <sz val="11"/>
        <color rgb="FF000000"/>
        <rFont val="Arial"/>
        <family val="0"/>
        <charset val="1"/>
      </rPr>
      <t xml:space="preserve">Victorien Noudéhouénou Françis</t>
    </r>
  </si>
  <si>
    <r>
      <rPr>
        <sz val="12"/>
        <color theme="1"/>
        <rFont val="Arial"/>
        <family val="0"/>
        <charset val="134"/>
      </rPr>
      <t xml:space="preserve">BAMPO </t>
    </r>
    <r>
      <rPr>
        <sz val="12"/>
        <color theme="1"/>
        <rFont val="Arial"/>
        <family val="0"/>
        <charset val="1"/>
      </rPr>
      <t xml:space="preserve">Augustin</t>
    </r>
  </si>
  <si>
    <r>
      <rPr>
        <sz val="11"/>
        <color rgb="FF000000"/>
        <rFont val="Arial"/>
        <family val="0"/>
        <charset val="134"/>
      </rPr>
      <t xml:space="preserve">GBOSSOU </t>
    </r>
    <r>
      <rPr>
        <sz val="11"/>
        <color rgb="FF000000"/>
        <rFont val="Arial"/>
        <family val="0"/>
        <charset val="1"/>
      </rPr>
      <t xml:space="preserve">Marc Mahougnon</t>
    </r>
  </si>
  <si>
    <r>
      <rPr>
        <sz val="11"/>
        <color rgb="FF000000"/>
        <rFont val="Arial"/>
        <family val="0"/>
        <charset val="134"/>
      </rPr>
      <t xml:space="preserve">GOSSOH </t>
    </r>
    <r>
      <rPr>
        <sz val="11"/>
        <color rgb="FF000000"/>
        <rFont val="Arial"/>
        <family val="0"/>
        <charset val="1"/>
      </rPr>
      <t xml:space="preserve">Vincent</t>
    </r>
  </si>
  <si>
    <r>
      <rPr>
        <sz val="11"/>
        <color rgb="FF000000"/>
        <rFont val="Arial"/>
        <family val="0"/>
        <charset val="134"/>
      </rPr>
      <t xml:space="preserve">GOSSOH </t>
    </r>
    <r>
      <rPr>
        <sz val="11"/>
        <color rgb="FF000000"/>
        <rFont val="Arial"/>
        <family val="0"/>
        <charset val="1"/>
      </rPr>
      <t xml:space="preserve">Oscars</t>
    </r>
  </si>
  <si>
    <r>
      <rPr>
        <sz val="12"/>
        <color theme="1"/>
        <rFont val="Arial"/>
        <family val="0"/>
        <charset val="134"/>
      </rPr>
      <t xml:space="preserve">HOUANKE </t>
    </r>
    <r>
      <rPr>
        <sz val="12"/>
        <color theme="1"/>
        <rFont val="Arial"/>
        <family val="0"/>
        <charset val="1"/>
      </rPr>
      <t xml:space="preserve">Luc</t>
    </r>
  </si>
  <si>
    <r>
      <rPr>
        <sz val="11"/>
        <color theme="1"/>
        <rFont val="Arial"/>
        <family val="0"/>
        <charset val="134"/>
      </rPr>
      <t xml:space="preserve">TOKPOLEDO </t>
    </r>
    <r>
      <rPr>
        <sz val="11"/>
        <color theme="1"/>
        <rFont val="Arial"/>
        <family val="0"/>
        <charset val="1"/>
      </rPr>
      <t xml:space="preserve">S. Herman</t>
    </r>
  </si>
  <si>
    <r>
      <rPr>
        <sz val="11"/>
        <color theme="1"/>
        <rFont val="Arial"/>
        <family val="0"/>
        <charset val="134"/>
      </rPr>
      <t xml:space="preserve">EGOUDJOBI </t>
    </r>
    <r>
      <rPr>
        <sz val="11"/>
        <color theme="1"/>
        <rFont val="Arial"/>
        <family val="0"/>
        <charset val="1"/>
      </rPr>
      <t xml:space="preserve">Thierry</t>
    </r>
  </si>
  <si>
    <r>
      <rPr>
        <sz val="11"/>
        <color theme="1"/>
        <rFont val="Arial"/>
        <family val="0"/>
        <charset val="134"/>
      </rPr>
      <t xml:space="preserve">VODEME </t>
    </r>
    <r>
      <rPr>
        <sz val="11"/>
        <color theme="1"/>
        <rFont val="Arial"/>
        <family val="0"/>
        <charset val="1"/>
      </rPr>
      <t xml:space="preserve">Dalmas Franck</t>
    </r>
  </si>
  <si>
    <r>
      <rPr>
        <sz val="11"/>
        <color theme="1"/>
        <rFont val="Arial"/>
        <family val="0"/>
        <charset val="134"/>
      </rPr>
      <t xml:space="preserve">VODOUNOU </t>
    </r>
    <r>
      <rPr>
        <sz val="11"/>
        <color theme="1"/>
        <rFont val="Arial"/>
        <family val="0"/>
        <charset val="1"/>
      </rPr>
      <t xml:space="preserve">S. Vianney O.</t>
    </r>
  </si>
  <si>
    <r>
      <rPr>
        <sz val="11"/>
        <color theme="1"/>
        <rFont val="Arial"/>
        <family val="0"/>
        <charset val="134"/>
      </rPr>
      <t xml:space="preserve">HOUNDEKPONDJI </t>
    </r>
    <r>
      <rPr>
        <sz val="11"/>
        <color theme="1"/>
        <rFont val="Arial"/>
        <family val="0"/>
        <charset val="1"/>
      </rPr>
      <t xml:space="preserve">Martin Brice </t>
    </r>
  </si>
  <si>
    <t xml:space="preserve">TOTAL GENERAL</t>
  </si>
  <si>
    <t xml:space="preserve">MONT.DÛ</t>
  </si>
  <si>
    <t xml:space="preserve">                                                                                                                                                                                                                       </t>
  </si>
  <si>
    <t xml:space="preserve">1ère Année</t>
  </si>
  <si>
    <r>
      <rPr>
        <sz val="11"/>
        <color theme="1"/>
        <rFont val="Calibri"/>
        <family val="0"/>
        <charset val="134"/>
      </rPr>
      <t xml:space="preserve">AGON </t>
    </r>
    <r>
      <rPr>
        <sz val="11"/>
        <color theme="1"/>
        <rFont val="Calibri"/>
        <family val="0"/>
        <charset val="1"/>
      </rPr>
      <t xml:space="preserve">Tatiana</t>
    </r>
  </si>
  <si>
    <r>
      <rPr>
        <sz val="11"/>
        <color theme="1"/>
        <rFont val="Calibri"/>
        <family val="0"/>
        <charset val="134"/>
      </rPr>
      <t xml:space="preserve">ALIDOU </t>
    </r>
    <r>
      <rPr>
        <sz val="11"/>
        <color theme="1"/>
        <rFont val="Calibri"/>
        <family val="0"/>
        <charset val="1"/>
      </rPr>
      <t xml:space="preserve">Amidou</t>
    </r>
  </si>
  <si>
    <r>
      <rPr>
        <sz val="11"/>
        <color theme="1"/>
        <rFont val="Calibri"/>
        <family val="0"/>
        <charset val="134"/>
      </rPr>
      <t xml:space="preserve">AMOUZOUN </t>
    </r>
    <r>
      <rPr>
        <sz val="11"/>
        <color theme="1"/>
        <rFont val="Calibri"/>
        <family val="0"/>
        <charset val="1"/>
      </rPr>
      <t xml:space="preserve">Emile</t>
    </r>
  </si>
  <si>
    <r>
      <rPr>
        <sz val="11"/>
        <color theme="1"/>
        <rFont val="Calibri"/>
        <family val="0"/>
        <charset val="134"/>
      </rPr>
      <t xml:space="preserve">AVOCETIEN </t>
    </r>
    <r>
      <rPr>
        <sz val="11"/>
        <color theme="1"/>
        <rFont val="Calibri"/>
        <family val="0"/>
        <charset val="1"/>
      </rPr>
      <t xml:space="preserve">Irmine Gloria Vientia Yabo ( redblt)</t>
    </r>
  </si>
  <si>
    <r>
      <rPr>
        <sz val="11"/>
        <color theme="1"/>
        <rFont val="Calibri"/>
        <family val="0"/>
        <charset val="134"/>
      </rPr>
      <t xml:space="preserve">BIO NIGAN </t>
    </r>
    <r>
      <rPr>
        <sz val="11"/>
        <color theme="1"/>
        <rFont val="Calibri"/>
        <family val="0"/>
        <charset val="1"/>
      </rPr>
      <t xml:space="preserve">Kabirou</t>
    </r>
  </si>
  <si>
    <r>
      <rPr>
        <sz val="11"/>
        <color theme="1"/>
        <rFont val="Calibri"/>
        <family val="0"/>
        <charset val="134"/>
      </rPr>
      <t xml:space="preserve">GANZO </t>
    </r>
    <r>
      <rPr>
        <sz val="11"/>
        <color theme="1"/>
        <rFont val="Calibri"/>
        <family val="0"/>
        <charset val="1"/>
      </rPr>
      <t xml:space="preserve">Dieu-Donné Togbédji</t>
    </r>
  </si>
  <si>
    <r>
      <rPr>
        <sz val="11"/>
        <color theme="1"/>
        <rFont val="Calibri"/>
        <family val="0"/>
        <charset val="134"/>
      </rPr>
      <t xml:space="preserve">GBAGUIDI </t>
    </r>
    <r>
      <rPr>
        <sz val="11"/>
        <color theme="1"/>
        <rFont val="Calibri"/>
        <family val="0"/>
        <charset val="1"/>
      </rPr>
      <t xml:space="preserve">Quirin U.</t>
    </r>
  </si>
  <si>
    <r>
      <rPr>
        <sz val="11"/>
        <color theme="1"/>
        <rFont val="Calibri"/>
        <family val="0"/>
        <charset val="134"/>
      </rPr>
      <t xml:space="preserve">GBEGNON </t>
    </r>
    <r>
      <rPr>
        <sz val="11"/>
        <color theme="1"/>
        <rFont val="Calibri"/>
        <family val="0"/>
        <charset val="1"/>
      </rPr>
      <t xml:space="preserve">Rokard</t>
    </r>
  </si>
  <si>
    <r>
      <rPr>
        <sz val="11"/>
        <color theme="1"/>
        <rFont val="Calibri"/>
        <family val="0"/>
        <charset val="134"/>
      </rPr>
      <t xml:space="preserve">ISSIAKOU </t>
    </r>
    <r>
      <rPr>
        <sz val="11"/>
        <color theme="1"/>
        <rFont val="Calibri"/>
        <family val="0"/>
        <charset val="1"/>
      </rPr>
      <t xml:space="preserve">Idrissou</t>
    </r>
  </si>
  <si>
    <r>
      <rPr>
        <sz val="11"/>
        <color theme="1"/>
        <rFont val="Calibri"/>
        <family val="0"/>
        <charset val="134"/>
      </rPr>
      <t xml:space="preserve">MEDJOLO </t>
    </r>
    <r>
      <rPr>
        <sz val="11"/>
        <color theme="1"/>
        <rFont val="Calibri"/>
        <family val="0"/>
        <charset val="1"/>
      </rPr>
      <t xml:space="preserve">Yédjenou Alphonse</t>
    </r>
  </si>
  <si>
    <r>
      <rPr>
        <sz val="11"/>
        <color theme="1"/>
        <rFont val="Calibri"/>
        <family val="0"/>
        <charset val="134"/>
      </rPr>
      <t xml:space="preserve">MONWANOU </t>
    </r>
    <r>
      <rPr>
        <sz val="11"/>
        <color theme="1"/>
        <rFont val="Calibri"/>
        <family val="0"/>
        <charset val="1"/>
      </rPr>
      <t xml:space="preserve">Houénagnon Rémi</t>
    </r>
  </si>
  <si>
    <r>
      <rPr>
        <sz val="11"/>
        <color theme="1"/>
        <rFont val="Calibri"/>
        <family val="0"/>
        <charset val="134"/>
      </rPr>
      <t xml:space="preserve">TEKO </t>
    </r>
    <r>
      <rPr>
        <sz val="11"/>
        <color theme="1"/>
        <rFont val="Calibri"/>
        <family val="0"/>
        <charset val="1"/>
      </rPr>
      <t xml:space="preserve">Folly Barthélémy</t>
    </r>
  </si>
  <si>
    <r>
      <rPr>
        <sz val="11"/>
        <color theme="1"/>
        <rFont val="Calibri"/>
        <family val="0"/>
        <charset val="134"/>
      </rPr>
      <t xml:space="preserve">VIGAN </t>
    </r>
    <r>
      <rPr>
        <sz val="11"/>
        <color theme="1"/>
        <rFont val="Calibri"/>
        <family val="0"/>
        <charset val="1"/>
      </rPr>
      <t xml:space="preserve">T. Goodffroy</t>
    </r>
  </si>
  <si>
    <r>
      <rPr>
        <sz val="11"/>
        <color theme="1"/>
        <rFont val="Calibri"/>
        <family val="0"/>
        <charset val="134"/>
      </rPr>
      <t xml:space="preserve">ADOKO </t>
    </r>
    <r>
      <rPr>
        <sz val="11"/>
        <color theme="1"/>
        <rFont val="Calibri"/>
        <family val="0"/>
        <charset val="1"/>
      </rPr>
      <t xml:space="preserve">Aristide Akotègnon</t>
    </r>
  </si>
  <si>
    <r>
      <rPr>
        <sz val="11"/>
        <color theme="1"/>
        <rFont val="Calibri"/>
        <family val="0"/>
        <charset val="134"/>
      </rPr>
      <t xml:space="preserve">AGOSSOU </t>
    </r>
    <r>
      <rPr>
        <sz val="11"/>
        <color theme="1"/>
        <rFont val="Calibri"/>
        <family val="0"/>
        <charset val="1"/>
      </rPr>
      <t xml:space="preserve">Casimir</t>
    </r>
  </si>
  <si>
    <r>
      <rPr>
        <sz val="11"/>
        <color theme="1"/>
        <rFont val="Calibri"/>
        <family val="0"/>
        <charset val="134"/>
      </rPr>
      <t xml:space="preserve">AHOGNISSE </t>
    </r>
    <r>
      <rPr>
        <sz val="11"/>
        <color theme="1"/>
        <rFont val="Calibri"/>
        <family val="0"/>
        <charset val="1"/>
      </rPr>
      <t xml:space="preserve">Ahotondji Franck</t>
    </r>
  </si>
  <si>
    <r>
      <rPr>
        <sz val="11"/>
        <color theme="1"/>
        <rFont val="Calibri"/>
        <family val="0"/>
        <charset val="134"/>
      </rPr>
      <t xml:space="preserve">AKOUNKINTODE </t>
    </r>
    <r>
      <rPr>
        <sz val="11"/>
        <color theme="1"/>
        <rFont val="Calibri"/>
        <family val="0"/>
        <charset val="1"/>
      </rPr>
      <t xml:space="preserve">Charles</t>
    </r>
  </si>
  <si>
    <r>
      <rPr>
        <sz val="11"/>
        <color theme="1"/>
        <rFont val="Calibri"/>
        <family val="0"/>
        <charset val="134"/>
      </rPr>
      <t xml:space="preserve">ASSOUROKO </t>
    </r>
    <r>
      <rPr>
        <sz val="11"/>
        <color theme="1"/>
        <rFont val="Calibri"/>
        <family val="0"/>
        <charset val="1"/>
      </rPr>
      <t xml:space="preserve">Abraham Théophile</t>
    </r>
  </si>
  <si>
    <r>
      <rPr>
        <sz val="11"/>
        <color theme="1"/>
        <rFont val="Calibri"/>
        <family val="0"/>
        <charset val="134"/>
      </rPr>
      <t xml:space="preserve">BABA-YAYA </t>
    </r>
    <r>
      <rPr>
        <sz val="11"/>
        <color theme="1"/>
        <rFont val="Calibri"/>
        <family val="0"/>
        <charset val="1"/>
      </rPr>
      <t xml:space="preserve">Latifou</t>
    </r>
  </si>
  <si>
    <r>
      <rPr>
        <sz val="11"/>
        <color theme="1"/>
        <rFont val="Calibri"/>
        <family val="0"/>
        <charset val="134"/>
      </rPr>
      <t xml:space="preserve">BOSSOU </t>
    </r>
    <r>
      <rPr>
        <sz val="11"/>
        <color theme="1"/>
        <rFont val="Calibri"/>
        <family val="0"/>
        <charset val="1"/>
      </rPr>
      <t xml:space="preserve">Jonas</t>
    </r>
  </si>
  <si>
    <r>
      <rPr>
        <sz val="11"/>
        <color theme="1"/>
        <rFont val="Calibri"/>
        <family val="0"/>
        <charset val="134"/>
      </rPr>
      <t xml:space="preserve">CHABI </t>
    </r>
    <r>
      <rPr>
        <sz val="11"/>
        <color theme="1"/>
        <rFont val="Calibri"/>
        <family val="0"/>
        <charset val="1"/>
      </rPr>
      <t xml:space="preserve">Edikou Olouchola Salomon</t>
    </r>
  </si>
  <si>
    <r>
      <rPr>
        <sz val="11"/>
        <color theme="1"/>
        <rFont val="Calibri"/>
        <family val="0"/>
        <charset val="134"/>
      </rPr>
      <t xml:space="preserve">DJOSSOU </t>
    </r>
    <r>
      <rPr>
        <sz val="11"/>
        <color theme="1"/>
        <rFont val="Calibri"/>
        <family val="0"/>
        <charset val="1"/>
      </rPr>
      <t xml:space="preserve">Mahugnon Macchabée</t>
    </r>
  </si>
  <si>
    <r>
      <rPr>
        <sz val="11"/>
        <color theme="1"/>
        <rFont val="Calibri"/>
        <family val="0"/>
        <charset val="134"/>
      </rPr>
      <t xml:space="preserve">EDAH </t>
    </r>
    <r>
      <rPr>
        <sz val="11"/>
        <color theme="1"/>
        <rFont val="Calibri"/>
        <family val="0"/>
        <charset val="1"/>
      </rPr>
      <t xml:space="preserve">Houédéka Esther</t>
    </r>
  </si>
  <si>
    <r>
      <rPr>
        <sz val="11"/>
        <color theme="1"/>
        <rFont val="Calibri"/>
        <family val="0"/>
        <charset val="134"/>
      </rPr>
      <t xml:space="preserve">FAVI </t>
    </r>
    <r>
      <rPr>
        <sz val="11"/>
        <color theme="1"/>
        <rFont val="Calibri"/>
        <family val="0"/>
        <charset val="1"/>
      </rPr>
      <t xml:space="preserve">Marcelline Imeda</t>
    </r>
  </si>
  <si>
    <r>
      <rPr>
        <sz val="11"/>
        <color theme="1"/>
        <rFont val="Calibri"/>
        <family val="0"/>
        <charset val="134"/>
      </rPr>
      <t xml:space="preserve">GBADAMASSI </t>
    </r>
    <r>
      <rPr>
        <sz val="11"/>
        <color theme="1"/>
        <rFont val="Calibri"/>
        <family val="0"/>
        <charset val="1"/>
      </rPr>
      <t xml:space="preserve">Ahmed Abdel </t>
    </r>
  </si>
  <si>
    <r>
      <rPr>
        <sz val="11"/>
        <color theme="1"/>
        <rFont val="Calibri"/>
        <family val="0"/>
        <charset val="134"/>
      </rPr>
      <t xml:space="preserve">GNAHA </t>
    </r>
    <r>
      <rPr>
        <sz val="11"/>
        <color theme="1"/>
        <rFont val="Calibri"/>
        <family val="0"/>
        <charset val="1"/>
      </rPr>
      <t xml:space="preserve">Aurinx  Joël</t>
    </r>
  </si>
  <si>
    <r>
      <rPr>
        <sz val="11"/>
        <color theme="1"/>
        <rFont val="Calibri"/>
        <family val="0"/>
        <charset val="134"/>
      </rPr>
      <t xml:space="preserve">HOUESSINON </t>
    </r>
    <r>
      <rPr>
        <sz val="11"/>
        <color theme="1"/>
        <rFont val="Calibri"/>
        <family val="0"/>
        <charset val="1"/>
      </rPr>
      <t xml:space="preserve">Samson Roland</t>
    </r>
  </si>
  <si>
    <r>
      <rPr>
        <sz val="11"/>
        <color theme="1"/>
        <rFont val="Calibri"/>
        <family val="0"/>
        <charset val="134"/>
      </rPr>
      <t xml:space="preserve">HOUNDOMEFO </t>
    </r>
    <r>
      <rPr>
        <sz val="11"/>
        <color theme="1"/>
        <rFont val="Calibri"/>
        <family val="0"/>
        <charset val="1"/>
      </rPr>
      <t xml:space="preserve">Gbènoukpo Richard</t>
    </r>
  </si>
  <si>
    <r>
      <rPr>
        <sz val="11"/>
        <color theme="1"/>
        <rFont val="Calibri"/>
        <family val="0"/>
        <charset val="134"/>
      </rPr>
      <t xml:space="preserve">HOUNNANKOUN </t>
    </r>
    <r>
      <rPr>
        <sz val="11"/>
        <color theme="1"/>
        <rFont val="Calibri"/>
        <family val="0"/>
        <charset val="1"/>
      </rPr>
      <t xml:space="preserve">Patrice</t>
    </r>
  </si>
  <si>
    <r>
      <rPr>
        <sz val="11"/>
        <color theme="1"/>
        <rFont val="Calibri"/>
        <family val="0"/>
        <charset val="134"/>
      </rPr>
      <t xml:space="preserve">KOUIGNADOU </t>
    </r>
    <r>
      <rPr>
        <sz val="11"/>
        <color theme="1"/>
        <rFont val="Calibri"/>
        <family val="0"/>
        <charset val="1"/>
      </rPr>
      <t xml:space="preserve">Sèmansa Sylvanus</t>
    </r>
  </si>
  <si>
    <r>
      <rPr>
        <sz val="11"/>
        <color theme="1"/>
        <rFont val="Calibri"/>
        <family val="0"/>
        <charset val="134"/>
      </rPr>
      <t xml:space="preserve">N’VELIN COMLAN </t>
    </r>
    <r>
      <rPr>
        <sz val="11"/>
        <color theme="1"/>
        <rFont val="Calibri"/>
        <family val="0"/>
        <charset val="1"/>
      </rPr>
      <t xml:space="preserve">Noël</t>
    </r>
  </si>
  <si>
    <r>
      <rPr>
        <sz val="11"/>
        <color theme="1"/>
        <rFont val="Calibri"/>
        <family val="0"/>
        <charset val="134"/>
      </rPr>
      <t xml:space="preserve">SAGBOHAN </t>
    </r>
    <r>
      <rPr>
        <sz val="11"/>
        <color theme="1"/>
        <rFont val="Calibri"/>
        <family val="0"/>
        <charset val="1"/>
      </rPr>
      <t xml:space="preserve">Dohèto Dieudonné Godwin</t>
    </r>
  </si>
  <si>
    <r>
      <rPr>
        <sz val="11"/>
        <color theme="1"/>
        <rFont val="Calibri"/>
        <family val="0"/>
        <charset val="134"/>
      </rPr>
      <t xml:space="preserve">SARE </t>
    </r>
    <r>
      <rPr>
        <sz val="11"/>
        <color theme="1"/>
        <rFont val="Calibri"/>
        <family val="0"/>
        <charset val="1"/>
      </rPr>
      <t xml:space="preserve">Boni Prudence</t>
    </r>
  </si>
  <si>
    <r>
      <rPr>
        <sz val="11"/>
        <color theme="1"/>
        <rFont val="Calibri"/>
        <family val="0"/>
        <charset val="134"/>
      </rPr>
      <t xml:space="preserve">YAROU ISSA </t>
    </r>
    <r>
      <rPr>
        <sz val="11"/>
        <color theme="1"/>
        <rFont val="Calibri"/>
        <family val="0"/>
        <charset val="1"/>
      </rPr>
      <t xml:space="preserve">Kora</t>
    </r>
  </si>
  <si>
    <r>
      <rPr>
        <sz val="11"/>
        <color theme="1"/>
        <rFont val="Calibri"/>
        <family val="0"/>
        <charset val="134"/>
      </rPr>
      <t xml:space="preserve">YAROU MERE </t>
    </r>
    <r>
      <rPr>
        <sz val="11"/>
        <color theme="1"/>
        <rFont val="Calibri"/>
        <family val="0"/>
        <charset val="1"/>
      </rPr>
      <t xml:space="preserve">Fadel</t>
    </r>
  </si>
  <si>
    <r>
      <rPr>
        <sz val="11"/>
        <color theme="1"/>
        <rFont val="Calibri"/>
        <family val="0"/>
        <charset val="134"/>
      </rPr>
      <t xml:space="preserve">AHOKPA </t>
    </r>
    <r>
      <rPr>
        <sz val="11"/>
        <color theme="1"/>
        <rFont val="Calibri"/>
        <family val="0"/>
        <charset val="1"/>
      </rPr>
      <t xml:space="preserve">Bérénice</t>
    </r>
  </si>
  <si>
    <r>
      <rPr>
        <sz val="11"/>
        <color theme="1"/>
        <rFont val="Calibri"/>
        <family val="0"/>
        <charset val="134"/>
      </rPr>
      <t xml:space="preserve">ALODE-GOUDONOUGBO AHOUANDJINOU </t>
    </r>
    <r>
      <rPr>
        <sz val="11"/>
        <color theme="1"/>
        <rFont val="Calibri"/>
        <family val="0"/>
        <charset val="1"/>
      </rPr>
      <t xml:space="preserve">Namonseya Comlan Ghislain Arnaud</t>
    </r>
  </si>
  <si>
    <r>
      <rPr>
        <sz val="11"/>
        <color theme="1"/>
        <rFont val="Calibri"/>
        <family val="0"/>
        <charset val="134"/>
      </rPr>
      <t xml:space="preserve">ATCHADE </t>
    </r>
    <r>
      <rPr>
        <sz val="11"/>
        <color theme="1"/>
        <rFont val="Calibri"/>
        <family val="0"/>
        <charset val="1"/>
      </rPr>
      <t xml:space="preserve">Adjiyo Rex Walter</t>
    </r>
  </si>
  <si>
    <r>
      <rPr>
        <sz val="11"/>
        <color theme="1"/>
        <rFont val="Calibri"/>
        <family val="0"/>
        <charset val="134"/>
      </rPr>
      <t xml:space="preserve">d’ALMEIDA TOHOUE </t>
    </r>
    <r>
      <rPr>
        <sz val="11"/>
        <color theme="1"/>
        <rFont val="Calibri"/>
        <family val="0"/>
        <charset val="1"/>
      </rPr>
      <t xml:space="preserve">Ayité Wilfrid Narcisse Carlos</t>
    </r>
  </si>
  <si>
    <r>
      <rPr>
        <sz val="11"/>
        <color theme="1"/>
        <rFont val="Calibri"/>
        <family val="0"/>
        <charset val="134"/>
      </rPr>
      <t xml:space="preserve">DEKPEY </t>
    </r>
    <r>
      <rPr>
        <sz val="11"/>
        <color theme="1"/>
        <rFont val="Calibri"/>
        <family val="0"/>
        <charset val="1"/>
      </rPr>
      <t xml:space="preserve">Kossi Jean Belmondo</t>
    </r>
  </si>
  <si>
    <r>
      <rPr>
        <sz val="11"/>
        <color theme="1"/>
        <rFont val="Calibri"/>
        <family val="0"/>
        <charset val="134"/>
      </rPr>
      <t xml:space="preserve">DJIDENOU </t>
    </r>
    <r>
      <rPr>
        <sz val="11"/>
        <color theme="1"/>
        <rFont val="Calibri"/>
        <family val="0"/>
        <charset val="1"/>
      </rPr>
      <t xml:space="preserve">Franck Eustache</t>
    </r>
  </si>
  <si>
    <r>
      <rPr>
        <sz val="11"/>
        <color theme="1"/>
        <rFont val="Calibri"/>
        <family val="0"/>
        <charset val="134"/>
      </rPr>
      <t xml:space="preserve">GBEGONNOUDE </t>
    </r>
    <r>
      <rPr>
        <sz val="11"/>
        <color theme="1"/>
        <rFont val="Calibri"/>
        <family val="0"/>
        <charset val="1"/>
      </rPr>
      <t xml:space="preserve">Sèkponmi Colvettye Lydoskina</t>
    </r>
  </si>
  <si>
    <r>
      <rPr>
        <sz val="11"/>
        <color theme="1"/>
        <rFont val="Calibri"/>
        <family val="0"/>
        <charset val="134"/>
      </rPr>
      <t xml:space="preserve">GBENOUGA </t>
    </r>
    <r>
      <rPr>
        <sz val="11"/>
        <color theme="1"/>
        <rFont val="Calibri"/>
        <family val="0"/>
        <charset val="1"/>
      </rPr>
      <t xml:space="preserve">Arsène Chérubain</t>
    </r>
  </si>
  <si>
    <r>
      <rPr>
        <sz val="11"/>
        <color theme="1"/>
        <rFont val="Calibri"/>
        <family val="0"/>
        <charset val="134"/>
      </rPr>
      <t xml:space="preserve">GNACADJA </t>
    </r>
    <r>
      <rPr>
        <sz val="11"/>
        <color theme="1"/>
        <rFont val="Calibri"/>
        <family val="0"/>
        <charset val="1"/>
      </rPr>
      <t xml:space="preserve">Victor Sègbémabou</t>
    </r>
  </si>
  <si>
    <r>
      <rPr>
        <sz val="11"/>
        <color theme="1"/>
        <rFont val="Calibri"/>
        <family val="0"/>
        <charset val="134"/>
      </rPr>
      <t xml:space="preserve">GOUGLA </t>
    </r>
    <r>
      <rPr>
        <sz val="11"/>
        <color theme="1"/>
        <rFont val="Calibri"/>
        <family val="0"/>
        <charset val="1"/>
      </rPr>
      <t xml:space="preserve">Délonou</t>
    </r>
  </si>
  <si>
    <r>
      <rPr>
        <sz val="11"/>
        <color theme="1"/>
        <rFont val="Calibri"/>
        <family val="0"/>
        <charset val="134"/>
      </rPr>
      <t xml:space="preserve">HONNON </t>
    </r>
    <r>
      <rPr>
        <sz val="11"/>
        <color theme="1"/>
        <rFont val="Calibri"/>
        <family val="0"/>
        <charset val="1"/>
      </rPr>
      <t xml:space="preserve">Pierre Coovi Innocent</t>
    </r>
  </si>
  <si>
    <r>
      <rPr>
        <sz val="11"/>
        <color theme="1"/>
        <rFont val="Calibri"/>
        <family val="0"/>
        <charset val="134"/>
      </rPr>
      <t xml:space="preserve">HOUNVENOU </t>
    </r>
    <r>
      <rPr>
        <sz val="11"/>
        <color theme="1"/>
        <rFont val="Calibri"/>
        <family val="0"/>
        <charset val="1"/>
      </rPr>
      <t xml:space="preserve">Joinius Kymel Babatundé</t>
    </r>
  </si>
  <si>
    <r>
      <rPr>
        <sz val="11"/>
        <color theme="1"/>
        <rFont val="Calibri"/>
        <family val="0"/>
        <charset val="134"/>
      </rPr>
      <t xml:space="preserve">KOUNASSO </t>
    </r>
    <r>
      <rPr>
        <sz val="11"/>
        <color theme="1"/>
        <rFont val="Calibri"/>
        <family val="0"/>
        <charset val="1"/>
      </rPr>
      <t xml:space="preserve">Dossou Fréjus (redblt)</t>
    </r>
  </si>
  <si>
    <r>
      <rPr>
        <sz val="11"/>
        <color theme="1"/>
        <rFont val="Calibri"/>
        <family val="0"/>
        <charset val="134"/>
      </rPr>
      <t xml:space="preserve">ODOUWO CHOGOLOU </t>
    </r>
    <r>
      <rPr>
        <sz val="11"/>
        <color theme="1"/>
        <rFont val="Calibri"/>
        <family val="0"/>
        <charset val="1"/>
      </rPr>
      <t xml:space="preserve">Adérilan Prosper Hervé</t>
    </r>
  </si>
  <si>
    <r>
      <rPr>
        <sz val="11"/>
        <color theme="1"/>
        <rFont val="Calibri"/>
        <family val="0"/>
        <charset val="134"/>
      </rPr>
      <t xml:space="preserve">PRODJINOTHO </t>
    </r>
    <r>
      <rPr>
        <sz val="11"/>
        <color theme="1"/>
        <rFont val="Calibri"/>
        <family val="0"/>
        <charset val="1"/>
      </rPr>
      <t xml:space="preserve">Fiacre Martinien Adébayo</t>
    </r>
  </si>
  <si>
    <r>
      <rPr>
        <sz val="11"/>
        <color theme="1"/>
        <rFont val="Calibri"/>
        <family val="0"/>
        <charset val="134"/>
      </rPr>
      <t xml:space="preserve">SANNI </t>
    </r>
    <r>
      <rPr>
        <sz val="11"/>
        <color theme="1"/>
        <rFont val="Calibri"/>
        <family val="0"/>
        <charset val="1"/>
      </rPr>
      <t xml:space="preserve">Bola Afissou</t>
    </r>
  </si>
  <si>
    <r>
      <rPr>
        <sz val="11"/>
        <color theme="1"/>
        <rFont val="Calibri"/>
        <family val="0"/>
        <charset val="134"/>
      </rPr>
      <t xml:space="preserve">SOGBOSSI </t>
    </r>
    <r>
      <rPr>
        <sz val="11"/>
        <color theme="1"/>
        <rFont val="Calibri"/>
        <family val="0"/>
        <charset val="1"/>
      </rPr>
      <t xml:space="preserve">Coffi André</t>
    </r>
  </si>
  <si>
    <r>
      <rPr>
        <sz val="11"/>
        <color theme="1"/>
        <rFont val="Calibri"/>
        <family val="0"/>
        <charset val="134"/>
      </rPr>
      <t xml:space="preserve">TOVINON </t>
    </r>
    <r>
      <rPr>
        <sz val="11"/>
        <color theme="1"/>
        <rFont val="Calibri"/>
        <family val="0"/>
        <charset val="1"/>
      </rPr>
      <t xml:space="preserve">Zinsou Honoré Jacques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</si>
  <si>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HYGIENE ET CONTRÔLE DE QUALITE DES DENREES ALIMENTAIRES</t>
    </r>
  </si>
  <si>
    <t xml:space="preserve">AGBIZOUNNON </t>
  </si>
  <si>
    <t xml:space="preserve">AGOSSOUVO </t>
  </si>
  <si>
    <t xml:space="preserve">AKOUTOU</t>
  </si>
  <si>
    <t xml:space="preserve">HOUNGLOBO </t>
  </si>
  <si>
    <t xml:space="preserve">HOUNKONNOU </t>
  </si>
  <si>
    <t xml:space="preserve">KINKPONWE </t>
  </si>
  <si>
    <t xml:space="preserve">KINSOHOUNDE</t>
  </si>
  <si>
    <t xml:space="preserve">KOUKPODE </t>
  </si>
  <si>
    <t xml:space="preserve">MAHOUNON </t>
  </si>
  <si>
    <t xml:space="preserve">NOUMON </t>
  </si>
  <si>
    <t xml:space="preserve">TOHOZIN </t>
  </si>
  <si>
    <t xml:space="preserve">ZANNOU </t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</si>
  <si>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ANALYSE BIOMEDICALE</t>
    </r>
  </si>
  <si>
    <r>
      <rPr>
        <sz val="11"/>
        <color theme="1"/>
        <rFont val="Calibri"/>
        <family val="0"/>
        <charset val="134"/>
      </rPr>
      <t xml:space="preserve">ADJE </t>
    </r>
    <r>
      <rPr>
        <sz val="11"/>
        <color theme="1"/>
        <rFont val="Calibri"/>
        <family val="0"/>
        <charset val="1"/>
      </rPr>
      <t xml:space="preserve">Léonard</t>
    </r>
  </si>
  <si>
    <r>
      <rPr>
        <sz val="11"/>
        <color theme="1"/>
        <rFont val="Calibri"/>
        <family val="0"/>
        <charset val="134"/>
      </rPr>
      <t xml:space="preserve">AHOKOUN </t>
    </r>
    <r>
      <rPr>
        <sz val="11"/>
        <color theme="1"/>
        <rFont val="Calibri"/>
        <family val="0"/>
        <charset val="1"/>
      </rPr>
      <t xml:space="preserve">Didier</t>
    </r>
  </si>
  <si>
    <r>
      <rPr>
        <sz val="11"/>
        <color theme="1"/>
        <rFont val="Calibri"/>
        <family val="0"/>
        <charset val="134"/>
      </rPr>
      <t xml:space="preserve">BAWA </t>
    </r>
    <r>
      <rPr>
        <sz val="11"/>
        <color theme="1"/>
        <rFont val="Calibri"/>
        <family val="0"/>
        <charset val="1"/>
      </rPr>
      <t xml:space="preserve">Alassane</t>
    </r>
  </si>
  <si>
    <r>
      <rPr>
        <sz val="11"/>
        <color theme="1"/>
        <rFont val="Calibri"/>
        <family val="0"/>
        <charset val="134"/>
      </rPr>
      <t xml:space="preserve">BOCHEKPO </t>
    </r>
    <r>
      <rPr>
        <sz val="11"/>
        <color theme="1"/>
        <rFont val="Calibri"/>
        <family val="0"/>
        <charset val="1"/>
      </rPr>
      <t xml:space="preserve">Sènan Elodie Gloria</t>
    </r>
  </si>
  <si>
    <r>
      <rPr>
        <sz val="11"/>
        <color theme="1"/>
        <rFont val="Calibri"/>
        <family val="0"/>
        <charset val="134"/>
      </rPr>
      <t xml:space="preserve">DONOUVOSSI </t>
    </r>
    <r>
      <rPr>
        <sz val="11"/>
        <color theme="1"/>
        <rFont val="Calibri"/>
        <family val="0"/>
        <charset val="1"/>
      </rPr>
      <t xml:space="preserve">Sèdjro Olivia Yolande</t>
    </r>
  </si>
  <si>
    <r>
      <rPr>
        <sz val="11"/>
        <color theme="1"/>
        <rFont val="Calibri"/>
        <family val="0"/>
        <charset val="134"/>
      </rPr>
      <t xml:space="preserve">DOSSA </t>
    </r>
    <r>
      <rPr>
        <sz val="11"/>
        <color theme="1"/>
        <rFont val="Calibri"/>
        <family val="0"/>
        <charset val="1"/>
      </rPr>
      <t xml:space="preserve">Bidou Isabelle</t>
    </r>
  </si>
  <si>
    <r>
      <rPr>
        <sz val="11"/>
        <color theme="1"/>
        <rFont val="Calibri"/>
        <family val="0"/>
        <charset val="134"/>
      </rPr>
      <t xml:space="preserve">GNONLONFOUN </t>
    </r>
    <r>
      <rPr>
        <sz val="11"/>
        <color theme="1"/>
        <rFont val="Calibri"/>
        <family val="0"/>
        <charset val="1"/>
      </rPr>
      <t xml:space="preserve">Tovidakou Sèdogbo Junior Alain</t>
    </r>
    <r>
      <rPr>
        <sz val="11"/>
        <color theme="1"/>
        <rFont val="Calibri"/>
        <family val="0"/>
        <charset val="134"/>
      </rPr>
      <t xml:space="preserve"> </t>
    </r>
  </si>
  <si>
    <r>
      <rPr>
        <sz val="11"/>
        <color theme="1"/>
        <rFont val="Calibri"/>
        <family val="0"/>
        <charset val="134"/>
      </rPr>
      <t xml:space="preserve">HODONOU </t>
    </r>
    <r>
      <rPr>
        <sz val="11"/>
        <color theme="1"/>
        <rFont val="Calibri"/>
        <family val="0"/>
        <charset val="1"/>
      </rPr>
      <t xml:space="preserve">Bignon Ifédé Zacharie</t>
    </r>
  </si>
  <si>
    <r>
      <rPr>
        <sz val="11"/>
        <color theme="1"/>
        <rFont val="Calibri"/>
        <family val="0"/>
        <charset val="134"/>
      </rPr>
      <t xml:space="preserve">HOUESSOU </t>
    </r>
    <r>
      <rPr>
        <sz val="11"/>
        <color theme="1"/>
        <rFont val="Calibri"/>
        <family val="0"/>
        <charset val="1"/>
      </rPr>
      <t xml:space="preserve">Ayaba Sabine</t>
    </r>
  </si>
  <si>
    <r>
      <rPr>
        <sz val="11"/>
        <color theme="1"/>
        <rFont val="Calibri"/>
        <family val="0"/>
        <charset val="134"/>
      </rPr>
      <t xml:space="preserve">HOUNYEME </t>
    </r>
    <r>
      <rPr>
        <sz val="11"/>
        <color theme="1"/>
        <rFont val="Calibri"/>
        <family val="0"/>
        <charset val="1"/>
      </rPr>
      <t xml:space="preserve">Djidjoho Xavier</t>
    </r>
  </si>
  <si>
    <r>
      <rPr>
        <sz val="11"/>
        <color theme="1"/>
        <rFont val="Calibri"/>
        <family val="0"/>
        <charset val="134"/>
      </rPr>
      <t xml:space="preserve">MEDEZO </t>
    </r>
    <r>
      <rPr>
        <sz val="11"/>
        <color theme="1"/>
        <rFont val="Calibri"/>
        <family val="0"/>
        <charset val="1"/>
      </rPr>
      <t xml:space="preserve">Sèdégnon Pamphile Sylvestre</t>
    </r>
  </si>
  <si>
    <r>
      <rPr>
        <sz val="11"/>
        <color theme="1"/>
        <rFont val="Calibri"/>
        <family val="0"/>
        <charset val="134"/>
      </rPr>
      <t xml:space="preserve">SERO ANDRE  </t>
    </r>
    <r>
      <rPr>
        <sz val="11"/>
        <color theme="1"/>
        <rFont val="Calibri"/>
        <family val="0"/>
        <charset val="1"/>
      </rPr>
      <t xml:space="preserve">Worou Thomas</t>
    </r>
  </si>
  <si>
    <r>
      <rPr>
        <sz val="11"/>
        <color theme="1"/>
        <rFont val="Calibri"/>
        <family val="0"/>
        <charset val="134"/>
      </rPr>
      <t xml:space="preserve">OREKAN </t>
    </r>
    <r>
      <rPr>
        <sz val="11"/>
        <color theme="1"/>
        <rFont val="Calibri"/>
        <family val="0"/>
        <charset val="1"/>
      </rPr>
      <t xml:space="preserve">Olakèmy Rosine Hermine</t>
    </r>
  </si>
  <si>
    <r>
      <rPr>
        <sz val="11"/>
        <color theme="1"/>
        <rFont val="Calibri"/>
        <family val="0"/>
        <charset val="134"/>
      </rPr>
      <t xml:space="preserve">VIGAN </t>
    </r>
    <r>
      <rPr>
        <sz val="11"/>
        <color theme="1"/>
        <rFont val="Calibri"/>
        <family val="0"/>
        <charset val="1"/>
      </rPr>
      <t xml:space="preserve">Odile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</si>
  <si>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Hydrolique</t>
    </r>
  </si>
  <si>
    <r>
      <rPr>
        <sz val="11"/>
        <color theme="1"/>
        <rFont val="Calibri"/>
        <family val="0"/>
        <charset val="134"/>
      </rPr>
      <t xml:space="preserve">ADJAHOU </t>
    </r>
    <r>
      <rPr>
        <sz val="11"/>
        <color theme="1"/>
        <rFont val="Calibri"/>
        <family val="0"/>
        <charset val="1"/>
      </rPr>
      <t xml:space="preserve">Sylviane Gemma Mingnansan</t>
    </r>
  </si>
  <si>
    <r>
      <rPr>
        <sz val="11"/>
        <color theme="1"/>
        <rFont val="Calibri"/>
        <family val="0"/>
        <charset val="134"/>
      </rPr>
      <t xml:space="preserve">BOUKARI </t>
    </r>
    <r>
      <rPr>
        <sz val="11"/>
        <color theme="1"/>
        <rFont val="Calibri"/>
        <family val="0"/>
        <charset val="1"/>
      </rPr>
      <t xml:space="preserve">Fataou</t>
    </r>
  </si>
  <si>
    <r>
      <rPr>
        <sz val="11"/>
        <color theme="1"/>
        <rFont val="Calibri"/>
        <family val="0"/>
        <charset val="134"/>
      </rPr>
      <t xml:space="preserve">HINVI </t>
    </r>
    <r>
      <rPr>
        <sz val="11"/>
        <color theme="1"/>
        <rFont val="Calibri"/>
        <family val="0"/>
        <charset val="1"/>
      </rPr>
      <t xml:space="preserve">Bidossessi Aubin  Eric</t>
    </r>
  </si>
  <si>
    <r>
      <rPr>
        <sz val="11"/>
        <color theme="1"/>
        <rFont val="Calibri"/>
        <family val="0"/>
        <charset val="134"/>
      </rPr>
      <t xml:space="preserve">HOUNKPE </t>
    </r>
    <r>
      <rPr>
        <sz val="11"/>
        <color theme="1"/>
        <rFont val="Calibri"/>
        <family val="0"/>
        <charset val="1"/>
      </rPr>
      <t xml:space="preserve">Pascal Kouassi Moïse</t>
    </r>
  </si>
  <si>
    <r>
      <rPr>
        <sz val="11"/>
        <color theme="1"/>
        <rFont val="Calibri"/>
        <family val="0"/>
        <charset val="134"/>
      </rPr>
      <t xml:space="preserve">OGOUYANDJOU </t>
    </r>
    <r>
      <rPr>
        <sz val="11"/>
        <color theme="1"/>
        <rFont val="Calibri"/>
        <family val="0"/>
        <charset val="1"/>
      </rPr>
      <t xml:space="preserve">Olabissi Serge Arsène</t>
    </r>
  </si>
  <si>
    <r>
      <rPr>
        <sz val="11"/>
        <color theme="1"/>
        <rFont val="Calibri"/>
        <family val="0"/>
        <charset val="134"/>
      </rPr>
      <t xml:space="preserve">SEVI </t>
    </r>
    <r>
      <rPr>
        <sz val="11"/>
        <color theme="1"/>
        <rFont val="Calibri"/>
        <family val="0"/>
        <charset val="1"/>
      </rPr>
      <t xml:space="preserve">Lionel Yaovi Prime</t>
    </r>
  </si>
  <si>
    <r>
      <rPr>
        <sz val="11"/>
        <color theme="1"/>
        <rFont val="Calibri"/>
        <family val="0"/>
        <charset val="134"/>
      </rPr>
      <t xml:space="preserve">SUANON OROU KERI </t>
    </r>
    <r>
      <rPr>
        <sz val="11"/>
        <color theme="1"/>
        <rFont val="Calibri"/>
        <family val="0"/>
        <charset val="1"/>
      </rPr>
      <t xml:space="preserve">Madjidou</t>
    </r>
  </si>
  <si>
    <r>
      <rPr>
        <sz val="11"/>
        <color theme="1"/>
        <rFont val="Calibri"/>
        <family val="0"/>
        <charset val="134"/>
      </rPr>
      <t xml:space="preserve">YAROU </t>
    </r>
    <r>
      <rPr>
        <sz val="11"/>
        <color theme="1"/>
        <rFont val="Calibri"/>
        <family val="0"/>
        <charset val="1"/>
      </rPr>
      <t xml:space="preserve">M. Fadel</t>
    </r>
  </si>
  <si>
    <r>
      <rPr>
        <sz val="11"/>
        <color theme="1"/>
        <rFont val="Calibri"/>
        <family val="0"/>
        <charset val="134"/>
      </rPr>
      <t xml:space="preserve">TEMANOU </t>
    </r>
    <r>
      <rPr>
        <sz val="11"/>
        <color theme="1"/>
        <rFont val="Calibri"/>
        <family val="0"/>
        <charset val="1"/>
      </rPr>
      <t xml:space="preserve">Victorin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</si>
  <si>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MAINTENANCE INDUSTRIELLE</t>
    </r>
  </si>
  <si>
    <r>
      <rPr>
        <sz val="11"/>
        <color theme="1"/>
        <rFont val="Calibri"/>
        <family val="0"/>
        <charset val="134"/>
      </rPr>
      <t xml:space="preserve">ADAM </t>
    </r>
    <r>
      <rPr>
        <sz val="11"/>
        <color theme="1"/>
        <rFont val="Calibri"/>
        <family val="0"/>
        <charset val="1"/>
      </rPr>
      <t xml:space="preserve">Nourou</t>
    </r>
  </si>
  <si>
    <r>
      <rPr>
        <sz val="11"/>
        <color theme="1"/>
        <rFont val="Calibri"/>
        <family val="0"/>
        <charset val="134"/>
      </rPr>
      <t xml:space="preserve">ADJOHOU </t>
    </r>
    <r>
      <rPr>
        <sz val="11"/>
        <color theme="1"/>
        <rFont val="Calibri"/>
        <family val="0"/>
        <charset val="1"/>
      </rPr>
      <t xml:space="preserve">Kèbo Herbert Coffi</t>
    </r>
  </si>
  <si>
    <r>
      <rPr>
        <sz val="11"/>
        <color theme="1"/>
        <rFont val="Calibri"/>
        <family val="0"/>
        <charset val="134"/>
      </rPr>
      <t xml:space="preserve">AKPANHOSSOU </t>
    </r>
    <r>
      <rPr>
        <sz val="11"/>
        <color theme="1"/>
        <rFont val="Calibri"/>
        <family val="0"/>
        <charset val="1"/>
      </rPr>
      <t xml:space="preserve">Mèdétongnon Bruno</t>
    </r>
  </si>
  <si>
    <r>
      <rPr>
        <sz val="11"/>
        <color theme="1"/>
        <rFont val="Calibri"/>
        <family val="0"/>
        <charset val="134"/>
      </rPr>
      <t xml:space="preserve">DAH-ALAHANON </t>
    </r>
    <r>
      <rPr>
        <sz val="11"/>
        <color theme="1"/>
        <rFont val="Calibri"/>
        <family val="0"/>
        <charset val="1"/>
      </rPr>
      <t xml:space="preserve">Houénagnon Achile</t>
    </r>
  </si>
  <si>
    <r>
      <rPr>
        <sz val="11"/>
        <color theme="1"/>
        <rFont val="Calibri"/>
        <family val="0"/>
        <charset val="134"/>
      </rPr>
      <t xml:space="preserve">DANSOU </t>
    </r>
    <r>
      <rPr>
        <sz val="11"/>
        <color theme="1"/>
        <rFont val="Calibri"/>
        <family val="0"/>
        <charset val="1"/>
      </rPr>
      <t xml:space="preserve">Enagnon Rodrigue Jos</t>
    </r>
  </si>
  <si>
    <r>
      <rPr>
        <sz val="11"/>
        <color theme="1"/>
        <rFont val="Calibri"/>
        <family val="0"/>
        <charset val="134"/>
      </rPr>
      <t xml:space="preserve">DJOSSOU </t>
    </r>
    <r>
      <rPr>
        <sz val="11"/>
        <color theme="1"/>
        <rFont val="Calibri"/>
        <family val="0"/>
        <charset val="1"/>
      </rPr>
      <t xml:space="preserve">Jawou Oméga</t>
    </r>
  </si>
  <si>
    <r>
      <rPr>
        <sz val="11"/>
        <color theme="1"/>
        <rFont val="Calibri"/>
        <family val="0"/>
        <charset val="134"/>
      </rPr>
      <t xml:space="preserve">GANDAHO </t>
    </r>
    <r>
      <rPr>
        <sz val="11"/>
        <color theme="1"/>
        <rFont val="Calibri"/>
        <family val="0"/>
        <charset val="1"/>
      </rPr>
      <t xml:space="preserve">Christian Romuald Ghislain Sètondji</t>
    </r>
  </si>
  <si>
    <r>
      <rPr>
        <sz val="11"/>
        <color theme="1"/>
        <rFont val="Calibri"/>
        <family val="0"/>
        <charset val="134"/>
      </rPr>
      <t xml:space="preserve">HOUETO </t>
    </r>
    <r>
      <rPr>
        <sz val="11"/>
        <color theme="1"/>
        <rFont val="Calibri"/>
        <family val="0"/>
        <charset val="1"/>
      </rPr>
      <t xml:space="preserve">Dona Pamphile Gédéon</t>
    </r>
  </si>
  <si>
    <r>
      <rPr>
        <sz val="11"/>
        <color theme="1"/>
        <rFont val="Calibri"/>
        <family val="0"/>
        <charset val="134"/>
      </rPr>
      <t xml:space="preserve">HOUNGUE </t>
    </r>
    <r>
      <rPr>
        <sz val="11"/>
        <color theme="1"/>
        <rFont val="Calibri"/>
        <family val="0"/>
        <charset val="1"/>
      </rPr>
      <t xml:space="preserve">Elie Pâcome</t>
    </r>
  </si>
  <si>
    <r>
      <rPr>
        <sz val="11"/>
        <color theme="1"/>
        <rFont val="Calibri"/>
        <family val="0"/>
        <charset val="134"/>
      </rPr>
      <t xml:space="preserve">OREKAN </t>
    </r>
    <r>
      <rPr>
        <sz val="11"/>
        <color theme="1"/>
        <rFont val="Calibri"/>
        <family val="0"/>
        <charset val="1"/>
      </rPr>
      <t xml:space="preserve">O. Rosine Hermine</t>
    </r>
  </si>
  <si>
    <r>
      <rPr>
        <sz val="11"/>
        <color theme="1"/>
        <rFont val="Calibri"/>
        <family val="0"/>
        <charset val="134"/>
      </rPr>
      <t xml:space="preserve">LALEYE </t>
    </r>
    <r>
      <rPr>
        <sz val="11"/>
        <color theme="1"/>
        <rFont val="Calibri"/>
        <family val="0"/>
        <charset val="1"/>
      </rPr>
      <t xml:space="preserve">Olouwatcheigoun Mouhamed Chiss-Dine</t>
    </r>
  </si>
  <si>
    <r>
      <rPr>
        <sz val="11"/>
        <color theme="1"/>
        <rFont val="Calibri"/>
        <family val="0"/>
        <charset val="134"/>
      </rPr>
      <t xml:space="preserve">TOTIN </t>
    </r>
    <r>
      <rPr>
        <sz val="11"/>
        <color theme="1"/>
        <rFont val="Calibri"/>
        <family val="0"/>
        <charset val="1"/>
      </rPr>
      <t xml:space="preserve">Sévérin</t>
    </r>
  </si>
  <si>
    <r>
      <rPr>
        <b val="true"/>
        <i val="true"/>
        <sz val="12"/>
        <color theme="1"/>
        <rFont val="Calibri"/>
        <family val="0"/>
        <charset val="1"/>
      </rPr>
      <t xml:space="preserve">Option</t>
    </r>
    <r>
      <rPr>
        <b val="true"/>
        <sz val="12"/>
        <color theme="1"/>
        <rFont val="Calibri"/>
        <family val="0"/>
        <charset val="1"/>
      </rPr>
      <t xml:space="preserve">: </t>
    </r>
    <r>
      <rPr>
        <b val="true"/>
        <u val="single"/>
        <sz val="12"/>
        <color theme="1"/>
        <rFont val="comic"/>
        <family val="0"/>
        <charset val="1"/>
      </rPr>
      <t xml:space="preserve">PRODUCTION ET SANTE ANIMALE</t>
    </r>
  </si>
  <si>
    <r>
      <rPr>
        <sz val="11"/>
        <color theme="1"/>
        <rFont val="Calibri"/>
        <family val="0"/>
        <charset val="134"/>
      </rPr>
      <t xml:space="preserve">ADJIBODOU </t>
    </r>
    <r>
      <rPr>
        <sz val="11"/>
        <color theme="1"/>
        <rFont val="Calibri"/>
        <family val="0"/>
        <charset val="1"/>
      </rPr>
      <t xml:space="preserve">Fidjrossè Scolastique Florence</t>
    </r>
  </si>
  <si>
    <r>
      <rPr>
        <sz val="11"/>
        <color theme="1"/>
        <rFont val="Calibri"/>
        <family val="0"/>
        <charset val="134"/>
      </rPr>
      <t xml:space="preserve">AÏSSAN </t>
    </r>
    <r>
      <rPr>
        <sz val="11"/>
        <color theme="1"/>
        <rFont val="Calibri"/>
        <family val="0"/>
        <charset val="1"/>
      </rPr>
      <t xml:space="preserve">Fabrice</t>
    </r>
  </si>
  <si>
    <r>
      <rPr>
        <sz val="11"/>
        <color theme="1"/>
        <rFont val="Calibri"/>
        <family val="0"/>
        <charset val="134"/>
      </rPr>
      <t xml:space="preserve">AKPO </t>
    </r>
    <r>
      <rPr>
        <sz val="11"/>
        <color theme="1"/>
        <rFont val="Calibri"/>
        <family val="0"/>
        <charset val="1"/>
      </rPr>
      <t xml:space="preserve">Ikpé Komansoun Rosalie</t>
    </r>
  </si>
  <si>
    <r>
      <rPr>
        <sz val="11"/>
        <color theme="1"/>
        <rFont val="Calibri"/>
        <family val="0"/>
        <charset val="134"/>
      </rPr>
      <t xml:space="preserve">BANON </t>
    </r>
    <r>
      <rPr>
        <sz val="11"/>
        <color theme="1"/>
        <rFont val="Calibri"/>
        <family val="0"/>
        <charset val="1"/>
      </rPr>
      <t xml:space="preserve">Vinamblo Judicael</t>
    </r>
  </si>
  <si>
    <r>
      <rPr>
        <sz val="11"/>
        <color theme="1"/>
        <rFont val="Calibri"/>
        <family val="0"/>
        <charset val="134"/>
      </rPr>
      <t xml:space="preserve">EDESSOU </t>
    </r>
    <r>
      <rPr>
        <sz val="11"/>
        <color theme="1"/>
        <rFont val="Calibri"/>
        <family val="0"/>
        <charset val="1"/>
      </rPr>
      <t xml:space="preserve">Bidossessi Protus Milence</t>
    </r>
  </si>
  <si>
    <r>
      <rPr>
        <sz val="11"/>
        <color theme="1"/>
        <rFont val="Calibri"/>
        <family val="0"/>
        <charset val="134"/>
      </rPr>
      <t xml:space="preserve">GOUNDJO  </t>
    </r>
    <r>
      <rPr>
        <sz val="11"/>
        <color theme="1"/>
        <rFont val="Calibri"/>
        <family val="0"/>
        <charset val="1"/>
      </rPr>
      <t xml:space="preserve">Yélognissè Restarick</t>
    </r>
  </si>
  <si>
    <r>
      <rPr>
        <sz val="11"/>
        <color theme="1"/>
        <rFont val="Calibri"/>
        <family val="0"/>
        <charset val="134"/>
      </rPr>
      <t xml:space="preserve">HOUNTON  </t>
    </r>
    <r>
      <rPr>
        <sz val="11"/>
        <color theme="1"/>
        <rFont val="Calibri"/>
        <family val="0"/>
        <charset val="1"/>
      </rPr>
      <t xml:space="preserve">Houénonko Jeannette</t>
    </r>
  </si>
  <si>
    <r>
      <rPr>
        <sz val="11"/>
        <color theme="1"/>
        <rFont val="Calibri"/>
        <family val="0"/>
        <charset val="134"/>
      </rPr>
      <t xml:space="preserve">HOUNVIDE </t>
    </r>
    <r>
      <rPr>
        <sz val="11"/>
        <color theme="1"/>
        <rFont val="Calibri"/>
        <family val="0"/>
        <charset val="1"/>
      </rPr>
      <t xml:space="preserve">Nonvidé Ezéchiel Léonce</t>
    </r>
  </si>
  <si>
    <r>
      <rPr>
        <sz val="11"/>
        <color theme="1"/>
        <rFont val="Calibri"/>
        <family val="0"/>
        <charset val="134"/>
      </rPr>
      <t xml:space="preserve">KOUSSIHOUEDE </t>
    </r>
    <r>
      <rPr>
        <sz val="11"/>
        <color theme="1"/>
        <rFont val="Calibri"/>
        <family val="0"/>
        <charset val="1"/>
      </rPr>
      <t xml:space="preserve">H. Innocent Jules</t>
    </r>
  </si>
  <si>
    <r>
      <rPr>
        <sz val="11"/>
        <color theme="1"/>
        <rFont val="Calibri"/>
        <family val="0"/>
        <charset val="134"/>
      </rPr>
      <t xml:space="preserve">LINKPEHOUN </t>
    </r>
    <r>
      <rPr>
        <sz val="11"/>
        <color theme="1"/>
        <rFont val="Calibri"/>
        <family val="0"/>
        <charset val="1"/>
      </rPr>
      <t xml:space="preserve">Coovi Jonas</t>
    </r>
  </si>
  <si>
    <r>
      <rPr>
        <sz val="11"/>
        <color theme="1"/>
        <rFont val="Calibri"/>
        <family val="0"/>
        <charset val="134"/>
      </rPr>
      <t xml:space="preserve">SALAOU </t>
    </r>
    <r>
      <rPr>
        <sz val="11"/>
        <color theme="1"/>
        <rFont val="Calibri"/>
        <family val="0"/>
        <charset val="1"/>
      </rPr>
      <t xml:space="preserve">Waliou</t>
    </r>
  </si>
  <si>
    <r>
      <rPr>
        <sz val="11"/>
        <color theme="1"/>
        <rFont val="Calibri"/>
        <family val="0"/>
        <charset val="134"/>
      </rPr>
      <t xml:space="preserve">YACOUTO </t>
    </r>
    <r>
      <rPr>
        <sz val="11"/>
        <color theme="1"/>
        <rFont val="Calibri"/>
        <family val="0"/>
        <charset val="1"/>
      </rPr>
      <t xml:space="preserve">Djou Song</t>
    </r>
  </si>
  <si>
    <r>
      <rPr>
        <sz val="11"/>
        <color theme="1"/>
        <rFont val="Calibri"/>
        <family val="0"/>
        <charset val="134"/>
      </rPr>
      <t xml:space="preserve">AGO </t>
    </r>
    <r>
      <rPr>
        <sz val="11"/>
        <color theme="1"/>
        <rFont val="Calibri"/>
        <family val="0"/>
        <charset val="1"/>
      </rPr>
      <t xml:space="preserve">Maxime</t>
    </r>
  </si>
  <si>
    <r>
      <rPr>
        <sz val="11"/>
        <color theme="1"/>
        <rFont val="Calibri"/>
        <family val="0"/>
        <charset val="134"/>
      </rPr>
      <t xml:space="preserve">AHONON </t>
    </r>
    <r>
      <rPr>
        <sz val="11"/>
        <color theme="1"/>
        <rFont val="Calibri"/>
        <family val="0"/>
        <charset val="1"/>
      </rPr>
      <t xml:space="preserve">Raoul David</t>
    </r>
  </si>
  <si>
    <r>
      <rPr>
        <sz val="11"/>
        <color theme="1"/>
        <rFont val="Calibri"/>
        <family val="0"/>
        <charset val="134"/>
      </rPr>
      <t xml:space="preserve">AIVODJI </t>
    </r>
    <r>
      <rPr>
        <sz val="11"/>
        <color theme="1"/>
        <rFont val="Calibri"/>
        <family val="0"/>
        <charset val="1"/>
      </rPr>
      <t xml:space="preserve">Sètondji Adolphe Tchognon</t>
    </r>
  </si>
  <si>
    <r>
      <rPr>
        <sz val="11"/>
        <color theme="1"/>
        <rFont val="Calibri"/>
        <family val="0"/>
        <charset val="134"/>
      </rPr>
      <t xml:space="preserve">AWOYODO </t>
    </r>
    <r>
      <rPr>
        <sz val="11"/>
        <color theme="1"/>
        <rFont val="Calibri"/>
        <family val="0"/>
        <charset val="1"/>
      </rPr>
      <t xml:space="preserve">Sossou Anselme</t>
    </r>
  </si>
  <si>
    <r>
      <rPr>
        <sz val="11"/>
        <color theme="1"/>
        <rFont val="Calibri"/>
        <family val="0"/>
        <charset val="134"/>
      </rPr>
      <t xml:space="preserve">BAKOU </t>
    </r>
    <r>
      <rPr>
        <sz val="11"/>
        <color theme="1"/>
        <rFont val="Calibri"/>
        <family val="0"/>
        <charset val="1"/>
      </rPr>
      <t xml:space="preserve">Nimaoua Germain (redblt)</t>
    </r>
  </si>
  <si>
    <r>
      <rPr>
        <sz val="11"/>
        <color theme="1"/>
        <rFont val="Calibri"/>
        <family val="0"/>
        <charset val="134"/>
      </rPr>
      <t xml:space="preserve">DAGBEKPO </t>
    </r>
    <r>
      <rPr>
        <sz val="11"/>
        <color theme="1"/>
        <rFont val="Calibri"/>
        <family val="0"/>
        <charset val="1"/>
      </rPr>
      <t xml:space="preserve">Bidossessi Albert</t>
    </r>
  </si>
  <si>
    <r>
      <rPr>
        <sz val="11"/>
        <color theme="1"/>
        <rFont val="Calibri"/>
        <family val="0"/>
        <charset val="134"/>
      </rPr>
      <t xml:space="preserve">DEGLA </t>
    </r>
    <r>
      <rPr>
        <sz val="11"/>
        <color theme="1"/>
        <rFont val="Calibri"/>
        <family val="0"/>
        <charset val="1"/>
      </rPr>
      <t xml:space="preserve">Aouagou Modeste (redblt)</t>
    </r>
  </si>
  <si>
    <r>
      <rPr>
        <sz val="11"/>
        <color theme="1"/>
        <rFont val="Calibri"/>
        <family val="0"/>
        <charset val="134"/>
      </rPr>
      <t xml:space="preserve">FANOU </t>
    </r>
    <r>
      <rPr>
        <sz val="11"/>
        <color theme="1"/>
        <rFont val="Calibri"/>
        <family val="0"/>
        <charset val="1"/>
      </rPr>
      <t xml:space="preserve">Thomas (redblt)</t>
    </r>
  </si>
  <si>
    <r>
      <rPr>
        <sz val="11"/>
        <color theme="1"/>
        <rFont val="Calibri"/>
        <family val="0"/>
        <charset val="134"/>
      </rPr>
      <t xml:space="preserve">GANGBO </t>
    </r>
    <r>
      <rPr>
        <sz val="11"/>
        <color theme="1"/>
        <rFont val="Calibri"/>
        <family val="0"/>
        <charset val="1"/>
      </rPr>
      <t xml:space="preserve">Ulrich</t>
    </r>
  </si>
  <si>
    <r>
      <rPr>
        <sz val="11"/>
        <color theme="1"/>
        <rFont val="Calibri"/>
        <family val="0"/>
        <charset val="134"/>
      </rPr>
      <t xml:space="preserve">GBOSSOUH </t>
    </r>
    <r>
      <rPr>
        <sz val="11"/>
        <color theme="1"/>
        <rFont val="Calibri"/>
        <family val="0"/>
        <charset val="1"/>
      </rPr>
      <t xml:space="preserve">Assiongbon Awoumé</t>
    </r>
  </si>
  <si>
    <r>
      <rPr>
        <sz val="11"/>
        <color theme="1"/>
        <rFont val="Calibri"/>
        <family val="0"/>
        <charset val="134"/>
      </rPr>
      <t xml:space="preserve">KIKI  </t>
    </r>
    <r>
      <rPr>
        <sz val="11"/>
        <color theme="1"/>
        <rFont val="Calibri"/>
        <family val="0"/>
        <charset val="1"/>
      </rPr>
      <t xml:space="preserve">Armel Bioguste</t>
    </r>
  </si>
  <si>
    <r>
      <rPr>
        <sz val="11"/>
        <color theme="1"/>
        <rFont val="Calibri"/>
        <family val="0"/>
        <charset val="134"/>
      </rPr>
      <t xml:space="preserve">KINKPON </t>
    </r>
    <r>
      <rPr>
        <sz val="11"/>
        <color theme="1"/>
        <rFont val="Calibri"/>
        <family val="0"/>
        <charset val="1"/>
      </rPr>
      <t xml:space="preserve">Vignon Armand (redblt)</t>
    </r>
  </si>
  <si>
    <r>
      <rPr>
        <sz val="11"/>
        <color theme="1"/>
        <rFont val="Calibri"/>
        <family val="0"/>
        <charset val="134"/>
      </rPr>
      <t xml:space="preserve">KPATENON  </t>
    </r>
    <r>
      <rPr>
        <sz val="11"/>
        <color theme="1"/>
        <rFont val="Calibri"/>
        <family val="0"/>
        <charset val="1"/>
      </rPr>
      <t xml:space="preserve">Louis</t>
    </r>
  </si>
  <si>
    <r>
      <rPr>
        <sz val="11"/>
        <color theme="1"/>
        <rFont val="Calibri"/>
        <family val="0"/>
        <charset val="134"/>
      </rPr>
      <t xml:space="preserve">LIKPETE </t>
    </r>
    <r>
      <rPr>
        <sz val="11"/>
        <color theme="1"/>
        <rFont val="Calibri"/>
        <family val="0"/>
        <charset val="1"/>
      </rPr>
      <t xml:space="preserve">Sèminvo Patrice</t>
    </r>
  </si>
  <si>
    <r>
      <rPr>
        <sz val="11"/>
        <color theme="1"/>
        <rFont val="Calibri"/>
        <family val="0"/>
        <charset val="134"/>
      </rPr>
      <t xml:space="preserve">NOBIME </t>
    </r>
    <r>
      <rPr>
        <sz val="11"/>
        <color theme="1"/>
        <rFont val="Calibri"/>
        <family val="0"/>
        <charset val="1"/>
      </rPr>
      <t xml:space="preserve">Eustache Mathieu (redblt)</t>
    </r>
  </si>
  <si>
    <r>
      <rPr>
        <sz val="11"/>
        <color theme="1"/>
        <rFont val="Calibri"/>
        <family val="0"/>
        <charset val="134"/>
      </rPr>
      <t xml:space="preserve">OKE </t>
    </r>
    <r>
      <rPr>
        <sz val="11"/>
        <color theme="1"/>
        <rFont val="Calibri"/>
        <family val="0"/>
        <charset val="1"/>
      </rPr>
      <t xml:space="preserve">Chabi  Adjamossi Sekundayo Romaric</t>
    </r>
  </si>
  <si>
    <r>
      <rPr>
        <sz val="11"/>
        <color theme="1"/>
        <rFont val="Calibri"/>
        <family val="0"/>
        <charset val="134"/>
      </rPr>
      <t xml:space="preserve">SOMADOGANHOU </t>
    </r>
    <r>
      <rPr>
        <sz val="11"/>
        <color theme="1"/>
        <rFont val="Calibri"/>
        <family val="0"/>
        <charset val="1"/>
      </rPr>
      <t xml:space="preserve">José</t>
    </r>
    <r>
      <rPr>
        <sz val="11"/>
        <color theme="1"/>
        <rFont val="Calibri"/>
        <family val="0"/>
        <charset val="134"/>
      </rPr>
      <t xml:space="preserve"> </t>
    </r>
  </si>
  <si>
    <r>
      <rPr>
        <sz val="11"/>
        <color theme="1"/>
        <rFont val="Calibri"/>
        <family val="0"/>
        <charset val="134"/>
      </rPr>
      <t xml:space="preserve">SONON </t>
    </r>
    <r>
      <rPr>
        <sz val="11"/>
        <color theme="1"/>
        <rFont val="Calibri"/>
        <family val="0"/>
        <charset val="1"/>
      </rPr>
      <t xml:space="preserve">Koffi Narcisse (redblt)</t>
    </r>
  </si>
  <si>
    <r>
      <rPr>
        <sz val="11"/>
        <color theme="1"/>
        <rFont val="Calibri"/>
        <family val="0"/>
        <charset val="134"/>
      </rPr>
      <t xml:space="preserve">VODOUNOU </t>
    </r>
    <r>
      <rPr>
        <sz val="11"/>
        <color theme="1"/>
        <rFont val="Calibri"/>
        <family val="0"/>
        <charset val="1"/>
      </rPr>
      <t xml:space="preserve">Audrey Primaël Wilfran (redblt)</t>
    </r>
  </si>
  <si>
    <r>
      <rPr>
        <sz val="11"/>
        <color theme="1"/>
        <rFont val="Calibri"/>
        <family val="0"/>
        <charset val="134"/>
      </rPr>
      <t xml:space="preserve">AGBODJOGBE </t>
    </r>
    <r>
      <rPr>
        <sz val="11"/>
        <color theme="1"/>
        <rFont val="Calibri"/>
        <family val="0"/>
        <charset val="1"/>
      </rPr>
      <t xml:space="preserve">Olanikè Imabelle P.</t>
    </r>
  </si>
  <si>
    <r>
      <rPr>
        <sz val="11"/>
        <color theme="1"/>
        <rFont val="Calibri"/>
        <family val="0"/>
        <charset val="134"/>
      </rPr>
      <t xml:space="preserve">AHOUANGNIMON </t>
    </r>
    <r>
      <rPr>
        <sz val="11"/>
        <color theme="1"/>
        <rFont val="Calibri"/>
        <family val="0"/>
        <charset val="1"/>
      </rPr>
      <t xml:space="preserve">Cécile Yeyinou (redblt)</t>
    </r>
  </si>
  <si>
    <r>
      <rPr>
        <sz val="11"/>
        <color theme="1"/>
        <rFont val="Calibri"/>
        <family val="0"/>
        <charset val="134"/>
      </rPr>
      <t xml:space="preserve">AKANNI </t>
    </r>
    <r>
      <rPr>
        <sz val="11"/>
        <color theme="1"/>
        <rFont val="Calibri"/>
        <family val="0"/>
        <charset val="1"/>
      </rPr>
      <t xml:space="preserve">Wahab</t>
    </r>
  </si>
  <si>
    <r>
      <rPr>
        <sz val="11"/>
        <color theme="1"/>
        <rFont val="Calibri"/>
        <family val="0"/>
        <charset val="134"/>
      </rPr>
      <t xml:space="preserve">ASSANI </t>
    </r>
    <r>
      <rPr>
        <sz val="11"/>
        <color theme="1"/>
        <rFont val="Calibri"/>
        <family val="0"/>
        <charset val="1"/>
      </rPr>
      <t xml:space="preserve">Samirath</t>
    </r>
  </si>
  <si>
    <r>
      <rPr>
        <sz val="11"/>
        <color theme="1"/>
        <rFont val="Calibri"/>
        <family val="0"/>
        <charset val="134"/>
      </rPr>
      <t xml:space="preserve">BAMIGBADE </t>
    </r>
    <r>
      <rPr>
        <sz val="11"/>
        <color theme="1"/>
        <rFont val="Calibri"/>
        <family val="0"/>
        <charset val="1"/>
      </rPr>
      <t xml:space="preserve">Adédjokè Ghislaine</t>
    </r>
  </si>
  <si>
    <r>
      <rPr>
        <sz val="11"/>
        <color theme="1"/>
        <rFont val="Calibri"/>
        <family val="0"/>
        <charset val="134"/>
      </rPr>
      <t xml:space="preserve">DJIDONOU </t>
    </r>
    <r>
      <rPr>
        <sz val="11"/>
        <color theme="1"/>
        <rFont val="Calibri"/>
        <family val="0"/>
        <charset val="1"/>
      </rPr>
      <t xml:space="preserve">Abouègnonhou Sidonie</t>
    </r>
    <r>
      <rPr>
        <sz val="11"/>
        <color theme="1"/>
        <rFont val="Calibri"/>
        <family val="0"/>
        <charset val="134"/>
      </rPr>
      <t xml:space="preserve"> MEDEGNONWA </t>
    </r>
    <r>
      <rPr>
        <sz val="11"/>
        <color theme="1"/>
        <rFont val="Calibri"/>
        <family val="0"/>
        <charset val="1"/>
      </rPr>
      <t xml:space="preserve"> Flavienne(redblt)</t>
    </r>
  </si>
  <si>
    <r>
      <rPr>
        <sz val="11"/>
        <color theme="1"/>
        <rFont val="Calibri"/>
        <family val="0"/>
        <charset val="134"/>
      </rPr>
      <t xml:space="preserve">do REGO Lucie </t>
    </r>
    <r>
      <rPr>
        <sz val="11"/>
        <color theme="1"/>
        <rFont val="Calibri"/>
        <family val="0"/>
        <charset val="1"/>
      </rPr>
      <t xml:space="preserve">Mathilde Rosine</t>
    </r>
  </si>
  <si>
    <r>
      <rPr>
        <sz val="11"/>
        <color theme="1"/>
        <rFont val="Calibri"/>
        <family val="0"/>
        <charset val="134"/>
      </rPr>
      <t xml:space="preserve">FAGNON </t>
    </r>
    <r>
      <rPr>
        <sz val="11"/>
        <color theme="1"/>
        <rFont val="Calibri"/>
        <family val="0"/>
        <charset val="1"/>
      </rPr>
      <t xml:space="preserve">Florence Marie</t>
    </r>
  </si>
  <si>
    <r>
      <rPr>
        <sz val="11"/>
        <color theme="1"/>
        <rFont val="Calibri"/>
        <family val="0"/>
        <charset val="134"/>
      </rPr>
      <t xml:space="preserve">GBAGUIDI </t>
    </r>
    <r>
      <rPr>
        <sz val="11"/>
        <color theme="1"/>
        <rFont val="Calibri"/>
        <family val="0"/>
        <charset val="1"/>
      </rPr>
      <t xml:space="preserve">Eve Mondodé</t>
    </r>
  </si>
  <si>
    <r>
      <rPr>
        <sz val="11"/>
        <color theme="1"/>
        <rFont val="Calibri"/>
        <family val="0"/>
        <charset val="134"/>
      </rPr>
      <t xml:space="preserve">HACHEME </t>
    </r>
    <r>
      <rPr>
        <sz val="11"/>
        <color theme="1"/>
        <rFont val="Calibri"/>
        <family val="0"/>
        <charset val="1"/>
      </rPr>
      <t xml:space="preserve">Caroline</t>
    </r>
  </si>
  <si>
    <r>
      <rPr>
        <sz val="11"/>
        <color theme="1"/>
        <rFont val="Calibri"/>
        <family val="0"/>
        <charset val="134"/>
      </rPr>
      <t xml:space="preserve">HOUNTCHEGNON </t>
    </r>
    <r>
      <rPr>
        <sz val="11"/>
        <color theme="1"/>
        <rFont val="Calibri"/>
        <family val="0"/>
        <charset val="1"/>
      </rPr>
      <t xml:space="preserve">Krystel Carolle S.</t>
    </r>
    <r>
      <rPr>
        <sz val="11"/>
        <color theme="1"/>
        <rFont val="Calibri"/>
        <family val="0"/>
        <charset val="134"/>
      </rPr>
      <t xml:space="preserve"> </t>
    </r>
  </si>
  <si>
    <r>
      <rPr>
        <sz val="11"/>
        <color theme="1"/>
        <rFont val="Calibri"/>
        <family val="0"/>
        <charset val="134"/>
      </rPr>
      <t xml:space="preserve">KEKE </t>
    </r>
    <r>
      <rPr>
        <sz val="11"/>
        <color theme="1"/>
        <rFont val="Calibri"/>
        <family val="0"/>
        <charset val="1"/>
      </rPr>
      <t xml:space="preserve">Noutin Kévin</t>
    </r>
  </si>
  <si>
    <r>
      <rPr>
        <sz val="11"/>
        <color theme="1"/>
        <rFont val="Calibri"/>
        <family val="0"/>
        <charset val="134"/>
      </rPr>
      <t xml:space="preserve">KPODOHOUN </t>
    </r>
    <r>
      <rPr>
        <sz val="11"/>
        <color theme="1"/>
        <rFont val="Calibri"/>
        <family val="0"/>
        <charset val="1"/>
      </rPr>
      <t xml:space="preserve">Sosthème Dispro nyamide Ayaba(redblt)</t>
    </r>
  </si>
  <si>
    <r>
      <rPr>
        <sz val="11"/>
        <color theme="1"/>
        <rFont val="Calibri"/>
        <family val="0"/>
        <charset val="134"/>
      </rPr>
      <t xml:space="preserve">LALEYE </t>
    </r>
    <r>
      <rPr>
        <sz val="11"/>
        <color theme="1"/>
        <rFont val="Calibri"/>
        <family val="0"/>
        <charset val="1"/>
      </rPr>
      <t xml:space="preserve">Bonin Omotola Henriette</t>
    </r>
  </si>
  <si>
    <r>
      <rPr>
        <sz val="11"/>
        <color theme="1"/>
        <rFont val="Calibri"/>
        <family val="0"/>
        <charset val="134"/>
      </rPr>
      <t xml:space="preserve">LEGBA </t>
    </r>
    <r>
      <rPr>
        <sz val="11"/>
        <color theme="1"/>
        <rFont val="Calibri"/>
        <family val="0"/>
        <charset val="1"/>
      </rPr>
      <t xml:space="preserve">Marie Noël</t>
    </r>
  </si>
  <si>
    <r>
      <rPr>
        <sz val="11"/>
        <color theme="1"/>
        <rFont val="Calibri"/>
        <family val="0"/>
        <charset val="134"/>
      </rPr>
      <t xml:space="preserve">LINSOUSSI </t>
    </r>
    <r>
      <rPr>
        <sz val="11"/>
        <color theme="1"/>
        <rFont val="Calibri"/>
        <family val="0"/>
        <charset val="1"/>
      </rPr>
      <t xml:space="preserve">Gbènami Célestine</t>
    </r>
  </si>
  <si>
    <r>
      <rPr>
        <sz val="11"/>
        <color theme="1"/>
        <rFont val="Calibri"/>
        <family val="0"/>
        <charset val="134"/>
      </rPr>
      <t xml:space="preserve">POSSOU </t>
    </r>
    <r>
      <rPr>
        <sz val="11"/>
        <color theme="1"/>
        <rFont val="Calibri"/>
        <family val="0"/>
        <charset val="1"/>
      </rPr>
      <t xml:space="preserve">Fifamè Fortunée Clémence</t>
    </r>
  </si>
  <si>
    <r>
      <rPr>
        <sz val="11"/>
        <color theme="1"/>
        <rFont val="Calibri"/>
        <family val="0"/>
        <charset val="134"/>
      </rPr>
      <t xml:space="preserve">SAGBOHAN </t>
    </r>
    <r>
      <rPr>
        <sz val="11"/>
        <color theme="1"/>
        <rFont val="Calibri"/>
        <family val="0"/>
        <charset val="1"/>
      </rPr>
      <t xml:space="preserve">Médessè Evelyne</t>
    </r>
  </si>
  <si>
    <r>
      <rPr>
        <sz val="11"/>
        <color theme="1"/>
        <rFont val="Calibri"/>
        <family val="0"/>
        <charset val="134"/>
      </rPr>
      <t xml:space="preserve">SARANA  </t>
    </r>
    <r>
      <rPr>
        <sz val="11"/>
        <color theme="1"/>
        <rFont val="Calibri"/>
        <family val="0"/>
        <charset val="1"/>
      </rPr>
      <t xml:space="preserve">Mariam</t>
    </r>
  </si>
  <si>
    <r>
      <rPr>
        <sz val="11"/>
        <color theme="1"/>
        <rFont val="Calibri"/>
        <family val="0"/>
        <charset val="134"/>
      </rPr>
      <t xml:space="preserve">SOUMAHO </t>
    </r>
    <r>
      <rPr>
        <sz val="11"/>
        <color theme="1"/>
        <rFont val="Calibri"/>
        <family val="0"/>
        <charset val="1"/>
      </rPr>
      <t xml:space="preserve">Mireille Aurélie</t>
    </r>
  </si>
  <si>
    <r>
      <rPr>
        <sz val="11"/>
        <color theme="1"/>
        <rFont val="Calibri"/>
        <family val="0"/>
        <charset val="134"/>
      </rPr>
      <t xml:space="preserve">WOROU </t>
    </r>
    <r>
      <rPr>
        <sz val="11"/>
        <color theme="1"/>
        <rFont val="Calibri"/>
        <family val="0"/>
        <charset val="1"/>
      </rPr>
      <t xml:space="preserve">Yèba Conforte</t>
    </r>
  </si>
  <si>
    <t xml:space="preserve">INGENIEUR EN GENIE CIVIL 2018-2019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</si>
  <si>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CIVIL</t>
    </r>
  </si>
  <si>
    <t xml:space="preserve"> DAGBA Y. Eric</t>
  </si>
  <si>
    <t xml:space="preserve">ADINGNI Léonce</t>
  </si>
  <si>
    <t xml:space="preserve">ADJOVI Ezekiel</t>
  </si>
  <si>
    <t xml:space="preserve">AGOSSOU Rogatien</t>
  </si>
  <si>
    <t xml:space="preserve">AKAKPO Alfred</t>
  </si>
  <si>
    <t xml:space="preserve">ALLOGNON G. Rodrigue</t>
  </si>
  <si>
    <t xml:space="preserve">ALLOHOUMBO M. Virgile Copernick</t>
  </si>
  <si>
    <t xml:space="preserve">AMOUSSOU Comlan Prudencio</t>
  </si>
  <si>
    <t xml:space="preserve">ASSO Alidou Amos</t>
  </si>
  <si>
    <t xml:space="preserve">ASSOGBA S. Christel</t>
  </si>
  <si>
    <t xml:space="preserve">AVOTRICAN Thierry Cedric</t>
  </si>
  <si>
    <t xml:space="preserve">DAKOSSI Abel</t>
  </si>
  <si>
    <t xml:space="preserve">DANNOU R. Privat</t>
  </si>
  <si>
    <t xml:space="preserve">DJOSSOU Berthelot</t>
  </si>
  <si>
    <t xml:space="preserve">DURAND Neil Giovani</t>
  </si>
  <si>
    <t xml:space="preserve">FAVI Marcelline Imeda</t>
  </si>
  <si>
    <t xml:space="preserve">GBAKOUE Zinhoué H. Bernadine</t>
  </si>
  <si>
    <t xml:space="preserve">GUEDE Jean Bosco Giovanni</t>
  </si>
  <si>
    <t xml:space="preserve">HOUKPETODE Eric</t>
  </si>
  <si>
    <t xml:space="preserve">KOBA AKOTCHAYE Martinien</t>
  </si>
  <si>
    <t xml:space="preserve">KAHO RHODE Dagbégnikin</t>
  </si>
  <si>
    <t xml:space="preserve">KOTCHE B. Christel</t>
  </si>
  <si>
    <t xml:space="preserve">KOTO Madjeed</t>
  </si>
  <si>
    <t xml:space="preserve">LINO Marielle K.  Madjè</t>
  </si>
  <si>
    <t xml:space="preserve">MEHOU GBEDOLO Désiré Hugues</t>
  </si>
  <si>
    <t xml:space="preserve">MENSAH Abel Négo</t>
  </si>
  <si>
    <t xml:space="preserve">METODAKOU Herbert</t>
  </si>
  <si>
    <t xml:space="preserve">OGOU Nel Midas</t>
  </si>
  <si>
    <t xml:space="preserve">OGOUNGBE A. Franck</t>
  </si>
  <si>
    <t xml:space="preserve">OUSMANE Issaka</t>
  </si>
  <si>
    <t xml:space="preserve">PADONOU Carmel</t>
  </si>
  <si>
    <t xml:space="preserve">PATINVOH Fiacre Candide</t>
  </si>
  <si>
    <t xml:space="preserve">SODEDJI Nadine</t>
  </si>
  <si>
    <t xml:space="preserve">SOVI Géraud Sèna</t>
  </si>
  <si>
    <t xml:space="preserve">TCHEHOUALI Nadège</t>
  </si>
  <si>
    <t xml:space="preserve">THOTO B. E. Evrard</t>
  </si>
  <si>
    <t xml:space="preserve">TOFFA H. Joël</t>
  </si>
  <si>
    <t xml:space="preserve">TONI Diane</t>
  </si>
  <si>
    <t xml:space="preserve">TOSSA H. Polycarpe</t>
  </si>
  <si>
    <t xml:space="preserve">AFFOUKOU I. Gilbert C.</t>
  </si>
  <si>
    <t xml:space="preserve">TOUMENOU Liberty S. Brice</t>
  </si>
  <si>
    <t xml:space="preserve">INGENIEUR GEOMETRE TOPOGRAPHE 2018-2019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</si>
  <si>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GEOMETRE TOPOGRAPHE</t>
    </r>
  </si>
  <si>
    <t xml:space="preserve">2éme Année</t>
  </si>
  <si>
    <t xml:space="preserve">ADJIBOYE Koyodé Sylvestre</t>
  </si>
  <si>
    <t xml:space="preserve">AFFOGNON Hyacinthe A.</t>
  </si>
  <si>
    <t xml:space="preserve">AGBESSI A. Marc</t>
  </si>
  <si>
    <t xml:space="preserve">ATANKPON A. Germain D.</t>
  </si>
  <si>
    <t xml:space="preserve">BAKO Malik</t>
  </si>
  <si>
    <t xml:space="preserve">BOGLO MENSAH Kenth Gedéon</t>
  </si>
  <si>
    <t xml:space="preserve">CHODATON Hurbert Hervé</t>
  </si>
  <si>
    <t xml:space="preserve">FADO Sourou Vivien</t>
  </si>
  <si>
    <t xml:space="preserve">HOUESSIONON Chantale Mahoudjro</t>
  </si>
  <si>
    <t xml:space="preserve">HOUETO Bernad Mahougnon</t>
  </si>
  <si>
    <t xml:space="preserve">HOUETOHOSSOU Hospice</t>
  </si>
  <si>
    <t xml:space="preserve">HOUNDJE Polycarpe C.</t>
  </si>
  <si>
    <t xml:space="preserve">HOUNLELOU Franck</t>
  </si>
  <si>
    <t xml:space="preserve">KOKOUVI Ayi Paul Louis</t>
  </si>
  <si>
    <t xml:space="preserve">KOUDJROHEDE Boris S. Modeste</t>
  </si>
  <si>
    <t xml:space="preserve">KPADONOU Joël Henry</t>
  </si>
  <si>
    <t xml:space="preserve">SEGO Arnaud</t>
  </si>
  <si>
    <t xml:space="preserve">SEMASSOU Jean Rodrigue</t>
  </si>
  <si>
    <t xml:space="preserve">TANKEU GWAMBA Jocelyn Ines</t>
  </si>
  <si>
    <t xml:space="preserve">TCHIDI Sèwanou Rodolphe</t>
  </si>
  <si>
    <t xml:space="preserve">YENOUSSA Ileassou Alabi</t>
  </si>
  <si>
    <t xml:space="preserve">PRESENTIEL LICENCE PROFESSIONNELLE 2018-2019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</si>
  <si>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GENIE CIVIL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</si>
  <si>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2EME ANNEE</t>
    </r>
  </si>
  <si>
    <t xml:space="preserve">ABIOSSE O. Salomon</t>
  </si>
  <si>
    <t xml:space="preserve">ABOUBAKARY Ahmadou</t>
  </si>
  <si>
    <t xml:space="preserve">ADEGNIKA Amos A. B.</t>
  </si>
  <si>
    <t xml:space="preserve">ADJALALA Carine Houéfa</t>
  </si>
  <si>
    <t xml:space="preserve">AGOSSA Fréchinot Derrick</t>
  </si>
  <si>
    <t xml:space="preserve">AKIEMI O. Modeste</t>
  </si>
  <si>
    <t xml:space="preserve">AKPOVO Jean Laurent</t>
  </si>
  <si>
    <t xml:space="preserve">AVLESSI Joël</t>
  </si>
  <si>
    <t xml:space="preserve">AZEHOUNOU Cosme Emeric</t>
  </si>
  <si>
    <t xml:space="preserve">BELCO Malidjanatou</t>
  </si>
  <si>
    <t xml:space="preserve">BIO BATTA Hassirou</t>
  </si>
  <si>
    <t xml:space="preserve">DAGNON Giscard H.</t>
  </si>
  <si>
    <t xml:space="preserve">DOSSOU S. Pascal Amos</t>
  </si>
  <si>
    <t xml:space="preserve">EHAKO Exaucé Paul</t>
  </si>
  <si>
    <t xml:space="preserve">GBETI Aaron Sousouni</t>
  </si>
  <si>
    <t xml:space="preserve">GBODJINOU S. Navidal</t>
  </si>
  <si>
    <t xml:space="preserve">GOUDOU T. Modeste</t>
  </si>
  <si>
    <t xml:space="preserve">KODJA Delphin Clausius</t>
  </si>
  <si>
    <t xml:space="preserve">KONKONGOU S. Enock</t>
  </si>
  <si>
    <t xml:space="preserve">KORA GUERA S. Wahid</t>
  </si>
  <si>
    <t xml:space="preserve">NAKA Eddy E. Henderson</t>
  </si>
  <si>
    <t xml:space="preserve">QUENUM Marilyne Christo</t>
  </si>
  <si>
    <t xml:space="preserve">VODOUNON W. Juvincio V.</t>
  </si>
  <si>
    <t xml:space="preserve">ZANNOU Marvin Marius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</si>
  <si>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3EME ANNEE</t>
    </r>
  </si>
  <si>
    <t xml:space="preserve">ASSONGBA Léa B. E.</t>
  </si>
  <si>
    <t xml:space="preserve"> BIO BATTA W. Hassirou</t>
  </si>
  <si>
    <t xml:space="preserve">DANVI Lyora Elsie</t>
  </si>
  <si>
    <t xml:space="preserve">GBEKIDE Elfrid Romaric</t>
  </si>
  <si>
    <t xml:space="preserve">HOUETOGNON K. Jonas</t>
  </si>
  <si>
    <t xml:space="preserve">KEDALO Pière Paul</t>
  </si>
  <si>
    <t xml:space="preserve">KEHOUNDE Bethel</t>
  </si>
  <si>
    <t xml:space="preserve">KIANSI Cyrille</t>
  </si>
  <si>
    <t xml:space="preserve">OGOUNCHI O. Marielle O.</t>
  </si>
  <si>
    <t xml:space="preserve">SABI MAKO Salamata</t>
  </si>
  <si>
    <t xml:space="preserve">ZANMENOU V. Brice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</si>
  <si>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1ERE ANNEE</t>
    </r>
  </si>
  <si>
    <t xml:space="preserve">ABOTO Messan Koffi Renaud</t>
  </si>
  <si>
    <t xml:space="preserve">ADEBIMKE Alladé</t>
  </si>
  <si>
    <t xml:space="preserve">AGBODJOGBE Géraldo Leriche</t>
  </si>
  <si>
    <t xml:space="preserve">AKIZAHOSSOU Sergio</t>
  </si>
  <si>
    <t xml:space="preserve">AMAHOUNNON Jean- Baptiste O.</t>
  </si>
  <si>
    <t xml:space="preserve">AZONDEKON A. T. Audace</t>
  </si>
  <si>
    <t xml:space="preserve">GANIOU Fadil Trésor</t>
  </si>
  <si>
    <t xml:space="preserve">GNONLONFOUN H. S. Firmine</t>
  </si>
  <si>
    <t xml:space="preserve">GUEHOU Arnaud Chabel</t>
  </si>
  <si>
    <t xml:space="preserve">HOUNKPEVI M. Jean Baptiste</t>
  </si>
  <si>
    <t xml:space="preserve">HOUNKPE Fifamè Christelle</t>
  </si>
  <si>
    <t xml:space="preserve">HOUNKPE Mickaël</t>
  </si>
  <si>
    <t xml:space="preserve">KOUNLE Gérald</t>
  </si>
  <si>
    <t xml:space="preserve">KPADE Comlan Moïse S.</t>
  </si>
  <si>
    <t xml:space="preserve">M'PASSANNI N'TCHA Kanti Reine</t>
  </si>
  <si>
    <t xml:space="preserve">NANSI Christian Désiré</t>
  </si>
  <si>
    <t xml:space="preserve">SEIDOU TOLEBA Chafik</t>
  </si>
  <si>
    <t xml:space="preserve">SODOKIN Alexandrine</t>
  </si>
  <si>
    <t xml:space="preserve">SOUNOU D. Ronaldo F.</t>
  </si>
  <si>
    <t xml:space="preserve">TOHOUN Pitchou Joël</t>
  </si>
  <si>
    <t xml:space="preserve">TOSSOU Francis Samuel</t>
  </si>
  <si>
    <t xml:space="preserve">+</t>
  </si>
  <si>
    <t xml:space="preserve">INGENIEUR EN GENIE ELECTRIQUE 2018-2019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</si>
  <si>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GENIE ELECTRIQUE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</si>
  <si>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CERTIFICAT PREPARATOIRE</t>
    </r>
  </si>
  <si>
    <t xml:space="preserve">ABOUI Wilfrid Eric</t>
  </si>
  <si>
    <t xml:space="preserve">ADIKPETO KOKOU Luc</t>
  </si>
  <si>
    <t xml:space="preserve">ADINSI V. Darius Herman</t>
  </si>
  <si>
    <t xml:space="preserve">ADJEHOUNOU Charly</t>
  </si>
  <si>
    <t xml:space="preserve">ADJOKPO MONSEDE Bonaventure</t>
  </si>
  <si>
    <t xml:space="preserve">ADJOVI Modeste</t>
  </si>
  <si>
    <t xml:space="preserve">AGNISSEY Komlan Magloire</t>
  </si>
  <si>
    <t xml:space="preserve">AGOSSOU Desiré Honoré</t>
  </si>
  <si>
    <t xml:space="preserve">AGUESSI Ulrich Mékpo</t>
  </si>
  <si>
    <t xml:space="preserve">AHOSSA M. Zephyrin</t>
  </si>
  <si>
    <t xml:space="preserve">AHOUANSOU Agonma Einsten Basile</t>
  </si>
  <si>
    <t xml:space="preserve">AISSOUN Francis Vivien</t>
  </si>
  <si>
    <t xml:space="preserve">ALAPINI Angèle Y.</t>
  </si>
  <si>
    <t xml:space="preserve">ASSOU Bernard</t>
  </si>
  <si>
    <t xml:space="preserve">ATTOLOU Pacome Gbéhinde</t>
  </si>
  <si>
    <t xml:space="preserve">AWOKOU A. Lucienne</t>
  </si>
  <si>
    <t xml:space="preserve">AZANDOSSESSI Roch T. Jean Marie</t>
  </si>
  <si>
    <t xml:space="preserve">BADOUGOU Abdel Aziz</t>
  </si>
  <si>
    <t xml:space="preserve">BIO N'GOBI Léon</t>
  </si>
  <si>
    <t xml:space="preserve">DIGNI Private</t>
  </si>
  <si>
    <t xml:space="preserve">DOHEMETO S. Aaron Frabrice</t>
  </si>
  <si>
    <t xml:space="preserve">GNANSSOUNOU Bille </t>
  </si>
  <si>
    <t xml:space="preserve">GNIGLA Arnaud Baudelaire</t>
  </si>
  <si>
    <t xml:space="preserve">GNIMAGNON Marcellin</t>
  </si>
  <si>
    <t xml:space="preserve">HOSSOU DODO Innocent</t>
  </si>
  <si>
    <t xml:space="preserve">HOUEFONDE Donald S.</t>
  </si>
  <si>
    <t xml:space="preserve">HOUNDIN Amédée Jonas</t>
  </si>
  <si>
    <t xml:space="preserve">HOUNDJO Noël</t>
  </si>
  <si>
    <t xml:space="preserve">HOUNGBEME DOSSOU Christian</t>
  </si>
  <si>
    <t xml:space="preserve">HOUNGNIBO J. Ulrich F. D</t>
  </si>
  <si>
    <t xml:space="preserve">HOUNKPETODE Appolinaire</t>
  </si>
  <si>
    <t xml:space="preserve">KOTCHONI Berger Aaron</t>
  </si>
  <si>
    <t xml:space="preserve">KOUAMINA Wilfrid</t>
  </si>
  <si>
    <t xml:space="preserve">KPOGLA Yaovi Innocent</t>
  </si>
  <si>
    <t xml:space="preserve">LANKLOUNON Constantin S.</t>
  </si>
  <si>
    <t xml:space="preserve">LISSANON D Constantin</t>
  </si>
  <si>
    <t xml:space="preserve">MEMEVEGNI M. D. Bryan</t>
  </si>
  <si>
    <t xml:space="preserve">METOGNIZO C. Martin Gildas</t>
  </si>
  <si>
    <t xml:space="preserve">MIDOKPO Bruno Patient</t>
  </si>
  <si>
    <t xml:space="preserve">NOUKPOKINNOU Geoffroy</t>
  </si>
  <si>
    <t xml:space="preserve">OGOUDINA VIANOU Germain</t>
  </si>
  <si>
    <t xml:space="preserve">OROU WARI Osée</t>
  </si>
  <si>
    <t xml:space="preserve">OUOROU Y. Soumayila</t>
  </si>
  <si>
    <t xml:space="preserve">PADONOU Jean Paul</t>
  </si>
  <si>
    <t xml:space="preserve">RAMANOU Abdou Azize</t>
  </si>
  <si>
    <t xml:space="preserve">SEDJRO Joël</t>
  </si>
  <si>
    <t xml:space="preserve">SESSOU Jerome</t>
  </si>
  <si>
    <t xml:space="preserve">SONON S.Ernest</t>
  </si>
  <si>
    <t xml:space="preserve">SOSSOUKPE Marus Marcel</t>
  </si>
  <si>
    <t xml:space="preserve">TCHEKPE Emmanuel</t>
  </si>
  <si>
    <t xml:space="preserve">TCHIKOU Frederic Codjo</t>
  </si>
  <si>
    <t xml:space="preserve">TELLA Comlan Stanislas</t>
  </si>
  <si>
    <t xml:space="preserve">ZEOUNKPE Anselme</t>
  </si>
  <si>
    <t xml:space="preserve">MASTER EN PROTECTION DES VEGETAUX ET POSTE RECOLTE 2018-2019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</si>
  <si>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PRODUCTION VEGETALE</t>
    </r>
  </si>
  <si>
    <t xml:space="preserve">NOM ET PMS</t>
  </si>
  <si>
    <t xml:space="preserve">INGENIEUR DE CONCEPTION  EN GENIE CIVIL 2018-2019</t>
  </si>
  <si>
    <t xml:space="preserve"> Année de stage</t>
  </si>
  <si>
    <t xml:space="preserve">ADJAHO V. Olivier Poitiers</t>
  </si>
  <si>
    <t xml:space="preserve">ADOHO Sènakpon Parfait</t>
  </si>
  <si>
    <t xml:space="preserve">ADRA Coffi Elias </t>
  </si>
  <si>
    <t xml:space="preserve">AGBE Narcisse Vignon</t>
  </si>
  <si>
    <t xml:space="preserve">AGLI Arnaud</t>
  </si>
  <si>
    <t xml:space="preserve">AGOSSOU C. Fabrice</t>
  </si>
  <si>
    <t xml:space="preserve">AGUIDISSOU Crespin</t>
  </si>
  <si>
    <t xml:space="preserve">AILO KOSSI Laurent</t>
  </si>
  <si>
    <t xml:space="preserve">AKOUTA Franck</t>
  </si>
  <si>
    <t xml:space="preserve">ATTIKPA Alexis</t>
  </si>
  <si>
    <t xml:space="preserve">DADONOUGBO T. Mathieu</t>
  </si>
  <si>
    <t xml:space="preserve">de SOUZA Fiacre Sewanou</t>
  </si>
  <si>
    <t xml:space="preserve">DEGUENON Mahugnon Bienvenu</t>
  </si>
  <si>
    <t xml:space="preserve">DOSSA Y. C. Placide A.</t>
  </si>
  <si>
    <t xml:space="preserve">GBEMENOU Gabin</t>
  </si>
  <si>
    <t xml:space="preserve">GNONLONFOUN Frank Françis J.</t>
  </si>
  <si>
    <t xml:space="preserve">HOUNWAKANOU Carlos</t>
  </si>
  <si>
    <t xml:space="preserve">HOUNYEME Ferdinand</t>
  </si>
  <si>
    <t xml:space="preserve">HOUSSOU KICHO Eliane</t>
  </si>
  <si>
    <t xml:space="preserve">KOLEOCHO SALAMI Laïssi</t>
  </si>
  <si>
    <t xml:space="preserve">KOLOYITO Luc</t>
  </si>
  <si>
    <t xml:space="preserve">KOTY S. Damien</t>
  </si>
  <si>
    <t xml:space="preserve">KOUHONOU Hector A.</t>
  </si>
  <si>
    <t xml:space="preserve">KPATCHAVI A. Damien</t>
  </si>
  <si>
    <t xml:space="preserve">LANTONKPODE  Stanislas</t>
  </si>
  <si>
    <t xml:space="preserve">MICHOZOUNNOU N. Benoit</t>
  </si>
  <si>
    <t xml:space="preserve">MILOHIN Claude</t>
  </si>
  <si>
    <t xml:space="preserve">MOUSSA ALASSOLE K. Dine M.</t>
  </si>
  <si>
    <t xml:space="preserve">MOUTAIROU Abdel Assad</t>
  </si>
  <si>
    <t xml:space="preserve">M'PO MBIMA KOUAGOU Soukou</t>
  </si>
  <si>
    <t xml:space="preserve">NOUNAWON Sena Herve</t>
  </si>
  <si>
    <t xml:space="preserve">OROULA S. Michel</t>
  </si>
  <si>
    <t xml:space="preserve">SAGBOHAN D. Joël</t>
  </si>
  <si>
    <t xml:space="preserve">SALIFOU Abdel Smail I.</t>
  </si>
  <si>
    <t xml:space="preserve">SEMAKO Serge Gislain N.</t>
  </si>
  <si>
    <t xml:space="preserve">TAMEGNON Bertin Roger</t>
  </si>
  <si>
    <t xml:space="preserve">TOKPANOUDE Diane</t>
  </si>
  <si>
    <t xml:space="preserve">VICHEMEY Samson</t>
  </si>
  <si>
    <t xml:space="preserve">ZOLA ZOSSOU Megni Bido Maroubou</t>
  </si>
  <si>
    <t xml:space="preserve">   RECAPITULATIF DES RECETTES PAR FILIERS AU TITRE DE 2018-2019</t>
  </si>
  <si>
    <t xml:space="preserve">                                                                                                                    </t>
  </si>
  <si>
    <t xml:space="preserve">FORMATION A DISTANCE</t>
  </si>
  <si>
    <t xml:space="preserve">FILIERES / ANNEES</t>
  </si>
  <si>
    <t xml:space="preserve">EffECTIF</t>
  </si>
  <si>
    <t xml:space="preserve">RECETTE ATTENDUE</t>
  </si>
  <si>
    <t xml:space="preserve">RECETTE RECOUVREE</t>
  </si>
  <si>
    <t xml:space="preserve">RESTE</t>
  </si>
  <si>
    <t xml:space="preserve">TAUX</t>
  </si>
  <si>
    <t xml:space="preserve">G.C 1</t>
  </si>
  <si>
    <t xml:space="preserve">G.C 2</t>
  </si>
  <si>
    <t xml:space="preserve">G.C 3</t>
  </si>
  <si>
    <t xml:space="preserve">G.C 4</t>
  </si>
  <si>
    <t xml:space="preserve">G.E 1</t>
  </si>
  <si>
    <t xml:space="preserve">G.E 2</t>
  </si>
  <si>
    <t xml:space="preserve">G.E 3</t>
  </si>
  <si>
    <t xml:space="preserve">G.E 4</t>
  </si>
  <si>
    <t xml:space="preserve">HCQDA 1</t>
  </si>
  <si>
    <t xml:space="preserve">HCQDA 2</t>
  </si>
  <si>
    <t xml:space="preserve">HCQDA3</t>
  </si>
  <si>
    <t xml:space="preserve">HCQDA 4</t>
  </si>
  <si>
    <t xml:space="preserve">P.A 1</t>
  </si>
  <si>
    <t xml:space="preserve">P.A 3</t>
  </si>
  <si>
    <t xml:space="preserve">P.V 1</t>
  </si>
  <si>
    <t xml:space="preserve">P.V 2</t>
  </si>
  <si>
    <t xml:space="preserve">P.V 3</t>
  </si>
  <si>
    <t xml:space="preserve">P.V 4</t>
  </si>
  <si>
    <t xml:space="preserve">Env. 3</t>
  </si>
  <si>
    <t xml:space="preserve">NTAD1</t>
  </si>
  <si>
    <t xml:space="preserve">NTAD2</t>
  </si>
  <si>
    <t xml:space="preserve">HYDRO1</t>
  </si>
  <si>
    <t xml:space="preserve">MI1</t>
  </si>
  <si>
    <t xml:space="preserve">ABM1</t>
  </si>
  <si>
    <t xml:space="preserve">ABM4</t>
  </si>
  <si>
    <t xml:space="preserve">BSS3</t>
  </si>
  <si>
    <t xml:space="preserve">BSS4</t>
  </si>
  <si>
    <t xml:space="preserve">GT1</t>
  </si>
  <si>
    <t xml:space="preserve">GT2</t>
  </si>
  <si>
    <t xml:space="preserve">GT3</t>
  </si>
  <si>
    <t xml:space="preserve">TOTAL:  </t>
  </si>
  <si>
    <t xml:space="preserve">    CENTRE AUTONOME DE PERFECTIONNEMENT</t>
  </si>
  <si>
    <t xml:space="preserve">                            LIVRE JOURNAL EXERCICE 2018</t>
  </si>
  <si>
    <t xml:space="preserve">DATES</t>
  </si>
  <si>
    <t xml:space="preserve">LIBELLE</t>
  </si>
  <si>
    <t xml:space="preserve">REFERENCE</t>
  </si>
  <si>
    <t xml:space="preserve">SOMME DES RECETTES</t>
  </si>
  <si>
    <t xml:space="preserve">SOMME DES DEPENSES</t>
  </si>
  <si>
    <t xml:space="preserve">VARIATION DE SOLDE</t>
  </si>
  <si>
    <t xml:space="preserve">Solde à nouveau au 1/01/18</t>
  </si>
  <si>
    <t xml:space="preserve">Indemnité liés aux Préparations  des déliberations annuelle de la Licence Prof.</t>
  </si>
  <si>
    <t xml:space="preserve">Ord virement</t>
  </si>
  <si>
    <t xml:space="preserve">BOA / Prime mensuelle de sujétion et de communication. Janvier</t>
  </si>
  <si>
    <t xml:space="preserve">YATAKPO Henoc / Paie. Pour la realisation des prestations de service de l'animation , actualisation et l'entretien du site web de l'EPAC du mois de Décembre</t>
  </si>
  <si>
    <t xml:space="preserve">chq 588345</t>
  </si>
  <si>
    <t xml:space="preserve">Indemnité liés aux travaux de déliberations annuelle de la Licence Professionnelle</t>
  </si>
  <si>
    <t xml:space="preserve">Paiement  des frais d'Enseigmt, droit d'auteur, surveillance, du 2ème Regroup. 2017</t>
  </si>
  <si>
    <t xml:space="preserve">Règlmt  pour  achat de Boissons au profit de l'EPAC</t>
  </si>
  <si>
    <t xml:space="preserve">chq 588343</t>
  </si>
  <si>
    <t xml:space="preserve">Salaire du mois de Janvier  des agents du CAP</t>
  </si>
  <si>
    <t xml:space="preserve">Règlmt fact. N°29/17/HTS/NCA pour le paiement du 3ème décompte dans le cadre des traveaux de construction d'une paillotte à usage d'amphithéatre au profit de l'EPAC</t>
  </si>
  <si>
    <t xml:space="preserve">Avance pour la prise en charge des travaux de réfection de fresque murale conceptuelle au profit de l'EPAC</t>
  </si>
  <si>
    <t xml:space="preserve">chq 588347</t>
  </si>
  <si>
    <t xml:space="preserve">Règlmt fact. N°003/2018 pour  la commande de calendriers 2018</t>
  </si>
  <si>
    <t xml:space="preserve">chq 588346</t>
  </si>
  <si>
    <t xml:space="preserve">Règlmt fact. N°0204 pour entretien général des copieurs du 1er/06/17 au 29/12/17</t>
  </si>
  <si>
    <t xml:space="preserve">chq 588348</t>
  </si>
  <si>
    <t xml:space="preserve">Indemnité forfaitaire aux encadreurs des rapports de stage</t>
  </si>
  <si>
    <t xml:space="preserve">Paie des indemnités aux mbres de jury de soutenance de la LP</t>
  </si>
  <si>
    <t xml:space="preserve">Aide financier dans le cadre de l'organisation des premières journées Béninoises des sciences technologie géomatiques</t>
  </si>
  <si>
    <t xml:space="preserve">chq 588349</t>
  </si>
  <si>
    <t xml:space="preserve">Règlmt fact. N°003/ASM/2018 pour  l'avance dans le cadre de la confetion de toges et barrettes épitoges au profit de l'EPAC</t>
  </si>
  <si>
    <t xml:space="preserve">chq 588350</t>
  </si>
  <si>
    <t xml:space="preserve">Appui financier aux manifestations marquant le 40ème anniversaire de l'EPAC</t>
  </si>
  <si>
    <t xml:space="preserve">chq 0842952</t>
  </si>
  <si>
    <t xml:space="preserve">Règlment du solde pour la prise en charge des travaux de réfection de fresque murale conceptuelle au profit de l'EPAC</t>
  </si>
  <si>
    <t xml:space="preserve">chq 0842951</t>
  </si>
  <si>
    <t xml:space="preserve">31/01/2018</t>
  </si>
  <si>
    <t xml:space="preserve">Frais etude des dossiers 2016-2017</t>
  </si>
  <si>
    <t xml:space="preserve">Relevé</t>
  </si>
  <si>
    <t xml:space="preserve">31/01/2019</t>
  </si>
  <si>
    <t xml:space="preserve">Frais d'inscription et de formt° versés en Janvier 2018</t>
  </si>
  <si>
    <t xml:space="preserve">Paiemt IPTS+VPS du mois de Janvier 2018</t>
  </si>
  <si>
    <t xml:space="preserve">chq C 0006504</t>
  </si>
  <si>
    <t xml:space="preserve">Agio sur cheque certifié</t>
  </si>
  <si>
    <t xml:space="preserve">Avis</t>
  </si>
  <si>
    <t xml:space="preserve">Reversement de TVA retenue à la source de Janvier 2018</t>
  </si>
  <si>
    <t xml:space="preserve">chq C 0006505</t>
  </si>
  <si>
    <t xml:space="preserve">Prime mensuelle de sujétion et de communication. Mai</t>
  </si>
  <si>
    <t xml:space="preserve">Paiement pour la prise en charge de consommable de travaux pratiques des etudiants en SA1  et HCQ1</t>
  </si>
  <si>
    <t xml:space="preserve">chq 588336</t>
  </si>
  <si>
    <t xml:space="preserve">Règlmt fact.N°18-f4980 pr la couverture médiatique dans le cadre de la célébration des 40 ans de l'EPAC</t>
  </si>
  <si>
    <t xml:space="preserve">Règlmt fact. N°000/ASM/2018 pour le solde dans le cadre de la confetion de toges et barrettes épitoges au profit de l'EPAC</t>
  </si>
  <si>
    <t xml:space="preserve">Indemnité heures supp à la confection des monographies du18/12/17 au 31/01/18 du 1er regroupement</t>
  </si>
  <si>
    <t xml:space="preserve">Indemnité aux mbres de la c/ssion à l'étude de dossiers   CUCA de la Formation à Distance</t>
  </si>
  <si>
    <t xml:space="preserve">Indemnité liés aux travaux de déliberations annuelle en formation continiue des CPEI GC</t>
  </si>
  <si>
    <t xml:space="preserve">Indemnité liés aux travaux de déliberations annuelle en formation continiue des 1ère années de spécialité GC</t>
  </si>
  <si>
    <t xml:space="preserve">Indemnité liés aux travaux de déliberations annuelle en formation continiue en Master IM et ABM</t>
  </si>
  <si>
    <t xml:space="preserve">Heures d'enseignement aux enseignant intervenant en CPEI GC du 2ème semestre</t>
  </si>
  <si>
    <t xml:space="preserve">Heures d'enseignement aux enseignant intervenant en CPEI GTopo du 2ème semestre</t>
  </si>
  <si>
    <t xml:space="preserve">Règlmt fact.SIKA Sarl /05/02/18 pr la la fourniture et l'installation d'un climatiseur</t>
  </si>
  <si>
    <t xml:space="preserve">Chq 0842957</t>
  </si>
  <si>
    <t xml:space="preserve">Renouvellement  de la CMD</t>
  </si>
  <si>
    <t xml:space="preserve">Chq 0842956</t>
  </si>
  <si>
    <t xml:space="preserve">Salaire du mois de Février des agents du CAP</t>
  </si>
  <si>
    <t xml:space="preserve">Indemnité liés aux Préparations  des déliberations annuelle de la Formation continue.</t>
  </si>
  <si>
    <t xml:space="preserve"> </t>
  </si>
  <si>
    <t xml:space="preserve">Indemnité aux mbres de la c/ssion à l'étude de dossiers   CUCA de la Formation continue</t>
  </si>
  <si>
    <t xml:space="preserve">Heures d'enseignement aux enseignant intervenant en 1ere année de Master en ABM et IM du 1er semestre</t>
  </si>
  <si>
    <t xml:space="preserve">Heures d'enseignement aux enseignant intervenant en 1ère Année d'Ingenieur de conception en GC du 2ème semestre</t>
  </si>
  <si>
    <t xml:space="preserve">Indemnité  à l'etude des  dossiers de candidature  aux inscriptions 2017-2018 des Ingenieur en 1ère Année GC pr la Formation Continue</t>
  </si>
  <si>
    <t xml:space="preserve">Règlmt fact. N°16/02/18  pour la collation dans le cadre des sessions du CUCA 2017*2018</t>
  </si>
  <si>
    <t xml:space="preserve">chq 842958</t>
  </si>
  <si>
    <t xml:space="preserve">Règlmt fact. N°16/02/18  pour la collation dans le cadre des sessions du CUO 2017-2018</t>
  </si>
  <si>
    <t xml:space="preserve">chq 842959</t>
  </si>
  <si>
    <t xml:space="preserve">Règlmt Note. N°0311-18/02/18  pour la collation dans le cadre des sessions du CUCA 2017-2018</t>
  </si>
  <si>
    <t xml:space="preserve">028/02/2018</t>
  </si>
  <si>
    <t xml:space="preserve">Règlmt fact. N°0027/f/COT/SEEPEG/DG-SP   pour l'acquisition des materiels de travaux pratique en energetique</t>
  </si>
  <si>
    <t xml:space="preserve">chq 842960</t>
  </si>
  <si>
    <t xml:space="preserve">Règlmt fact. N°1021/2018/000208   pour la prime d'assurance du véhicule NISSA PATROL AN 1928RB du CAP</t>
  </si>
  <si>
    <t xml:space="preserve">chq 842961</t>
  </si>
  <si>
    <t xml:space="preserve">Frais d'inscription et de formt° versés en Février  2018</t>
  </si>
  <si>
    <t xml:space="preserve">BOA / Prime mensuelle de sujétion et de communication. Mars</t>
  </si>
  <si>
    <t xml:space="preserve">Paiemt IPTS+VPS du mois de Février 2018</t>
  </si>
  <si>
    <t xml:space="preserve">chq C 0006542</t>
  </si>
  <si>
    <t xml:space="preserve">YATAKPO Henoc / Paie. Pour la realisation des prestations de service de l'animation , actualisation et l'entretien du site web de l'EPAC du mois de Janvier-Février</t>
  </si>
  <si>
    <t xml:space="preserve">chq 842963</t>
  </si>
  <si>
    <t xml:space="preserve">Règlmt fact.N°3241/2018 pr la prime d'assurance maladie groupe personnels de l'EPAC</t>
  </si>
  <si>
    <t xml:space="preserve">chq 842962</t>
  </si>
  <si>
    <t xml:space="preserve">Paie pour l'entretien des salles de classe du 1er, 2ème  etage et de l'environnement du bâtiment du CAP</t>
  </si>
  <si>
    <t xml:space="preserve">Indemnité  à l'etude des  dossiers de candidature  aux inscriptions 2017-2018 pr la Formation à Distance</t>
  </si>
  <si>
    <t xml:space="preserve">Indemnité  à l'etude des  dossiers de candidature  aux inscriptions 2017-2018 pr la Formation des Ingenieur en Géomètre Topographe</t>
  </si>
  <si>
    <t xml:space="preserve">Règlmt fact. N°0527/TV/TPE/2017/BP pour l'achat de tickets valeurs</t>
  </si>
  <si>
    <t xml:space="preserve">chq 842965</t>
  </si>
  <si>
    <t xml:space="preserve">Règlmt fact. N°150  pour l'achat de tickets valeurs</t>
  </si>
  <si>
    <t xml:space="preserve">chq 842966</t>
  </si>
  <si>
    <t xml:space="preserve">Reversement de TVA retenue pour achat de ticket valeur</t>
  </si>
  <si>
    <t xml:space="preserve">chq C 0006550</t>
  </si>
  <si>
    <t xml:space="preserve">Prime de rendement annuel 206-2017 de la Licence Professionnelle aux  personnels  de la FAD</t>
  </si>
  <si>
    <t xml:space="preserve">Prime de rendement annuel 2016-2017 des Ingenieurs Gtopo aux  personnels de la FC</t>
  </si>
  <si>
    <t xml:space="preserve">Prime de rendement annuel 2016-2017 des Ingenieurs Genie Civil  aux  personnels de la FC</t>
  </si>
  <si>
    <t xml:space="preserve">Prime de rendement annuel 2016-2017 des Masters en ABM et  IM  aux  personnels de la FC</t>
  </si>
  <si>
    <t xml:space="preserve">Indemnité heures supp à la confection des monographies du01/02/18 au 15/03/18 du 2ème regroupement</t>
  </si>
  <si>
    <t xml:space="preserve">Indemnité aux mbres de la c/ssion à l'étude de dossiers   CUO de la Formation à Distance</t>
  </si>
  <si>
    <t xml:space="preserve">Paiement dans le cadre de la restauration et les frais de redaction de l'offre pour la validation de l'offre de Formation en Master en Energie Electrique</t>
  </si>
  <si>
    <t xml:space="preserve">Chq 842971</t>
  </si>
  <si>
    <t xml:space="preserve">Frais d'inscription et de formt° versés en Mars  2018</t>
  </si>
  <si>
    <t xml:space="preserve">BOA / Prime mensuelle de sujétion et de communication. Avril</t>
  </si>
  <si>
    <t xml:space="preserve">Paie des frais d'honoraires dans le cadre de la surveillance et contrôle des travaux de construction d'une paillotte au profit de l'EPAC</t>
  </si>
  <si>
    <t xml:space="preserve">Chq 842975</t>
  </si>
  <si>
    <t xml:space="preserve">Chq 842976</t>
  </si>
  <si>
    <t xml:space="preserve">Règlmt Fact . N° F 003/TFG/18  pour la fourniture d'un ordinateur serveur HP PROLIANT ML 310 et d'un onduleur Eaton</t>
  </si>
  <si>
    <t xml:space="preserve">Chq 842979</t>
  </si>
  <si>
    <t xml:space="preserve">Règlmt Fact . N°AC 0029/03/ABYDI/18  pour l'acquisition de fournitures de bureau</t>
  </si>
  <si>
    <t xml:space="preserve">Chq 842980</t>
  </si>
  <si>
    <t xml:space="preserve">Règlmt Fact . N°AC 0028/03/ABYDI/18  pour achat de boissons</t>
  </si>
  <si>
    <t xml:space="preserve">Chq 842981</t>
  </si>
  <si>
    <t xml:space="preserve">Paie des frais d'honoraires dans le cadre de la mission d'etude technique charpente metallique et production des plants des travaux de construction d'une paillotte au profit de l'EPAC</t>
  </si>
  <si>
    <t xml:space="preserve">Chq 842977</t>
  </si>
  <si>
    <t xml:space="preserve">Paie cotisation salariale des Agents du CAP</t>
  </si>
  <si>
    <t xml:space="preserve">Chq 842969</t>
  </si>
  <si>
    <t xml:space="preserve">Chq 842970</t>
  </si>
  <si>
    <t xml:space="preserve">Paiemt IPTS+VPS du mois de Mars 2018</t>
  </si>
  <si>
    <t xml:space="preserve">chq C 0006579</t>
  </si>
  <si>
    <t xml:space="preserve">Plus percu sur salaire</t>
  </si>
  <si>
    <t xml:space="preserve">Règlmt Fact . N°44/18  pour les travaux de reparation du véhicule TOYOTA COASIER AM 7110 RB au profit de l'EPAC</t>
  </si>
  <si>
    <t xml:space="preserve">Chq 842982</t>
  </si>
  <si>
    <t xml:space="preserve">Règlmt Fact . N°45/18  pour les travaux de reparation du véhicule NISSAN PATROL AB 1239 RB au profit de l'EPAC</t>
  </si>
  <si>
    <t xml:space="preserve">Chq 842983</t>
  </si>
  <si>
    <t xml:space="preserve">Règlmt Fact . N°43/18  pour les travaux de reparation du véhicule TOYOTA COASIER AN 8595 RB au profit de l'EPAC</t>
  </si>
  <si>
    <t xml:space="preserve">Chq 842984</t>
  </si>
  <si>
    <t xml:space="preserve">Règlmt Fact . N°190318/CS  pour l'acquisition de matériels médicaux</t>
  </si>
  <si>
    <t xml:space="preserve">Chq 842985</t>
  </si>
  <si>
    <t xml:space="preserve">Règlmt Fact . N°04045/COTAF/18  pour l'acquisition de fournitures de bureau</t>
  </si>
  <si>
    <t xml:space="preserve">Chq 842987</t>
  </si>
  <si>
    <t xml:space="preserve">Règlmt fact. N°04/18/HTS/NCA pour le paiement du 4ème décompte dans le cadre des traveaux de construction d'une paillotte à usage d'amphithéatre au profit de l'EPAC</t>
  </si>
  <si>
    <t xml:space="preserve">Chq 842989</t>
  </si>
  <si>
    <t xml:space="preserve">Règlmt fact. N°06/18/HTS/NCA pour le paiement du  décompte unique dans le cadre des traveaux de construction d'une paillotte à usage d'amphithéatre au profit de l'EPAC</t>
  </si>
  <si>
    <t xml:space="preserve">Chq 842990</t>
  </si>
  <si>
    <t xml:space="preserve">BOA / Ind. Forfaitaires pr le soutien Technique, supervision et à l'entretien des lieux du 1er Reg.</t>
  </si>
  <si>
    <t xml:space="preserve">Ind. Forfaitaires pr l'organisation et de la gestion des activités  du 1er Reg.</t>
  </si>
  <si>
    <t xml:space="preserve">Paiement  des heures d'Enseignement , frais de production des monographies de deplacement et de la surveillance du 1er Regroup. 2018</t>
  </si>
  <si>
    <t xml:space="preserve">YATAKPO Henoc / Paie. Pour la realisation des prestations de service de l'animation , actualisation et l'entretien du site web de l'EPAC du mois de Mars </t>
  </si>
  <si>
    <t xml:space="preserve">chq 842968</t>
  </si>
  <si>
    <t xml:space="preserve">Paie de la prise en charge des droits et taxes d'enlèvement des equipements et matériels des panneaux solaires</t>
  </si>
  <si>
    <t xml:space="preserve">chq 241260</t>
  </si>
  <si>
    <t xml:space="preserve">Salaire du mois d'Avril  des agents du CAP</t>
  </si>
  <si>
    <t xml:space="preserve">Frais d'inscription et de formt° versés en Avril  2018</t>
  </si>
  <si>
    <t xml:space="preserve">Règlmt fact. N°0001968 du solde pr la fourniture et installation des cartes et modules de télécommunication au profit de l'EPAC</t>
  </si>
  <si>
    <t xml:space="preserve">chq 0842992</t>
  </si>
  <si>
    <t xml:space="preserve">Indemnité liés aux travaux  des déliberations annuelle en spécialité Géo Topo de la Formation continue.</t>
  </si>
  <si>
    <t xml:space="preserve">BOA / Prime mensuelle de sujétion et de communication. Mai</t>
  </si>
  <si>
    <t xml:space="preserve">Règlmt fact.N°294/12/17 /SRH/DG/DAS pr le gardiennage et la surveillance du bâtiment CAP du mois de Décembre 17 au Février 18 </t>
  </si>
  <si>
    <t xml:space="preserve">chq 0842993</t>
  </si>
  <si>
    <t xml:space="preserve">Remboursement de prêt à CERA</t>
  </si>
  <si>
    <t xml:space="preserve">Règlmt Fact . N°0103/04/18  pour achat de boissons</t>
  </si>
  <si>
    <t xml:space="preserve">chq 0842994</t>
  </si>
  <si>
    <t xml:space="preserve">Prise en charge d'une partie des cadeaux aux retraités dans le cadre de la fête du 1er Mai</t>
  </si>
  <si>
    <t xml:space="preserve">chq 0842995</t>
  </si>
  <si>
    <t xml:space="preserve">Paie d'une avance dans le cadre de la reprise totale de l'installation electrique du bâtiment du CAP</t>
  </si>
  <si>
    <t xml:space="preserve">chq 0842996</t>
  </si>
  <si>
    <t xml:space="preserve">Paie dans le cadre de l'entretien des salles de cours du 1er,2ème étage et l'environnement du bâtiment du CAP</t>
  </si>
  <si>
    <t xml:space="preserve">Règlmt fact. N°AC 0031/03/ABYDI/18  pour achat de boissons</t>
  </si>
  <si>
    <t xml:space="preserve">chq 0842986</t>
  </si>
  <si>
    <t xml:space="preserve">Remboursement des frais de formation</t>
  </si>
  <si>
    <t xml:space="preserve">chq 0842988</t>
  </si>
  <si>
    <t xml:space="preserve">Paiemt IPTS+VPS du mois d'avril 2018</t>
  </si>
  <si>
    <t xml:space="preserve">chq C 120944</t>
  </si>
  <si>
    <t xml:space="preserve">Salaire du webmaster dans le cadre de l'animation, l'actualisation et l'entretien du site web de l'EPAC</t>
  </si>
  <si>
    <t xml:space="preserve">chq 0842997</t>
  </si>
  <si>
    <t xml:space="preserve">Salaire du mois de Mai  des agents du CAP</t>
  </si>
  <si>
    <t xml:space="preserve">Paie indemnités à l'etude de dossiers des inscriptions en cours préparatoire au CAP</t>
  </si>
  <si>
    <t xml:space="preserve">Paie indemnités aux membres de la commission chargée d'élaborer la brochure des résultats de fin d'année 2016-2017</t>
  </si>
  <si>
    <t xml:space="preserve">Paie indemnités aux membres de la commission dans le cadre des différents travaux de la decision de fin de formation</t>
  </si>
  <si>
    <t xml:space="preserve">Règlmt fact.N°050/AC/18 pour la fourniture de pièces de rechange des copieurs du CAP</t>
  </si>
  <si>
    <t xml:space="preserve">chq 0842998</t>
  </si>
  <si>
    <t xml:space="preserve">Règlmt fact.N°0056/COTAF pour la commande des tables et bancs</t>
  </si>
  <si>
    <t xml:space="preserve">chq 0842999</t>
  </si>
  <si>
    <t xml:space="preserve">Indemnité liés aux travaux  des déliberations annuelle des 4ème année de la Formation à distance.</t>
  </si>
  <si>
    <t xml:space="preserve">chq 0843000</t>
  </si>
  <si>
    <t xml:space="preserve">Règlmt Fact . N°81/18  pour les travaux de reparation du véhicule NISSAN PATROL AN 1928 RB du CAP</t>
  </si>
  <si>
    <t xml:space="preserve">chq 0843001</t>
  </si>
  <si>
    <t xml:space="preserve">Règlmt Fact . N°82/18  pour les travaux de reparation du véhicule NISSAN PATROL AN 1928 RB du CAP</t>
  </si>
  <si>
    <t xml:space="preserve">chq 0843002</t>
  </si>
  <si>
    <t xml:space="preserve">Frais d'inscription et de formt° versés en Mai  2018</t>
  </si>
  <si>
    <t xml:space="preserve">BOA / Prime mensuelle de sujétion et de communication. Juin</t>
  </si>
  <si>
    <t xml:space="preserve">Paiement  des heures d'Enseignement en 1ère année d'Ingenieurs de conception Genie Civil du 2ème semestre 2016-2017</t>
  </si>
  <si>
    <t xml:space="preserve">Indemnité heures supp à la confection des monographies du04/05  au 31/05/18 </t>
  </si>
  <si>
    <t xml:space="preserve">Paiement  des heures d'Enseignement en 3ème année d'Ingenieurs de conception Géomètre Topo du 1er semestre</t>
  </si>
  <si>
    <t xml:space="preserve">Paie d'une avance pour la mise en place d'un système informatique au CAP</t>
  </si>
  <si>
    <t xml:space="preserve">chq 0843003</t>
  </si>
  <si>
    <t xml:space="preserve">Aide financier dans le cadre des formations scientifiques au service du Développement Durable des Doctoriales à l'UAC</t>
  </si>
  <si>
    <t xml:space="preserve">chq 0843004</t>
  </si>
  <si>
    <t xml:space="preserve">Paie indemnités à l'etude de dossiers des inscriptions des etudiants en Genie Civil au CAP</t>
  </si>
  <si>
    <t xml:space="preserve">Paiemt IPTS+VPS du mois de Mai 2018</t>
  </si>
  <si>
    <t xml:space="preserve">chq C 0171961</t>
  </si>
  <si>
    <t xml:space="preserve">Paie indemnités à l'etude de dossiers des inscriptions des etudiants  au CAP</t>
  </si>
  <si>
    <t xml:space="preserve">Salaire du mois de Juin  des agents du CAP</t>
  </si>
  <si>
    <t xml:space="preserve">Règlmt fact.N°00449/COTAF pour achat de fournitures de bureau et consommables informatique</t>
  </si>
  <si>
    <t xml:space="preserve">chq 0843005</t>
  </si>
  <si>
    <t xml:space="preserve">Règlmt fact.N°129/05/17 /SRH/DG/DAS pr le gardiennage et la surveillance du bâtiment CAP du mois de Mars, Avril et Mai 18 </t>
  </si>
  <si>
    <t xml:space="preserve">chq 0843006</t>
  </si>
  <si>
    <t xml:space="preserve">Paie dans le cadre du sarclage de l'environnement du bâtiment du CAP</t>
  </si>
  <si>
    <t xml:space="preserve">chq 0843007</t>
  </si>
  <si>
    <t xml:space="preserve">Prêtn remboursable au département de Genie Mécanique et Energetique/Bureau d'etudes et des Méthodes</t>
  </si>
  <si>
    <t xml:space="preserve">chq 0843008</t>
  </si>
  <si>
    <t xml:space="preserve">Frais d'inscription et de formt° versés en Juin  2018</t>
  </si>
  <si>
    <t xml:space="preserve">Chq 843009</t>
  </si>
  <si>
    <t xml:space="preserve">Chq 843010</t>
  </si>
  <si>
    <t xml:space="preserve">Prime mensuelle de sujétion et de communication. Juillet</t>
  </si>
  <si>
    <t xml:space="preserve">Paie frais honoraires dans le cadre de la realisation des plans d'une paillote à usage d'amphithéatre à l'EPAC</t>
  </si>
  <si>
    <t xml:space="preserve">Chq 842978</t>
  </si>
  <si>
    <t xml:space="preserve">Règlmt fact.N°160 pour la reparation du copieur IR 2022</t>
  </si>
  <si>
    <t xml:space="preserve">Chq 843011</t>
  </si>
  <si>
    <t xml:space="preserve">Indemnité heures supp à la confection des monographies du 01/06  au 29/06/18 </t>
  </si>
  <si>
    <t xml:space="preserve">Paiemt IPTS+VPS du mois de Juin 2018</t>
  </si>
  <si>
    <t xml:space="preserve">chq C 0171987</t>
  </si>
  <si>
    <t xml:space="preserve">10/17/18</t>
  </si>
  <si>
    <t xml:space="preserve">Reversement de TVA retenue à la source de Juin 2018</t>
  </si>
  <si>
    <t xml:space="preserve">chq C 0171988</t>
  </si>
  <si>
    <t xml:space="preserve">Salaire du mois de Juillet  des agents du CAP</t>
  </si>
  <si>
    <t xml:space="preserve">Paie  pour l'organisation et la supervision des activités de soutenance de la LP</t>
  </si>
  <si>
    <t xml:space="preserve">Paie d'Indemnités aux membres de jury de soutenance des rapports de stage</t>
  </si>
  <si>
    <t xml:space="preserve">Paie d'Indemnités aux encadreurs  des rapports de stage</t>
  </si>
  <si>
    <t xml:space="preserve">Règlmt fact.N°0046/FP/TA/MMSE pr l'achat de consommable d'imagerie medicale</t>
  </si>
  <si>
    <t xml:space="preserve">Chq 843012</t>
  </si>
  <si>
    <t xml:space="preserve">Paie des frais de mission dans le cadre  de la sensibilisation et de marketing sur les differents formations du CAP</t>
  </si>
  <si>
    <t xml:space="preserve">Règlmt fact. N°AC 0057/03/ABYDI/18  du solde pour la reprise totale de l'installation electrique du bâtiment du CAP</t>
  </si>
  <si>
    <t xml:space="preserve">chq 0843015</t>
  </si>
  <si>
    <t xml:space="preserve">Comminuqué  radio dans le cadre des cours à distance</t>
  </si>
  <si>
    <t xml:space="preserve">chq 0843016</t>
  </si>
  <si>
    <t xml:space="preserve">Règlmt Fact . N°120/18  pour les travaux de reparation du véhicule N° BF 3412 RB  de l'EPAC</t>
  </si>
  <si>
    <t xml:space="preserve">chq 0843017</t>
  </si>
  <si>
    <t xml:space="preserve">Règlmt Fact . N°0104/17  pour achat de boissons</t>
  </si>
  <si>
    <t xml:space="preserve">chq 0843018</t>
  </si>
  <si>
    <t xml:space="preserve">Règlmt fact. N°0311 pour entretien général des copieurs du 02/01/18 au 29/06/18</t>
  </si>
  <si>
    <t xml:space="preserve">chq 0843019</t>
  </si>
  <si>
    <t xml:space="preserve">Indemnité heures supp à la confection des monographies du 01/07  au 31/07/18 </t>
  </si>
  <si>
    <t xml:space="preserve">Frais d'inscription et de formt° versés en Juillet  2018</t>
  </si>
  <si>
    <t xml:space="preserve">Prime mensuelle de sujétion et de communication. Août</t>
  </si>
  <si>
    <t xml:space="preserve">Règlmt fact. N°50/ATMNS/DG-2018 pour la restauration dans le cadre des activités des 40 ans de l'EPAC</t>
  </si>
  <si>
    <t xml:space="preserve">chq 0843020</t>
  </si>
  <si>
    <t xml:space="preserve">Règlmt fact. N°054-18/IG/DG/DC/CO/CC pour la réalisation de plaquettes dans le cadre des activités des 40 ans d l'EPAC</t>
  </si>
  <si>
    <t xml:space="preserve">chq 0843021</t>
  </si>
  <si>
    <t xml:space="preserve">Paiemt IPTS+VPS du mois de Juillet 2018</t>
  </si>
  <si>
    <t xml:space="preserve">chq C 011875</t>
  </si>
  <si>
    <t xml:space="preserve">Aide financière dans le cadre d'appui en carburant à la participartion de la délégation béninoise aux 19ème journée de la SOACHIM</t>
  </si>
  <si>
    <t xml:space="preserve">chq 0843022</t>
  </si>
  <si>
    <t xml:space="preserve">Salaire du mois d'Août des agents du CAP</t>
  </si>
  <si>
    <t xml:space="preserve">Frais d'inscription et de formt° versés en Août 2018</t>
  </si>
  <si>
    <t xml:space="preserve">Prime mensuelle de sujétion et de communication. Septembre</t>
  </si>
  <si>
    <t xml:space="preserve">Paiemt IPTS+VPS du mois de d'Août 2018</t>
  </si>
  <si>
    <t xml:space="preserve">Paie indemnités aux membres de la commission de suivi à l'ouverture des plis du dépouillement et de l'etude des offres relatif au recrutement d'un webmaster à l'EPAC</t>
  </si>
  <si>
    <t xml:space="preserve">Paie indemnités aux membres de la commission de suivi à l'ouverture des plis du dépouillement et de l'etude des offres relatif à l'execution des travaux de construction d'un bloc pédagogique de type R+2 à l'EPAC</t>
  </si>
  <si>
    <t xml:space="preserve">Paie indemnités aux membres de la commission de suivi à l'ouverture des plis du dépouillement et de l'etude des offres relatif à l'elaboration du plan stratégie de développement de l'EPAC</t>
  </si>
  <si>
    <t xml:space="preserve">Paie de moins perçu sur les frais de mission de sensibilisation sur les differentes formations du CAP</t>
  </si>
  <si>
    <t xml:space="preserve">Paiement  des heures d'Enseignement en 1ère année d'Ingenieurs de conception Genie Civil du 2ème semestre 2016-2017 et en master microbiologie et immunologie en formation continue</t>
  </si>
  <si>
    <t xml:space="preserve">Chq 843029</t>
  </si>
  <si>
    <t xml:space="preserve">Règlmt fact.N°00614/DG/USS/18 pr le gardiennage et la surveillance du bâtiment CAP du mois de Juin 18 </t>
  </si>
  <si>
    <t xml:space="preserve">Chq 843024</t>
  </si>
  <si>
    <t xml:space="preserve">Règlmt fact.N°00615/DG/USS/18 pr le gardiennage et la surveillance du bâtiment CAP du mois de Juillet 18 </t>
  </si>
  <si>
    <t xml:space="preserve">Chq 843025</t>
  </si>
  <si>
    <t xml:space="preserve">Règlmt fact.N°00616/DG/USS/18 pr le gardiennage et la surveillance du bâtiment CAP du mois de Août 18 </t>
  </si>
  <si>
    <t xml:space="preserve">Chq 843026</t>
  </si>
  <si>
    <t xml:space="preserve">Salaire du mois de Septembre des agents du CAP</t>
  </si>
  <si>
    <t xml:space="preserve">Aide financier dans le cadre de l'organisation des  journées de létudiant polytechnicien de l'EPAC</t>
  </si>
  <si>
    <t xml:space="preserve">chq 0843023</t>
  </si>
  <si>
    <t xml:space="preserve">Règlmt fact. N°AC 0014/03/ABYDI/18  pour l'acquisition de fournitures de bureau</t>
  </si>
  <si>
    <t xml:space="preserve">chq 0843036</t>
  </si>
  <si>
    <t xml:space="preserve">Paie des indemnites d'heures de vacation aux enseignants de l'EPAC</t>
  </si>
  <si>
    <t xml:space="preserve">Règlmt fact.N°034/DG/DAE/SA/18 d'une avance dans le cadre d'elaboration de la strategie de développement de l'EPAC</t>
  </si>
  <si>
    <t xml:space="preserve">chq 0843035</t>
  </si>
  <si>
    <t xml:space="preserve">chq 0843030</t>
  </si>
  <si>
    <t xml:space="preserve">chq 0843031</t>
  </si>
  <si>
    <t xml:space="preserve">chq 0843032</t>
  </si>
  <si>
    <t xml:space="preserve">Règlmt Fact . N°94/18  pour les travaux de reparation du véhiculeAB 1239 RB de l'EPAC dans le cadre de la mission de sensibilisation</t>
  </si>
  <si>
    <t xml:space="preserve">chq 0843039</t>
  </si>
  <si>
    <t xml:space="preserve">Reversement des frais d'inscription au rectorat de l'année academique 2016-2017</t>
  </si>
  <si>
    <t xml:space="preserve">chq 0843037</t>
  </si>
  <si>
    <t xml:space="preserve">Reversement des frais d'inscription au rectorat de l'année academique 2015-2016</t>
  </si>
  <si>
    <t xml:space="preserve">Paie d'indemnités aux membres de la commission d'organisation de la semaine du monde professionnel de l'EPAC</t>
  </si>
  <si>
    <t xml:space="preserve">chq 0843041</t>
  </si>
  <si>
    <t xml:space="preserve">Paie desprimes de traitement des demandes d'attestation</t>
  </si>
  <si>
    <t xml:space="preserve">chq 0843044</t>
  </si>
  <si>
    <t xml:space="preserve">Paie indemnités aux membres de la commission chargée d'elaboration de la brochure des resultats de fin d'année 2015-2016 à l'EPAC</t>
  </si>
  <si>
    <t xml:space="preserve">Paie indemnités aux membres de la commission chargée d'elaboration de la decision qui sanctionne l'admission aux differents etudiants  de l'EPAC</t>
  </si>
  <si>
    <t xml:space="preserve">chq 0843042</t>
  </si>
  <si>
    <t xml:space="preserve">Paie indemnités aux membres de la commission mise en place dans le cadre des travaux des activités academique 2016-2017</t>
  </si>
  <si>
    <t xml:space="preserve">chq 0843043</t>
  </si>
  <si>
    <t xml:space="preserve">Paie desprimes dans le cadre des recettes relatifs aux divers actes délivrés du 1er trimestre 2018</t>
  </si>
  <si>
    <t xml:space="preserve">chq 0843045</t>
  </si>
  <si>
    <t xml:space="preserve">chq 0843046</t>
  </si>
  <si>
    <t xml:space="preserve">Paie desprimes dans le cadre des recettes relatifs aux divers actes délivrés du 2ème trimestre 2018</t>
  </si>
  <si>
    <t xml:space="preserve">chq 0843047</t>
  </si>
  <si>
    <t xml:space="preserve">chq 0843048</t>
  </si>
  <si>
    <t xml:space="preserve">Paie indemnités aux membres de la commission chargée d'organisation du seminaire de formation du personnel de l'EPAC</t>
  </si>
  <si>
    <t xml:space="preserve">Paie indemnités aux membres de la commission chargée du traitement des états de paiement aux differentes commissions mise sur pied à l'EPAC</t>
  </si>
  <si>
    <t xml:space="preserve">Frais d'inscription et de formt° versés en Septembre 2018</t>
  </si>
  <si>
    <t xml:space="preserve">Règlmt fact.N°11/18/DG/DE/DT/SP HQS d'une avance dans le cadre de demarrage des travaux de construction d'un bloc pédagogique de type R+2</t>
  </si>
  <si>
    <t xml:space="preserve">chq 0843050</t>
  </si>
  <si>
    <t xml:space="preserve">Chq 843051</t>
  </si>
  <si>
    <t xml:space="preserve">Prime mensuelle de sujétion et de communication. Octobre</t>
  </si>
  <si>
    <t xml:space="preserve">Règlmt fact.N°005/AI/SARL  pour la fourniture de tableau blan à marqueur</t>
  </si>
  <si>
    <t xml:space="preserve">Chq 843053</t>
  </si>
  <si>
    <t xml:space="preserve">Paiemt IPTS+VPS du mois de Septembre 2018</t>
  </si>
  <si>
    <t xml:space="preserve">chq C 011852</t>
  </si>
  <si>
    <t xml:space="preserve">Salaire du mois de Octobre des agents du CAP</t>
  </si>
  <si>
    <t xml:space="preserve">Paie d'heures d'enseignement en cours d'ingenieurs de conception Genie Civil</t>
  </si>
  <si>
    <t xml:space="preserve">Règlmt fact.N°1697-18  du solde pour la pause cafécocktail et déjeuner dans le cadre des 40 ans de l'EPAC</t>
  </si>
  <si>
    <t xml:space="preserve">chq C 011854</t>
  </si>
  <si>
    <t xml:space="preserve">chq 0843056</t>
  </si>
  <si>
    <t xml:space="preserve">Paie indemnités aux membres de la commission de suivi à l'ouverture des plis du dépouillement et de l'etude des offres dans le cadre de la construction d'un bâtiment à usage de toilettede développement de l'EPAC</t>
  </si>
  <si>
    <t xml:space="preserve">Règlmt fact.N°AC 0409/10/ABYDI/18  d'une avance pour les travaux de construction d'un bâtiment à usage de toilette publique au CAP</t>
  </si>
  <si>
    <t xml:space="preserve">chq 0843059</t>
  </si>
  <si>
    <t xml:space="preserve">Frais d'inscription et de formt° versés en Octobre 2018</t>
  </si>
  <si>
    <t xml:space="preserve">Règlmt fact.N°00777/DG/USS/18 pr le gardiennage et la surveillance du bâtiment CAP du mois de Septembre 18 </t>
  </si>
  <si>
    <t xml:space="preserve">Chq 843058</t>
  </si>
  <si>
    <t xml:space="preserve">Règlmt fact.N°00500/CB/EEM/01/18 pour la confection des lacostes dans le cadre des 40 ans de l'EPAC</t>
  </si>
  <si>
    <t xml:space="preserve">Chq 843060</t>
  </si>
  <si>
    <t xml:space="preserve">Règlmt fact.N°005A/SCSF/18 pour la la fourniture de carte d'invitation, de dépliant de mémorandum, de poster et des affiches dans le cadre des activités des 40 ans de l'EPAC</t>
  </si>
  <si>
    <t xml:space="preserve">Chq 843062</t>
  </si>
  <si>
    <t xml:space="preserve">Achat de dossiers d'appel d'offre</t>
  </si>
  <si>
    <t xml:space="preserve">Règlmt Fact . N°151/18  pour les travaux de reparation du système de climatisation du véhicule NISSAN PATROL N°AN 1928 RB du CAP</t>
  </si>
  <si>
    <t xml:space="preserve">Chq 843063</t>
  </si>
  <si>
    <t xml:space="preserve">chq 0843065</t>
  </si>
  <si>
    <t xml:space="preserve">Règlmt fact.N°00614/DG/USS/18 pr le gardiennage et la surveillance du bâtiment CAP du mois de Octobre 18 </t>
  </si>
  <si>
    <t xml:space="preserve">Chq 843066</t>
  </si>
  <si>
    <t xml:space="preserve">Règlmt fact.N°F14/TFG/18 du solde relatif à la mise en place d'un système informatique au CAP</t>
  </si>
  <si>
    <t xml:space="preserve">Chq 843067</t>
  </si>
  <si>
    <t xml:space="preserve">Paiemt IPTS+VPS du mois de Octobre 2018</t>
  </si>
  <si>
    <t xml:space="preserve">chq C 011836</t>
  </si>
  <si>
    <t xml:space="preserve">Paie d'heures d'enseignement en cours dmaster en microbiologie-Immunologie du 1er semestre 2016-2017</t>
  </si>
  <si>
    <t xml:space="preserve">Salaire du mois de Novembre des agents du CAP</t>
  </si>
  <si>
    <t xml:space="preserve">Paie d'heures d'enseignement aux enseignants dans le cadre du 2ème regroupement 2018</t>
  </si>
  <si>
    <t xml:space="preserve">Règlmt fact.N°0450/AC/18  pour la fourniture des pièces de rechange des copieurs du CAP</t>
  </si>
  <si>
    <t xml:space="preserve">Chq 843074</t>
  </si>
  <si>
    <t xml:space="preserve">Règlmt fact.N° MO 235/18/YN  pour la commande des reactifs et consommables de laboratoire</t>
  </si>
  <si>
    <t xml:space="preserve">Chq 843075</t>
  </si>
  <si>
    <t xml:space="preserve">Paie indemnités aux membres de la commission dans le cadre des travaux de recouvrement des recettes au CAP</t>
  </si>
  <si>
    <t xml:space="preserve">Paie indemnités aux membres dans le cadre de la supervision des activités du 2ème regroupement</t>
  </si>
  <si>
    <t xml:space="preserve">Chq 843076</t>
  </si>
  <si>
    <t xml:space="preserve">31/18/11</t>
  </si>
  <si>
    <t xml:space="preserve">Règlmt fact.N° 18  pour  achat de boissons</t>
  </si>
  <si>
    <t xml:space="preserve">Chq 843064</t>
  </si>
  <si>
    <t xml:space="preserve">Frais d'inscription et de formt° versés en Novembre 2018</t>
  </si>
  <si>
    <t xml:space="preserve">Paie indemnités aux membres dans le cadre de la supervision, l'entretien des lieux et du soutien technique des activités du 2ème regroupement</t>
  </si>
  <si>
    <t xml:space="preserve">Chq 843078</t>
  </si>
  <si>
    <t xml:space="preserve">Chq 843079</t>
  </si>
  <si>
    <t xml:space="preserve">chq 0843080</t>
  </si>
  <si>
    <t xml:space="preserve">03//12/18</t>
  </si>
  <si>
    <t xml:space="preserve">Prime mensuelle de sujétion et de communication. Décembre</t>
  </si>
  <si>
    <t xml:space="preserve">Paie d'heures de vacation aux enseignants en cours présentiels</t>
  </si>
  <si>
    <t xml:space="preserve">Paie des indemnités dans le cadre de l'organisation des activités du 2ème regroupement 2018</t>
  </si>
  <si>
    <t xml:space="preserve">Paie des indemnités  des travaux de déliberation annuelle en formation à distance </t>
  </si>
  <si>
    <t xml:space="preserve">Règlmt fact.N° 034/DG/DAF/SA/18 du 2ème acompte  dans le cadre de l'elaboration de la stratégie de développement de l'EPAC</t>
  </si>
  <si>
    <t xml:space="preserve">chq 0843082</t>
  </si>
  <si>
    <t xml:space="preserve">Prise en charge dans le cadre de la comminiqué radiodifusé de la rentrée academique 208-209 à l'EPAC</t>
  </si>
  <si>
    <t xml:space="preserve">chq 0843083</t>
  </si>
  <si>
    <t xml:space="preserve">Paie des indemnités  des travaux de préparation de déliberation annuelle en formation à distance </t>
  </si>
  <si>
    <t xml:space="preserve">Paie desprimes dans le cadre des recettes relatifs aux divers actes délivrés du 3ème trimestre 2018</t>
  </si>
  <si>
    <t xml:space="preserve">chq 0843084</t>
  </si>
  <si>
    <t xml:space="preserve">chq 0843085</t>
  </si>
  <si>
    <t xml:space="preserve">Paiemt IPTS+VPS du mois de Novembre 2018</t>
  </si>
  <si>
    <t xml:space="preserve">chq C 011815</t>
  </si>
  <si>
    <t xml:space="preserve">Paie indemnités aux membres de la commission chargée d'organisation de la semaine du monde professionnel de l'UAC à l'EPAC</t>
  </si>
  <si>
    <t xml:space="preserve">Salaire du mois de Décembre des agents du CAP</t>
  </si>
  <si>
    <t xml:space="preserve">Règlmt fact.N° AC 0300/10/ABYDI/ pour achat de boissons</t>
  </si>
  <si>
    <t xml:space="preserve">chq 0843087</t>
  </si>
  <si>
    <t xml:space="preserve">TOTAL DES MOUVEMENTS</t>
  </si>
  <si>
    <t xml:space="preserve">SOLDE  AU 31/12/2018</t>
  </si>
  <si>
    <r>
      <rPr>
        <sz val="11"/>
        <color theme="1"/>
        <rFont val="Calibri"/>
        <family val="0"/>
        <charset val="134"/>
      </rPr>
      <t xml:space="preserve">AGOSSOUVO </t>
    </r>
    <r>
      <rPr>
        <sz val="11"/>
        <color theme="1"/>
        <rFont val="Calibri"/>
        <family val="0"/>
        <charset val="1"/>
      </rPr>
      <t xml:space="preserve">Charlemagne</t>
    </r>
  </si>
  <si>
    <r>
      <rPr>
        <sz val="11"/>
        <color theme="1"/>
        <rFont val="Calibri"/>
        <family val="0"/>
        <charset val="134"/>
      </rPr>
      <t xml:space="preserve">AKOUTOU </t>
    </r>
    <r>
      <rPr>
        <sz val="11"/>
        <color theme="1"/>
        <rFont val="Calibri"/>
        <family val="0"/>
        <charset val="1"/>
      </rPr>
      <t xml:space="preserve">Mahugnon Fabrice</t>
    </r>
  </si>
  <si>
    <r>
      <rPr>
        <sz val="11"/>
        <color theme="1"/>
        <rFont val="Calibri"/>
        <family val="0"/>
        <charset val="134"/>
      </rPr>
      <t xml:space="preserve">HOUNGLOBO </t>
    </r>
    <r>
      <rPr>
        <sz val="11"/>
        <color theme="1"/>
        <rFont val="Calibri"/>
        <family val="0"/>
        <charset val="1"/>
      </rPr>
      <t xml:space="preserve">Egounougbé Ignace</t>
    </r>
  </si>
  <si>
    <r>
      <rPr>
        <sz val="11"/>
        <color theme="1"/>
        <rFont val="Calibri"/>
        <family val="0"/>
        <charset val="134"/>
      </rPr>
      <t xml:space="preserve">HOUNKONNOU </t>
    </r>
    <r>
      <rPr>
        <sz val="11"/>
        <color theme="1"/>
        <rFont val="Calibri"/>
        <family val="0"/>
        <charset val="1"/>
      </rPr>
      <t xml:space="preserve">Althonet Alfred</t>
    </r>
  </si>
  <si>
    <r>
      <rPr>
        <sz val="11"/>
        <color theme="1"/>
        <rFont val="Calibri"/>
        <family val="0"/>
        <charset val="134"/>
      </rPr>
      <t xml:space="preserve">KINKPONWE </t>
    </r>
    <r>
      <rPr>
        <sz val="11"/>
        <color theme="1"/>
        <rFont val="Calibri"/>
        <family val="0"/>
        <charset val="1"/>
      </rPr>
      <t xml:space="preserve">Kofi Bienvenu</t>
    </r>
  </si>
  <si>
    <r>
      <rPr>
        <sz val="11"/>
        <color theme="1"/>
        <rFont val="Calibri"/>
        <family val="0"/>
        <charset val="134"/>
      </rPr>
      <t xml:space="preserve">KOUKPODE </t>
    </r>
    <r>
      <rPr>
        <sz val="11"/>
        <color theme="1"/>
        <rFont val="Calibri"/>
        <family val="0"/>
        <charset val="1"/>
      </rPr>
      <t xml:space="preserve">Ladicilas</t>
    </r>
  </si>
  <si>
    <r>
      <rPr>
        <sz val="11"/>
        <color theme="1"/>
        <rFont val="Calibri"/>
        <family val="0"/>
        <charset val="134"/>
      </rPr>
      <t xml:space="preserve">MAHOUNON </t>
    </r>
    <r>
      <rPr>
        <sz val="11"/>
        <color theme="1"/>
        <rFont val="Calibri"/>
        <family val="0"/>
        <charset val="1"/>
      </rPr>
      <t xml:space="preserve">Gbèdolo Charitas Jorfride Chimène</t>
    </r>
  </si>
  <si>
    <r>
      <rPr>
        <sz val="11"/>
        <color theme="1"/>
        <rFont val="Calibri"/>
        <family val="0"/>
        <charset val="134"/>
      </rPr>
      <t xml:space="preserve">TOHOZIN </t>
    </r>
    <r>
      <rPr>
        <sz val="11"/>
        <color theme="1"/>
        <rFont val="Calibri"/>
        <family val="0"/>
        <charset val="1"/>
      </rPr>
      <t xml:space="preserve">Cicca Opportune</t>
    </r>
  </si>
  <si>
    <r>
      <rPr>
        <sz val="11"/>
        <color theme="1"/>
        <rFont val="Calibri"/>
        <family val="0"/>
        <charset val="134"/>
      </rPr>
      <t xml:space="preserve">GNONLONFOUN </t>
    </r>
    <r>
      <rPr>
        <sz val="11"/>
        <color theme="1"/>
        <rFont val="Calibri"/>
        <family val="0"/>
        <charset val="1"/>
      </rPr>
      <t xml:space="preserve">Tovidakou Sèdogbo Junior Alain</t>
    </r>
  </si>
  <si>
    <r>
      <rPr>
        <sz val="11"/>
        <color theme="1"/>
        <rFont val="Calibri"/>
        <family val="0"/>
        <charset val="134"/>
      </rPr>
      <t xml:space="preserve">GOUNDJO </t>
    </r>
    <r>
      <rPr>
        <sz val="11"/>
        <color theme="1"/>
        <rFont val="Calibri"/>
        <family val="0"/>
        <charset val="1"/>
      </rPr>
      <t xml:space="preserve">Yélognissè Restarick</t>
    </r>
  </si>
  <si>
    <r>
      <rPr>
        <sz val="11"/>
        <color theme="1"/>
        <rFont val="Calibri"/>
        <family val="0"/>
        <charset val="134"/>
      </rPr>
      <t xml:space="preserve">SOMADOGANHOU </t>
    </r>
    <r>
      <rPr>
        <sz val="11"/>
        <color theme="1"/>
        <rFont val="Calibri"/>
        <family val="0"/>
        <charset val="1"/>
      </rPr>
      <t xml:space="preserve">José</t>
    </r>
  </si>
  <si>
    <r>
      <rPr>
        <sz val="11"/>
        <color theme="1"/>
        <rFont val="Calibri"/>
        <family val="0"/>
        <charset val="134"/>
      </rPr>
      <t xml:space="preserve">AKANNI  </t>
    </r>
    <r>
      <rPr>
        <sz val="11"/>
        <color theme="1"/>
        <rFont val="Calibri"/>
        <family val="0"/>
        <charset val="1"/>
      </rPr>
      <t xml:space="preserve">Wahab</t>
    </r>
  </si>
  <si>
    <r>
      <rPr>
        <sz val="11"/>
        <color theme="1"/>
        <rFont val="Calibri"/>
        <family val="0"/>
        <charset val="134"/>
      </rPr>
      <t xml:space="preserve">HOUNTCHEGNON </t>
    </r>
    <r>
      <rPr>
        <sz val="11"/>
        <color theme="1"/>
        <rFont val="Calibri"/>
        <family val="0"/>
        <charset val="1"/>
      </rPr>
      <t xml:space="preserve">Krystel Carolle S.</t>
    </r>
  </si>
  <si>
    <t xml:space="preserve">NOM ET PRENOMS</t>
  </si>
  <si>
    <t xml:space="preserve">AHOUANSOU Aonma Einsten Basile</t>
  </si>
  <si>
    <t xml:space="preserve">AWAKOU Lucienne</t>
  </si>
  <si>
    <t xml:space="preserve">MAHINOU Augustin</t>
  </si>
  <si>
    <t xml:space="preserve">                                                                        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</si>
  <si>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SCIENCE AGRICOLE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</si>
  <si>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GESTION DE L'ENVIRONNEMENT</t>
    </r>
  </si>
  <si>
    <t xml:space="preserve">3ème Année</t>
  </si>
  <si>
    <t xml:space="preserve">AHOLOUKPE Mindessè Ehouédé Edwige</t>
  </si>
  <si>
    <t xml:space="preserve">AGOUSSIN Hippolyte</t>
  </si>
  <si>
    <t xml:space="preserve">OGUIDI I. Arnauld Rock</t>
  </si>
  <si>
    <t xml:space="preserve">DANHIN Sewanou Richard</t>
  </si>
  <si>
    <t xml:space="preserve">GANSE H. Florentin</t>
  </si>
  <si>
    <t xml:space="preserve">HAGNONNOU Daniel</t>
  </si>
  <si>
    <t xml:space="preserve">HESSOU A. Sophie</t>
  </si>
  <si>
    <t xml:space="preserve">IDRISSOU Aboudou Issifou</t>
  </si>
  <si>
    <t xml:space="preserve">KANHONOU D.M.B. Serge</t>
  </si>
  <si>
    <t xml:space="preserve">KOUKPO Y. Marius</t>
  </si>
  <si>
    <t xml:space="preserve">KPATCHA A Landry</t>
  </si>
  <si>
    <t xml:space="preserve">ROMAO Romanus Alban</t>
  </si>
  <si>
    <t xml:space="preserve">AGBANZOUME Valentine</t>
  </si>
  <si>
    <t xml:space="preserve">AHOUANSOU Albert Mahoutondji</t>
  </si>
  <si>
    <t xml:space="preserve">ALOWANOU D. Armel Giresse</t>
  </si>
  <si>
    <t xml:space="preserve">ATCHEKPE Blanche</t>
  </si>
  <si>
    <t xml:space="preserve">COSSI Rachid</t>
  </si>
  <si>
    <t xml:space="preserve">EDOH M. Marius Jeovite</t>
  </si>
  <si>
    <t xml:space="preserve">GNIGLA Pélagie Y. </t>
  </si>
  <si>
    <t xml:space="preserve">HOUNHUI S. Gisèle</t>
  </si>
  <si>
    <t xml:space="preserve">HOUNTON Ernest Nestor</t>
  </si>
  <si>
    <t xml:space="preserve">LAFIA ALI Ibrahim</t>
  </si>
  <si>
    <t xml:space="preserve">N'TCHA N'KPATI Nicolas</t>
  </si>
  <si>
    <t xml:space="preserve">OROU SOUA Icham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</si>
  <si>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VEGETALE</t>
    </r>
  </si>
  <si>
    <t xml:space="preserve">4ème Année</t>
  </si>
  <si>
    <t xml:space="preserve">CAPO Wenceslas Mahougbé</t>
  </si>
  <si>
    <t xml:space="preserve">ABDOU HASSAN Idrissou</t>
  </si>
  <si>
    <t xml:space="preserve">AIBATIN Alexis</t>
  </si>
  <si>
    <t xml:space="preserve">AKPO Naomie Pulcherie</t>
  </si>
  <si>
    <t xml:space="preserve">ALPHA BIO Mikaila</t>
  </si>
  <si>
    <t xml:space="preserve">BIO OURE Fadel</t>
  </si>
  <si>
    <t xml:space="preserve">COUKPO Damien</t>
  </si>
  <si>
    <t xml:space="preserve">DODO ISSA Aminou</t>
  </si>
  <si>
    <t xml:space="preserve">DOUHAKOUA Sambieni</t>
  </si>
  <si>
    <t xml:space="preserve">GANDAHO J. Christian</t>
  </si>
  <si>
    <t xml:space="preserve">GNITANGNI A. Emilie</t>
  </si>
  <si>
    <t xml:space="preserve">HANGBE MAX Ulrich G.</t>
  </si>
  <si>
    <t xml:space="preserve">HOUNTONDJI Ernest</t>
  </si>
  <si>
    <t xml:space="preserve">LOKONON Wilfried Codjo T.</t>
  </si>
  <si>
    <t xml:space="preserve">MADOUGOU Moumouni</t>
  </si>
  <si>
    <t xml:space="preserve">MOUNIROU Widad A. M.</t>
  </si>
  <si>
    <t xml:space="preserve">OYENIRAN Michel Kolawolé</t>
  </si>
  <si>
    <t xml:space="preserve">SANNI Zalikatou</t>
  </si>
  <si>
    <t xml:space="preserve">SENON M. Bienvenu</t>
  </si>
  <si>
    <t xml:space="preserve">SINDEMION C. Flore</t>
  </si>
  <si>
    <t xml:space="preserve">TOHOZIN Hector Eustache</t>
  </si>
  <si>
    <t xml:space="preserve">TOKOURA LAFIA Kora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</si>
  <si>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CIVIL</t>
    </r>
  </si>
  <si>
    <t xml:space="preserve">ADAM ABDOU Fassai</t>
  </si>
  <si>
    <t xml:space="preserve">ADONOU Romaric Fabien</t>
  </si>
  <si>
    <t xml:space="preserve">AGBEDJEKUN Samson Amos M.</t>
  </si>
  <si>
    <t xml:space="preserve">ANIWANOU B. Trésor</t>
  </si>
  <si>
    <t xml:space="preserve">BANI SAMBO Abdoulaye</t>
  </si>
  <si>
    <t xml:space="preserve">DADDAH Damase (redblt)</t>
  </si>
  <si>
    <t xml:space="preserve">DOSSOU HOUEHANOU  Raoul Césaire</t>
  </si>
  <si>
    <t xml:space="preserve">HOUINSA D.  Christian</t>
  </si>
  <si>
    <t xml:space="preserve">IMOROU Amidalaha</t>
  </si>
  <si>
    <t xml:space="preserve">MESSOUNA Sadikou</t>
  </si>
  <si>
    <t xml:space="preserve">NASSIROU Falilatou</t>
  </si>
  <si>
    <t xml:space="preserve">NOUNAGNON J. Serge</t>
  </si>
  <si>
    <t xml:space="preserve">SAGBO K. Isaac</t>
  </si>
  <si>
    <t xml:space="preserve">BINOI Vivien M.</t>
  </si>
  <si>
    <t xml:space="preserve">AHONSOU ATSOU Donatien (redblt)</t>
  </si>
  <si>
    <t xml:space="preserve">AKOFFODJI Contant Rollant (redblt)</t>
  </si>
  <si>
    <t xml:space="preserve">ASSIFA DRAMANE Zaliatou(redblt)</t>
  </si>
  <si>
    <t xml:space="preserve">GBEMETONOU  T. Vivien Rodrigue</t>
  </si>
  <si>
    <t xml:space="preserve">GBONSOU T. Sylvère (redblt)</t>
  </si>
  <si>
    <t xml:space="preserve">KOUASSIVI HOUNKPATIN Hilarion(redblt)</t>
  </si>
  <si>
    <t xml:space="preserve">MABOUDOU M. A. Badiou(redblt)</t>
  </si>
  <si>
    <t xml:space="preserve">OLOUKOU Serges(redblt)</t>
  </si>
  <si>
    <t xml:space="preserve">YOKOSSI KOUANDETE Tchowe(redblt)</t>
  </si>
  <si>
    <t xml:space="preserve">TOGBE Laurent Christian</t>
  </si>
  <si>
    <t xml:space="preserve">ADEH Pacome</t>
  </si>
  <si>
    <t xml:space="preserve">AHOUANGANSI Florentin</t>
  </si>
  <si>
    <t xml:space="preserve">AKOHOU Hospice</t>
  </si>
  <si>
    <t xml:space="preserve">AKOUEDENOUDJE Retis L. S.</t>
  </si>
  <si>
    <t xml:space="preserve">ALAPINI A. Rovelime</t>
  </si>
  <si>
    <t xml:space="preserve">ASSANGBE Nadège P. Carmène</t>
  </si>
  <si>
    <t xml:space="preserve">AZELOKONON S. O. Amour </t>
  </si>
  <si>
    <t xml:space="preserve">BANOUWIN Limombi Rodrigue</t>
  </si>
  <si>
    <t xml:space="preserve">BATCHO Fiacre Fructueux B.</t>
  </si>
  <si>
    <t xml:space="preserve">BIAOU Bienvenue </t>
  </si>
  <si>
    <t xml:space="preserve">GBESSO René</t>
  </si>
  <si>
    <t xml:space="preserve">HETCHILI Habib B. Hyacinthe</t>
  </si>
  <si>
    <t xml:space="preserve">HOUENOU Aimé Jésugnon</t>
  </si>
  <si>
    <t xml:space="preserve">HOUNKONNOU M. Emmanuel</t>
  </si>
  <si>
    <t xml:space="preserve">HOUNSA Astrid S. N.</t>
  </si>
  <si>
    <t xml:space="preserve">KOUAVO Y. Jean Baptiste</t>
  </si>
  <si>
    <t xml:space="preserve">KOUVEGLO Alban Romeo</t>
  </si>
  <si>
    <t xml:space="preserve">MAHINOU KODJO Enyonam</t>
  </si>
  <si>
    <t xml:space="preserve">NAMIMA Claver T. </t>
  </si>
  <si>
    <t xml:space="preserve">OUANTA Philippe </t>
  </si>
  <si>
    <t xml:space="preserve">TCHARO Yokossi</t>
  </si>
  <si>
    <t xml:space="preserve">HOUNSOU Adolphe</t>
  </si>
  <si>
    <t xml:space="preserve">KOUTON Adolphe Raoul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</si>
  <si>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ELECTRIQUE</t>
    </r>
  </si>
  <si>
    <t xml:space="preserve">ADIKPETO C. B. Crespin</t>
  </si>
  <si>
    <t xml:space="preserve">ADJOVI Ange Gildas</t>
  </si>
  <si>
    <t xml:space="preserve">AIZANNON  François</t>
  </si>
  <si>
    <t xml:space="preserve">CODO Eusèbe Roch</t>
  </si>
  <si>
    <t xml:space="preserve">DASSI Geneviève</t>
  </si>
  <si>
    <t xml:space="preserve">DATONDJI Eusèbe Hyppolite</t>
  </si>
  <si>
    <t xml:space="preserve">DOSSA VODJO Daniel</t>
  </si>
  <si>
    <t xml:space="preserve">DOVONOU Debora K. Bernadette</t>
  </si>
  <si>
    <t xml:space="preserve">EDOH K. G. Ambroise</t>
  </si>
  <si>
    <t xml:space="preserve">GODAN A Fréderic</t>
  </si>
  <si>
    <t xml:space="preserve">HOUEDANOU S. Berthe</t>
  </si>
  <si>
    <t xml:space="preserve">KOUDAFADE Y. Mathieu</t>
  </si>
  <si>
    <t xml:space="preserve">KINKPE Gildas Didier</t>
  </si>
  <si>
    <t xml:space="preserve">M'PO Dinté</t>
  </si>
  <si>
    <t xml:space="preserve">NAWANA Constant</t>
  </si>
  <si>
    <t xml:space="preserve">SOUNON LAMISSI Véronique</t>
  </si>
  <si>
    <t xml:space="preserve">TOHINLO Yves</t>
  </si>
  <si>
    <t xml:space="preserve">ZANNOU Eugène</t>
  </si>
  <si>
    <t xml:space="preserve">ADJAKPE Codjo Paulin</t>
  </si>
  <si>
    <t xml:space="preserve">ADJANOHOUN M. . Zoulkifl AKAMBI</t>
  </si>
  <si>
    <t xml:space="preserve">AGBADJAGAN Victor Marcel</t>
  </si>
  <si>
    <t xml:space="preserve">ATCHA NOUGBOGNON Elie</t>
  </si>
  <si>
    <t xml:space="preserve">BABA ABDOU Halidou</t>
  </si>
  <si>
    <t xml:space="preserve">CHOGOLOU Bidjokè Yvonne</t>
  </si>
  <si>
    <t xml:space="preserve">DAKOSSI Constant</t>
  </si>
  <si>
    <t xml:space="preserve">DJABOUTOUBOUTOU Mansourou</t>
  </si>
  <si>
    <t xml:space="preserve">EZROU Appolinaire Koffi</t>
  </si>
  <si>
    <t xml:space="preserve">FANDOHAN S. Donald</t>
  </si>
  <si>
    <t xml:space="preserve">FATON Ossanou Come</t>
  </si>
  <si>
    <t xml:space="preserve">GBENAHOU Vinongbe Placide</t>
  </si>
  <si>
    <t xml:space="preserve">GBETOUNOU K. Aubin</t>
  </si>
  <si>
    <t xml:space="preserve">HOUNGUE V. Dénis</t>
  </si>
  <si>
    <t xml:space="preserve">KITIHOUN Michel </t>
  </si>
  <si>
    <t xml:space="preserve">TCHOUMADO TOHOSSI Rodolphe</t>
  </si>
  <si>
    <t xml:space="preserve">TOGBE William </t>
  </si>
  <si>
    <t xml:space="preserve">AHONOUKOUN Médard </t>
  </si>
  <si>
    <t xml:space="preserve">SAÏZONOU Narcisse S.</t>
  </si>
  <si>
    <t xml:space="preserve">TOTONGNON AGOSSOU René Jules </t>
  </si>
  <si>
    <t xml:space="preserve">TOUNGAKOUAGOU K. Sokoka </t>
  </si>
  <si>
    <t xml:space="preserve">YEMADJRO Juste</t>
  </si>
  <si>
    <t xml:space="preserve">AFFOUDJI DJIGBO Louis</t>
  </si>
  <si>
    <t xml:space="preserve">BOKOSSA Genevieve</t>
  </si>
  <si>
    <t xml:space="preserve">DOHONOU Delphin</t>
  </si>
  <si>
    <t xml:space="preserve">GBODO D. Valerie</t>
  </si>
  <si>
    <t xml:space="preserve">GNANGUESSY Renaud</t>
  </si>
  <si>
    <t xml:space="preserve">KODJO Dénise Gbèdossou</t>
  </si>
  <si>
    <t xml:space="preserve">LATOUNDJI Laetitia Annie I. Carolle</t>
  </si>
  <si>
    <t xml:space="preserve">LEKE Viros Doudji Bariou</t>
  </si>
  <si>
    <t xml:space="preserve">SANNI ALAO Ramanou A.</t>
  </si>
  <si>
    <t xml:space="preserve">VIAINON H. A. Felicité</t>
  </si>
  <si>
    <t xml:space="preserve">ADOLIGBE Aubierge</t>
  </si>
  <si>
    <t xml:space="preserve">AGOHOUNDJE E. Hector Espero</t>
  </si>
  <si>
    <t xml:space="preserve">ALLADAYE Sènan Clotilde</t>
  </si>
  <si>
    <t xml:space="preserve">HODONOU A. Robert</t>
  </si>
  <si>
    <t xml:space="preserve">HOUNDJI O. Raoul K.</t>
  </si>
  <si>
    <t xml:space="preserve">ISSIFOU B. Abdoulaye</t>
  </si>
  <si>
    <t xml:space="preserve">KIATTI T. Crespin</t>
  </si>
  <si>
    <t xml:space="preserve">LANLENOU Elvire L. M.</t>
  </si>
  <si>
    <t xml:space="preserve">MAHOUNON Laure Semevo</t>
  </si>
  <si>
    <t xml:space="preserve">MARTINS K. Romaric</t>
  </si>
  <si>
    <t xml:space="preserve">MEDEBAHO M. Dieudonné</t>
  </si>
  <si>
    <t xml:space="preserve">NOUDAMADJO Yollande M. W.</t>
  </si>
  <si>
    <t xml:space="preserve">OTCHOUN D. Chrysante C.</t>
  </si>
  <si>
    <t xml:space="preserve">SOGNON Juliette</t>
  </si>
  <si>
    <t xml:space="preserve">SOSSOU D. V. Pamphile</t>
  </si>
  <si>
    <t xml:space="preserve">WANTOFIO Corneille</t>
  </si>
  <si>
    <t xml:space="preserve">KPANOU Rosalie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</si>
  <si>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ANALYSES BIOMEDICALES</t>
    </r>
  </si>
  <si>
    <t xml:space="preserve">AGBADJA O. Claurie Ashley</t>
  </si>
  <si>
    <t xml:space="preserve">AKOTEGNON G. Mireille Mathilde</t>
  </si>
  <si>
    <t xml:space="preserve">ASSOUWAN Alice</t>
  </si>
  <si>
    <t xml:space="preserve">BARRA Faycal</t>
  </si>
  <si>
    <t xml:space="preserve">CAKPO Comlan Gérôme</t>
  </si>
  <si>
    <t xml:space="preserve">DADJO D. H. Evrard</t>
  </si>
  <si>
    <t xml:space="preserve">GBAGUIDI S. Basile</t>
  </si>
  <si>
    <t xml:space="preserve">HOUNGNON Dorothée</t>
  </si>
  <si>
    <t xml:space="preserve">NOUGBODOHOUE Aristide</t>
  </si>
  <si>
    <t xml:space="preserve">OKE Finangnon Magloire</t>
  </si>
  <si>
    <t xml:space="preserve">TAMOU Nehemie</t>
  </si>
  <si>
    <t xml:space="preserve">TOSSA Monsoyi Reine</t>
  </si>
  <si>
    <t xml:space="preserve">ZOHOUN G. Sylvie</t>
  </si>
  <si>
    <t xml:space="preserve">YANTIKOUA Sophie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</si>
  <si>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BIO HYGIENNE ET SECURITE SANITAIRE</t>
    </r>
  </si>
  <si>
    <t xml:space="preserve">ABISSI A.A.Diane</t>
  </si>
  <si>
    <t xml:space="preserve">ADAGLO Abdon</t>
  </si>
  <si>
    <t xml:space="preserve">ADELAKOUN Mamert</t>
  </si>
  <si>
    <t xml:space="preserve">ADJAGNISSODE Toussaint</t>
  </si>
  <si>
    <t xml:space="preserve">ADJATAN A. Y. Hermine</t>
  </si>
  <si>
    <t xml:space="preserve">AGUIAR ANNY Monrenike</t>
  </si>
  <si>
    <t xml:space="preserve">ALIA Bernis H. A. M.</t>
  </si>
  <si>
    <t xml:space="preserve">ANIAMBOSSOU Eudoxie A.A.S.</t>
  </si>
  <si>
    <t xml:space="preserve">AZANMASSO Boniface</t>
  </si>
  <si>
    <t xml:space="preserve">BA-KASSIN Marceline</t>
  </si>
  <si>
    <t xml:space="preserve">BAYI Freitas</t>
  </si>
  <si>
    <t xml:space="preserve">DAKPOGAN SESSI Leonie</t>
  </si>
  <si>
    <t xml:space="preserve">DAVO Kevin François D'Assise</t>
  </si>
  <si>
    <t xml:space="preserve">DJOSSOU A. Ayissatou</t>
  </si>
  <si>
    <t xml:space="preserve">DOSSOUVI G.R.Sponsa</t>
  </si>
  <si>
    <t xml:space="preserve">FAGLA Gwaladys M.A.M.</t>
  </si>
  <si>
    <t xml:space="preserve">FAMAGA Philomène A.</t>
  </si>
  <si>
    <t xml:space="preserve">GBEYETIN SETONDJI Cyprien</t>
  </si>
  <si>
    <t xml:space="preserve">HOUNTIKPO Sessito Sylvie B.</t>
  </si>
  <si>
    <t xml:space="preserve">HOUNTONDJI S. Rosette</t>
  </si>
  <si>
    <t xml:space="preserve">KPONON TOCHEME Irène Adeline</t>
  </si>
  <si>
    <t xml:space="preserve">LIAMIDI Raïmatou</t>
  </si>
  <si>
    <t xml:space="preserve">LOKONON Laurette</t>
  </si>
  <si>
    <t xml:space="preserve">MELIHO Irené Sabine</t>
  </si>
  <si>
    <t xml:space="preserve">MIDOKPO H.B.Laétitia</t>
  </si>
  <si>
    <t xml:space="preserve">MOUMOUNI Daouda</t>
  </si>
  <si>
    <t xml:space="preserve">NOUHOUMON Fitila Clément</t>
  </si>
  <si>
    <t xml:space="preserve">ROINGUEM MIDANA Berthe</t>
  </si>
  <si>
    <t xml:space="preserve">SAÏZONOU Rosemonde</t>
  </si>
  <si>
    <t xml:space="preserve">SALAMI Azizath</t>
  </si>
  <si>
    <t xml:space="preserve">SAVI Irene</t>
  </si>
  <si>
    <t xml:space="preserve">SEMEVO Nadine Armande A.</t>
  </si>
  <si>
    <t xml:space="preserve">SOGLO Fernandine Justine</t>
  </si>
  <si>
    <t xml:space="preserve">VIDJANNAGNI S. Victor</t>
  </si>
  <si>
    <t xml:space="preserve">VIGNON Valerie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</si>
  <si>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BIO HYGIENNE ET SECURITE SANITAIRE</t>
    </r>
  </si>
  <si>
    <t xml:space="preserve">ABDOULAYE F. Tamimou</t>
  </si>
  <si>
    <t xml:space="preserve">ABOGOURIN W. Fatimata</t>
  </si>
  <si>
    <t xml:space="preserve">AGBOWAI B. Armelle</t>
  </si>
  <si>
    <t xml:space="preserve">AHOUANDJINOU Romea</t>
  </si>
  <si>
    <t xml:space="preserve">AHOUANNOU Enagnon Jocelyne</t>
  </si>
  <si>
    <t xml:space="preserve">AHOYO J. S. Paulette Sylvie</t>
  </si>
  <si>
    <t xml:space="preserve">ALINGO AYABA Irene Solange</t>
  </si>
  <si>
    <t xml:space="preserve">ALLE K. Didier</t>
  </si>
  <si>
    <t xml:space="preserve">ALTINI Foussena </t>
  </si>
  <si>
    <t xml:space="preserve">AMOUSSOU Chantale Christiane</t>
  </si>
  <si>
    <t xml:space="preserve">ANATO Francky</t>
  </si>
  <si>
    <t xml:space="preserve">ASSAH AGBOMADJI Etienne</t>
  </si>
  <si>
    <t xml:space="preserve">ASSAN Mesmin</t>
  </si>
  <si>
    <t xml:space="preserve">ATIOUKPE AFFOUDJI S.C. Leonard</t>
  </si>
  <si>
    <t xml:space="preserve">ATTIBA C. Wilfrief</t>
  </si>
  <si>
    <t xml:space="preserve">BADOU A. S. R. Chantal</t>
  </si>
  <si>
    <t xml:space="preserve">BATCHO A. Lucienne</t>
  </si>
  <si>
    <t xml:space="preserve">BEHANZIN Josiane Bai Nadine</t>
  </si>
  <si>
    <t xml:space="preserve">BIO ADAM Raliatou</t>
  </si>
  <si>
    <t xml:space="preserve">BOSSOU S. Aimé Justin</t>
  </si>
  <si>
    <t xml:space="preserve">BOTCHI C. Alselme</t>
  </si>
  <si>
    <t xml:space="preserve">DAOUDA Salamatou</t>
  </si>
  <si>
    <t xml:space="preserve">DE SOUZA O. Judith</t>
  </si>
  <si>
    <t xml:space="preserve">DEGBELO Y. Nadege Carine</t>
  </si>
  <si>
    <t xml:space="preserve">EGOUNLETY SARA Oluwa Cheyi</t>
  </si>
  <si>
    <t xml:space="preserve">GAÏ Martine</t>
  </si>
  <si>
    <t xml:space="preserve">GBAGUIDI Doris</t>
  </si>
  <si>
    <t xml:space="preserve">GBEGBE Myrlène</t>
  </si>
  <si>
    <t xml:space="preserve">GBEMANON Videva Lydie</t>
  </si>
  <si>
    <t xml:space="preserve">GBENOU Elsie Paula</t>
  </si>
  <si>
    <t xml:space="preserve">GBETO Laure AMADJI</t>
  </si>
  <si>
    <t xml:space="preserve">GNONKE Medard Comlan</t>
  </si>
  <si>
    <t xml:space="preserve">GOUVI A. Wilfried</t>
  </si>
  <si>
    <t xml:space="preserve">HENRY Faïth AYODELE M.</t>
  </si>
  <si>
    <t xml:space="preserve">HOUNSA S. Nadine</t>
  </si>
  <si>
    <t xml:space="preserve">HOUNTONGBE F. Douce Gloria</t>
  </si>
  <si>
    <t xml:space="preserve">KLELE G. Christine</t>
  </si>
  <si>
    <t xml:space="preserve">KOUASSI AMIN Louise Fideline</t>
  </si>
  <si>
    <t xml:space="preserve">KOUTCHIKA Tanagnon Olga</t>
  </si>
  <si>
    <t xml:space="preserve">LAGNIKA Yazid Akin-Ola</t>
  </si>
  <si>
    <t xml:space="preserve">LIMA Lucine Sandrine</t>
  </si>
  <si>
    <t xml:space="preserve">MAMADOU ODJO Yvette Tatiana</t>
  </si>
  <si>
    <t xml:space="preserve">MEHOUNOU Yemalin Edith</t>
  </si>
  <si>
    <t xml:space="preserve">MIGAN Francine Almandine Y. </t>
  </si>
  <si>
    <t xml:space="preserve">MIGAN GANDONOU T. Edwige </t>
  </si>
  <si>
    <t xml:space="preserve">OLIKOYI  ADUKE Oladjobi Y. O.</t>
  </si>
  <si>
    <t xml:space="preserve">OREKAN ADEYEMI Adjikè Charlotte</t>
  </si>
  <si>
    <t xml:space="preserve">OREKAN R. K. Mariette</t>
  </si>
  <si>
    <t xml:space="preserve">PIO Adiatou</t>
  </si>
  <si>
    <t xml:space="preserve">PORIMATE N. Dieudonné</t>
  </si>
  <si>
    <t xml:space="preserve">SEFOU Moheimed</t>
  </si>
  <si>
    <t xml:space="preserve">SOLEVO Francois</t>
  </si>
  <si>
    <t xml:space="preserve">TOHOUE Nestor</t>
  </si>
  <si>
    <t xml:space="preserve">TOMAVO Mireille Rachelle</t>
  </si>
  <si>
    <t xml:space="preserve">TOTTIN GBETONDJI Frejus</t>
  </si>
  <si>
    <t xml:space="preserve">TOVIDE J. Celestine</t>
  </si>
  <si>
    <t xml:space="preserve">VODOUNSI O. Serge</t>
  </si>
  <si>
    <t xml:space="preserve">WALIOU Moucharafou</t>
  </si>
  <si>
    <t xml:space="preserve">ZANNOU Y Nadine Estelle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</si>
  <si>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 ET SANTE ANIMAL</t>
    </r>
  </si>
  <si>
    <t xml:space="preserve">ADAM AMADOU Abdoul Kader</t>
  </si>
  <si>
    <t xml:space="preserve">ASSOGBAKPE Remy</t>
  </si>
  <si>
    <t xml:space="preserve">DASSOU A. Bénédicte</t>
  </si>
  <si>
    <t xml:space="preserve">W</t>
  </si>
  <si>
    <t xml:space="preserve">EDIKOU Odette</t>
  </si>
  <si>
    <t xml:space="preserve">SABI SABI Abdel-Faïçal</t>
  </si>
  <si>
    <t xml:space="preserve">ASSANI Abdel Kassir</t>
  </si>
  <si>
    <t xml:space="preserve">THOO Béatrice Essèdo Appolline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</si>
  <si>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GEOMETRE TOPOGRAPHE</t>
    </r>
  </si>
  <si>
    <t xml:space="preserve">ALITAKOUN Bain Emmanuel</t>
  </si>
  <si>
    <t xml:space="preserve">DJOKPE Comlan Ferdinand</t>
  </si>
  <si>
    <t xml:space="preserve">AGUIAR C. Thibaut</t>
  </si>
  <si>
    <t xml:space="preserve">ALLIDJINOU W. Gerard</t>
  </si>
  <si>
    <t xml:space="preserve">ATTAKPA Augustin</t>
  </si>
  <si>
    <t xml:space="preserve">AZA Marcel</t>
  </si>
  <si>
    <t xml:space="preserve">OGOUBIYI C. Samson</t>
  </si>
  <si>
    <t xml:space="preserve">GNANSOUNOU Paulin Vidéhouenou</t>
  </si>
  <si>
    <t xml:space="preserve">AGBODEKA MELE Selm</t>
  </si>
  <si>
    <t xml:space="preserve">HONVOU Amankpe Charles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</si>
</sst>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General"/>
    <numFmt numFmtId="167" formatCode="0"/>
    <numFmt numFmtId="168" formatCode="0\ %"/>
    <numFmt numFmtId="169" formatCode="0.00\ %"/>
    <numFmt numFmtId="170" formatCode="dd/mm/yyyy"/>
  </numFmts>
  <fonts count="82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0"/>
      <color rgb="FF000000"/>
      <name val="Calibri"/>
      <family val="2"/>
    </font>
    <font>
      <sz val="14"/>
      <color theme="1"/>
      <name val="Elephant"/>
      <family val="0"/>
      <charset val="1"/>
    </font>
    <font>
      <b val="true"/>
      <i val="true"/>
      <sz val="12"/>
      <color theme="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u val="single"/>
      <sz val="12"/>
      <color theme="1"/>
      <name val="comic"/>
      <family val="0"/>
      <charset val="1"/>
    </font>
    <font>
      <b val="true"/>
      <sz val="12"/>
      <color theme="1"/>
      <name val="Albertus MT Lt"/>
      <family val="0"/>
      <charset val="134"/>
    </font>
    <font>
      <b val="true"/>
      <sz val="12"/>
      <color theme="1"/>
      <name val="Arial Narrow"/>
      <family val="0"/>
      <charset val="134"/>
    </font>
    <font>
      <b val="true"/>
      <sz val="12"/>
      <color rgb="FF00B050"/>
      <name val="Arial Narrow"/>
      <family val="0"/>
      <charset val="134"/>
    </font>
    <font>
      <b val="true"/>
      <sz val="12"/>
      <color rgb="FFC00000"/>
      <name val="Arial Narrow"/>
      <family val="0"/>
      <charset val="134"/>
    </font>
    <font>
      <b val="true"/>
      <sz val="12"/>
      <color rgb="FFFF0000"/>
      <name val="Arial Narrow"/>
      <family val="0"/>
      <charset val="134"/>
    </font>
    <font>
      <sz val="12"/>
      <color theme="1"/>
      <name val="Arial Narrow"/>
      <family val="0"/>
      <charset val="134"/>
    </font>
    <font>
      <sz val="12"/>
      <color rgb="FF000000"/>
      <name val="Calibri"/>
      <family val="0"/>
      <charset val="134"/>
    </font>
    <font>
      <sz val="12"/>
      <color rgb="FF000000"/>
      <name val="Calibri"/>
      <family val="0"/>
      <charset val="1"/>
    </font>
    <font>
      <sz val="12"/>
      <color theme="1"/>
      <name val="Calibri"/>
      <family val="0"/>
      <charset val="134"/>
    </font>
    <font>
      <sz val="12"/>
      <name val="Arial Narrow"/>
      <family val="0"/>
      <charset val="134"/>
    </font>
    <font>
      <sz val="14"/>
      <color theme="1"/>
      <name val="Aharoni"/>
      <family val="0"/>
      <charset val="1"/>
    </font>
    <font>
      <b val="true"/>
      <sz val="12"/>
      <color rgb="FF00B050"/>
      <name val="Calibri"/>
      <family val="0"/>
      <charset val="134"/>
    </font>
    <font>
      <b val="true"/>
      <sz val="12"/>
      <color rgb="FFC00000"/>
      <name val="Calibri"/>
      <family val="0"/>
      <charset val="134"/>
    </font>
    <font>
      <b val="true"/>
      <sz val="12"/>
      <color rgb="FFFF0000"/>
      <name val="Calibri"/>
      <family val="0"/>
      <charset val="134"/>
    </font>
    <font>
      <sz val="14"/>
      <color theme="1"/>
      <name val="Aharoni"/>
      <family val="0"/>
      <charset val="177"/>
    </font>
    <font>
      <sz val="14"/>
      <color theme="1"/>
      <name val="Elephant"/>
      <family val="0"/>
      <charset val="134"/>
    </font>
    <font>
      <sz val="12"/>
      <name val="Calibri"/>
      <family val="0"/>
      <charset val="134"/>
    </font>
    <font>
      <b val="true"/>
      <sz val="16"/>
      <color theme="1"/>
      <name val="Aharoni"/>
      <family val="0"/>
      <charset val="177"/>
    </font>
    <font>
      <b val="true"/>
      <sz val="14"/>
      <color rgb="FF002060"/>
      <name val="Calibri"/>
      <family val="0"/>
      <charset val="134"/>
    </font>
    <font>
      <b val="true"/>
      <sz val="14"/>
      <color rgb="FFFF0000"/>
      <name val="Calibri"/>
      <family val="0"/>
      <charset val="134"/>
    </font>
    <font>
      <b val="true"/>
      <i val="true"/>
      <sz val="12"/>
      <color theme="1"/>
      <name val="Calibri"/>
      <family val="0"/>
      <charset val="134"/>
    </font>
    <font>
      <sz val="10"/>
      <color rgb="FF000000"/>
      <name val="Tahoma"/>
      <family val="0"/>
      <charset val="134"/>
    </font>
    <font>
      <sz val="10"/>
      <color rgb="FF000000"/>
      <name val="Tahoma"/>
      <family val="0"/>
      <charset val="1"/>
    </font>
    <font>
      <b val="true"/>
      <sz val="14"/>
      <color theme="1"/>
      <name val="Aharoni"/>
      <family val="0"/>
      <charset val="177"/>
    </font>
    <font>
      <b val="true"/>
      <i val="true"/>
      <sz val="14"/>
      <color theme="1"/>
      <name val="Calibri"/>
      <family val="0"/>
      <charset val="134"/>
    </font>
    <font>
      <b val="true"/>
      <i val="true"/>
      <sz val="14"/>
      <color theme="1"/>
      <name val="Calibri"/>
      <family val="0"/>
      <charset val="1"/>
    </font>
    <font>
      <sz val="10"/>
      <color theme="1"/>
      <name val="Tahoma"/>
      <family val="0"/>
      <charset val="1"/>
    </font>
    <font>
      <sz val="10"/>
      <color rgb="FF000000"/>
      <name val="Calibri"/>
      <family val="0"/>
      <charset val="134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34"/>
    </font>
    <font>
      <sz val="11"/>
      <color rgb="FF000000"/>
      <name val="Arial"/>
      <family val="0"/>
      <charset val="1"/>
    </font>
    <font>
      <sz val="12"/>
      <color theme="1"/>
      <name val="Arial"/>
      <family val="0"/>
      <charset val="134"/>
    </font>
    <font>
      <sz val="12"/>
      <color theme="1"/>
      <name val="Arial"/>
      <family val="0"/>
      <charset val="1"/>
    </font>
    <font>
      <sz val="11"/>
      <color theme="1"/>
      <name val="Arial"/>
      <family val="0"/>
      <charset val="134"/>
    </font>
    <font>
      <sz val="11"/>
      <color theme="1"/>
      <name val="Arial"/>
      <family val="0"/>
      <charset val="1"/>
    </font>
    <font>
      <b val="true"/>
      <sz val="14"/>
      <color theme="1"/>
      <name val="Calibri"/>
      <family val="0"/>
      <charset val="134"/>
    </font>
    <font>
      <b val="true"/>
      <sz val="12"/>
      <color rgb="FF002060"/>
      <name val="Arial Narrow"/>
      <family val="0"/>
      <charset val="134"/>
    </font>
    <font>
      <b val="true"/>
      <sz val="13"/>
      <color rgb="FF002060"/>
      <name val="Arial Narrow"/>
      <family val="0"/>
      <charset val="134"/>
    </font>
    <font>
      <b val="true"/>
      <sz val="13"/>
      <color rgb="FFFF0000"/>
      <name val="Calibri"/>
      <family val="0"/>
      <charset val="134"/>
    </font>
    <font>
      <sz val="11"/>
      <color theme="1"/>
      <name val="Calibri"/>
      <family val="0"/>
      <charset val="1"/>
    </font>
    <font>
      <b val="true"/>
      <sz val="12"/>
      <color theme="1"/>
      <name val="Calibri"/>
      <family val="0"/>
      <charset val="134"/>
    </font>
    <font>
      <b val="true"/>
      <u val="single"/>
      <sz val="12"/>
      <color theme="1"/>
      <name val="comic"/>
      <family val="0"/>
      <charset val="134"/>
    </font>
    <font>
      <b val="true"/>
      <sz val="13"/>
      <color rgb="FF00B050"/>
      <name val="Calibri"/>
      <family val="0"/>
      <charset val="134"/>
    </font>
    <font>
      <b val="true"/>
      <u val="single"/>
      <sz val="12"/>
      <color theme="1"/>
      <name val="Calibri"/>
      <family val="0"/>
      <charset val="134"/>
    </font>
    <font>
      <sz val="11"/>
      <name val="Calibri"/>
      <family val="0"/>
      <charset val="134"/>
    </font>
    <font>
      <b val="true"/>
      <sz val="16"/>
      <color theme="1"/>
      <name val="Calibri"/>
      <family val="0"/>
      <charset val="134"/>
    </font>
    <font>
      <sz val="14"/>
      <color rgb="FF00B050"/>
      <name val="Calibri"/>
      <family val="0"/>
      <charset val="134"/>
    </font>
    <font>
      <sz val="12"/>
      <name val="Elephant"/>
      <family val="0"/>
      <charset val="134"/>
    </font>
    <font>
      <sz val="12"/>
      <color theme="1"/>
      <name val="comic"/>
      <family val="0"/>
      <charset val="134"/>
    </font>
    <font>
      <sz val="12"/>
      <color theme="1"/>
      <name val="Elephant"/>
      <family val="0"/>
      <charset val="134"/>
    </font>
    <font>
      <sz val="11"/>
      <color rgb="FFFF0000"/>
      <name val="Calibri"/>
      <family val="0"/>
      <charset val="134"/>
    </font>
    <font>
      <b val="true"/>
      <sz val="12"/>
      <color theme="1"/>
      <name val="comic"/>
      <family val="0"/>
      <charset val="134"/>
    </font>
    <font>
      <b val="true"/>
      <sz val="14"/>
      <color rgb="FF00B050"/>
      <name val="Calibri"/>
      <family val="0"/>
      <charset val="134"/>
    </font>
    <font>
      <b val="true"/>
      <sz val="11"/>
      <name val="Albertus MT Lt"/>
      <family val="0"/>
      <charset val="134"/>
    </font>
    <font>
      <b val="true"/>
      <sz val="12"/>
      <name val="Baskerville Old Face"/>
      <family val="0"/>
      <charset val="134"/>
    </font>
    <font>
      <b val="true"/>
      <sz val="10"/>
      <name val="Albertus MT Lt"/>
      <family val="0"/>
      <charset val="134"/>
    </font>
    <font>
      <b val="true"/>
      <sz val="10"/>
      <color theme="1"/>
      <name val="Albertus MT Lt"/>
      <family val="0"/>
      <charset val="134"/>
    </font>
    <font>
      <b val="true"/>
      <sz val="11"/>
      <color theme="1"/>
      <name val="Calibri"/>
      <family val="0"/>
      <charset val="134"/>
    </font>
    <font>
      <b val="true"/>
      <sz val="12"/>
      <name val="Albertus MT Lt"/>
      <family val="0"/>
      <charset val="134"/>
    </font>
    <font>
      <b val="true"/>
      <sz val="12"/>
      <name val="Arial"/>
      <family val="0"/>
      <charset val="134"/>
    </font>
    <font>
      <b val="true"/>
      <sz val="22"/>
      <name val="Arial Narrow"/>
      <family val="0"/>
      <charset val="134"/>
    </font>
    <font>
      <b val="true"/>
      <sz val="20"/>
      <name val="Arial Narrow"/>
      <family val="0"/>
      <charset val="134"/>
    </font>
    <font>
      <sz val="14"/>
      <name val="Arial"/>
      <family val="0"/>
      <charset val="134"/>
    </font>
    <font>
      <b val="true"/>
      <sz val="12"/>
      <name val="Arial Narrow"/>
      <family val="0"/>
      <charset val="134"/>
    </font>
    <font>
      <b val="true"/>
      <sz val="9"/>
      <name val="Arial"/>
      <family val="0"/>
      <charset val="134"/>
    </font>
    <font>
      <sz val="10"/>
      <color theme="0"/>
      <name val="Arial"/>
      <family val="0"/>
      <charset val="134"/>
    </font>
    <font>
      <sz val="10"/>
      <color rgb="FF000000"/>
      <name val="Arial"/>
      <family val="0"/>
      <charset val="134"/>
    </font>
    <font>
      <sz val="14"/>
      <name val="Arial Black"/>
      <family val="0"/>
      <charset val="134"/>
    </font>
    <font>
      <sz val="9"/>
      <name val="Arial"/>
      <family val="0"/>
      <charset val="134"/>
    </font>
    <font>
      <b val="true"/>
      <sz val="12"/>
      <color theme="1"/>
      <name val="Arial Narrow"/>
      <family val="0"/>
      <charset val="1"/>
    </font>
    <font>
      <b val="true"/>
      <sz val="12"/>
      <color rgb="FFFF0000"/>
      <name val="Albertus MT Lt"/>
      <family val="0"/>
      <charset val="134"/>
    </font>
    <font>
      <sz val="10"/>
      <color theme="1"/>
      <name val="Bookman Old Style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7" tint="0.5999"/>
        <bgColor rgb="FFD9D9D9"/>
      </patternFill>
    </fill>
    <fill>
      <patternFill patternType="solid">
        <fgColor theme="8" tint="0.5999"/>
        <bgColor rgb="FFD9D9D9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double"/>
      <right style="thin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double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8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9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8" fillId="3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3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2" fillId="2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3" fillId="2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23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8" fillId="0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2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8" fillId="0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2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2" borderId="2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8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1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7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3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8" fillId="3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2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6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8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8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2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0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2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5" fillId="0" borderId="3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5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5" fillId="3" borderId="3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5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5" fillId="4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5" fillId="4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6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6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6" fillId="0" borderId="1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4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6" fillId="0" borderId="4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2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6" fillId="4" borderId="1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7" fillId="4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4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6" fillId="4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4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6" fillId="4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6" fillId="4" borderId="4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6" fillId="4" borderId="5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2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6" fillId="2" borderId="4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2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4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4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6" fillId="4" borderId="4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5" fillId="4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5" fillId="4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5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5" fillId="4" borderId="4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8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8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8" fillId="3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8" fillId="0" borderId="3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1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2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3" fillId="0" borderId="3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5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2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5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19" fillId="0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2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2" borderId="3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3" fillId="0" borderId="4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2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7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8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5" fillId="0" borderId="5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5" fillId="0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5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5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5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4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6" fillId="2" borderId="5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5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6" fillId="2" borderId="5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7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6" fillId="2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5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6" fillId="2" borderId="4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7" fillId="0" borderId="5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8" fillId="0" borderId="5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4" fillId="0" borderId="3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4" fillId="0" borderId="3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4" fillId="3" borderId="3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3" fillId="2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2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2" borderId="5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1" fillId="0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5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2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8" fillId="0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50"/>
        <c:overlap val="0"/>
        <c:axId val="54227614"/>
        <c:axId val="97367501"/>
      </c:barChart>
      <c:catAx>
        <c:axId val="54227614"/>
        <c:scaling>
          <c:orientation val="minMax"/>
        </c:scaling>
        <c:delete val="0"/>
        <c:axPos val="b"/>
        <c:numFmt formatCode="[$-40C]dd/mm/yyyy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97367501"/>
        <c:crosses val="autoZero"/>
        <c:auto val="1"/>
        <c:lblAlgn val="ctr"/>
        <c:lblOffset val="100"/>
        <c:noMultiLvlLbl val="0"/>
      </c:catAx>
      <c:valAx>
        <c:axId val="973675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422761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387720</xdr:colOff>
      <xdr:row>31</xdr:row>
      <xdr:rowOff>174240</xdr:rowOff>
    </xdr:to>
    <xdr:graphicFrame>
      <xdr:nvGraphicFramePr>
        <xdr:cNvPr id="0" name="Graphique 1"/>
        <xdr:cNvGraphicFramePr/>
      </xdr:nvGraphicFramePr>
      <xdr:xfrm>
        <a:off x="0" y="0"/>
        <a:ext cx="9815040" cy="607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23" zoomScaleNormal="123" zoomScalePageLayoutView="100" workbookViewId="0">
      <selection pane="topLeft" activeCell="A1" activeCellId="0" sqref="A1"/>
    </sheetView>
  </sheetViews>
  <sheetFormatPr defaultColWidth="10.28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52"/>
  <sheetViews>
    <sheetView showFormulas="false" showGridLines="true" showRowColHeaders="true" showZeros="true" rightToLeft="false" tabSelected="true" showOutlineSymbols="true" defaultGridColor="true" view="normal" topLeftCell="A412" colorId="64" zoomScale="123" zoomScaleNormal="123" zoomScalePageLayoutView="100" workbookViewId="0">
      <selection pane="topLeft" activeCell="F6" activeCellId="0" sqref="F6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1"/>
      <c r="B1" s="1"/>
      <c r="C1" s="1"/>
      <c r="D1" s="1"/>
      <c r="E1" s="1"/>
    </row>
    <row r="2" customFormat="false" ht="17.35" hidden="false" customHeight="false" outlineLevel="0" collapsed="false">
      <c r="A2" s="76"/>
      <c r="B2" s="76" t="s">
        <v>0</v>
      </c>
      <c r="C2" s="1"/>
      <c r="D2" s="1"/>
      <c r="E2" s="1"/>
    </row>
    <row r="3" customFormat="false" ht="13.8" hidden="false" customHeight="false" outlineLevel="0" collapsed="false">
      <c r="A3" s="1" t="s">
        <v>1000</v>
      </c>
      <c r="B3" s="1"/>
      <c r="C3" s="1"/>
      <c r="D3" s="1"/>
      <c r="E3" s="1"/>
    </row>
    <row r="4" customFormat="false" ht="17.55" hidden="false" customHeight="false" outlineLevel="0" collapsed="false">
      <c r="A4" s="1"/>
      <c r="B4" s="123" t="s">
        <v>1001</v>
      </c>
      <c r="C4" s="1"/>
      <c r="D4" s="1"/>
      <c r="E4" s="1"/>
    </row>
    <row r="5" customFormat="false" ht="13.8" hidden="false" customHeight="false" outlineLevel="0" collapsed="false">
      <c r="A5" s="1"/>
      <c r="B5" s="1"/>
      <c r="C5" s="1"/>
      <c r="D5" s="1"/>
      <c r="E5" s="1"/>
    </row>
    <row r="6" customFormat="false" ht="13.8" hidden="false" customHeight="false" outlineLevel="0" collapsed="false">
      <c r="A6" s="1"/>
      <c r="B6" s="1"/>
      <c r="C6" s="1"/>
      <c r="D6" s="1"/>
      <c r="E6" s="1"/>
    </row>
    <row r="7" customFormat="false" ht="17.55" hidden="false" customHeight="false" outlineLevel="0" collapsed="false">
      <c r="A7" s="1"/>
      <c r="B7" s="125" t="s">
        <v>1002</v>
      </c>
      <c r="C7" s="1"/>
      <c r="D7" s="279" t="s">
        <v>1003</v>
      </c>
      <c r="E7" s="1"/>
    </row>
    <row r="8" customFormat="false" ht="13.8" hidden="false" customHeight="false" outlineLevel="0" collapsed="false">
      <c r="A8" s="1"/>
      <c r="B8" s="1"/>
      <c r="C8" s="1"/>
      <c r="D8" s="1"/>
      <c r="E8" s="1"/>
    </row>
    <row r="9" customFormat="false" ht="15" hidden="false" customHeight="false" outlineLevel="0" collapsed="false">
      <c r="A9" s="114" t="s">
        <v>3</v>
      </c>
      <c r="B9" s="280" t="s">
        <v>4</v>
      </c>
      <c r="C9" s="52" t="s">
        <v>5</v>
      </c>
      <c r="D9" s="281" t="s">
        <v>6</v>
      </c>
      <c r="E9" s="282" t="s">
        <v>7</v>
      </c>
    </row>
    <row r="10" customFormat="false" ht="49.25" hidden="false" customHeight="false" outlineLevel="0" collapsed="false">
      <c r="A10" s="283" t="n">
        <v>1</v>
      </c>
      <c r="B10" s="284" t="s">
        <v>1004</v>
      </c>
      <c r="C10" s="116" t="n">
        <v>416500</v>
      </c>
      <c r="D10" s="15"/>
      <c r="E10" s="72" t="n">
        <f aca="false">C10-D10</f>
        <v>416500</v>
      </c>
    </row>
    <row r="11" customFormat="false" ht="15" hidden="false" customHeight="false" outlineLevel="0" collapsed="false">
      <c r="A11" s="79" t="n">
        <v>2</v>
      </c>
      <c r="B11" s="285" t="s">
        <v>1005</v>
      </c>
      <c r="C11" s="61" t="n">
        <v>416500</v>
      </c>
      <c r="D11" s="61" t="n">
        <f aca="false">215000+200000+1500</f>
        <v>416500</v>
      </c>
      <c r="E11" s="61" t="n">
        <f aca="false">C11-D11</f>
        <v>0</v>
      </c>
    </row>
    <row r="12" customFormat="false" ht="15" hidden="false" customHeight="false" outlineLevel="0" collapsed="false">
      <c r="A12" s="79" t="n">
        <v>3</v>
      </c>
      <c r="B12" s="286" t="s">
        <v>1006</v>
      </c>
      <c r="C12" s="35" t="n">
        <v>416500</v>
      </c>
      <c r="D12" s="61" t="n">
        <v>416500</v>
      </c>
      <c r="E12" s="61" t="n">
        <f aca="false">C12-D12</f>
        <v>0</v>
      </c>
    </row>
    <row r="13" customFormat="false" ht="15" hidden="false" customHeight="false" outlineLevel="0" collapsed="false">
      <c r="A13" s="283" t="n">
        <v>4</v>
      </c>
      <c r="B13" s="285" t="s">
        <v>1007</v>
      </c>
      <c r="C13" s="35" t="n">
        <v>416500</v>
      </c>
      <c r="D13" s="61"/>
      <c r="E13" s="61" t="n">
        <f aca="false">C13-D13</f>
        <v>416500</v>
      </c>
    </row>
    <row r="14" customFormat="false" ht="15" hidden="false" customHeight="false" outlineLevel="0" collapsed="false">
      <c r="A14" s="79" t="n">
        <v>5</v>
      </c>
      <c r="B14" s="285" t="s">
        <v>1008</v>
      </c>
      <c r="C14" s="35" t="n">
        <v>416500</v>
      </c>
      <c r="D14" s="61"/>
      <c r="E14" s="61" t="n">
        <f aca="false">C14-D14</f>
        <v>416500</v>
      </c>
    </row>
    <row r="15" customFormat="false" ht="15" hidden="false" customHeight="false" outlineLevel="0" collapsed="false">
      <c r="A15" s="79" t="n">
        <v>6</v>
      </c>
      <c r="B15" s="285" t="s">
        <v>1009</v>
      </c>
      <c r="C15" s="35" t="n">
        <v>416500</v>
      </c>
      <c r="D15" s="61" t="n">
        <f aca="false">319500</f>
        <v>319500</v>
      </c>
      <c r="E15" s="61" t="n">
        <f aca="false">C15-D15</f>
        <v>97000</v>
      </c>
    </row>
    <row r="16" customFormat="false" ht="15" hidden="false" customHeight="false" outlineLevel="0" collapsed="false">
      <c r="A16" s="283" t="n">
        <v>7</v>
      </c>
      <c r="B16" s="285" t="s">
        <v>1010</v>
      </c>
      <c r="C16" s="35" t="n">
        <v>416500</v>
      </c>
      <c r="D16" s="61" t="n">
        <f aca="false">216000+200500</f>
        <v>416500</v>
      </c>
      <c r="E16" s="61" t="n">
        <f aca="false">C16-D16</f>
        <v>0</v>
      </c>
    </row>
    <row r="17" customFormat="false" ht="15" hidden="false" customHeight="false" outlineLevel="0" collapsed="false">
      <c r="A17" s="79" t="n">
        <v>8</v>
      </c>
      <c r="B17" s="285" t="s">
        <v>1011</v>
      </c>
      <c r="C17" s="35" t="n">
        <v>416500</v>
      </c>
      <c r="D17" s="61"/>
      <c r="E17" s="61" t="n">
        <f aca="false">C17-D17</f>
        <v>416500</v>
      </c>
    </row>
    <row r="18" customFormat="false" ht="15" hidden="false" customHeight="false" outlineLevel="0" collapsed="false">
      <c r="A18" s="79" t="n">
        <v>9</v>
      </c>
      <c r="B18" s="285" t="s">
        <v>1012</v>
      </c>
      <c r="C18" s="35" t="n">
        <v>416500</v>
      </c>
      <c r="D18" s="61"/>
      <c r="E18" s="61" t="n">
        <f aca="false">C18-D18</f>
        <v>416500</v>
      </c>
    </row>
    <row r="19" customFormat="false" ht="15" hidden="false" customHeight="false" outlineLevel="0" collapsed="false">
      <c r="A19" s="283" t="n">
        <v>10</v>
      </c>
      <c r="B19" s="285" t="s">
        <v>1013</v>
      </c>
      <c r="C19" s="35" t="n">
        <v>416500</v>
      </c>
      <c r="D19" s="61" t="n">
        <f aca="false">183500+230000+3000</f>
        <v>416500</v>
      </c>
      <c r="E19" s="61" t="n">
        <f aca="false">C19-D19</f>
        <v>0</v>
      </c>
    </row>
    <row r="20" customFormat="false" ht="15" hidden="false" customHeight="false" outlineLevel="0" collapsed="false">
      <c r="A20" s="79" t="n">
        <v>11</v>
      </c>
      <c r="B20" s="285" t="s">
        <v>1014</v>
      </c>
      <c r="C20" s="35" t="n">
        <v>416500</v>
      </c>
      <c r="D20" s="61"/>
      <c r="E20" s="61" t="n">
        <f aca="false">C20-D20</f>
        <v>416500</v>
      </c>
    </row>
    <row r="21" customFormat="false" ht="15" hidden="false" customHeight="false" outlineLevel="0" collapsed="false">
      <c r="A21" s="79" t="n">
        <v>12</v>
      </c>
      <c r="B21" s="285" t="s">
        <v>1015</v>
      </c>
      <c r="C21" s="35" t="n">
        <v>416500</v>
      </c>
      <c r="D21" s="61" t="n">
        <v>416500</v>
      </c>
      <c r="E21" s="61" t="n">
        <f aca="false">C21-D21</f>
        <v>0</v>
      </c>
    </row>
    <row r="22" customFormat="false" ht="17.35" hidden="false" customHeight="false" outlineLevel="0" collapsed="false">
      <c r="A22" s="44"/>
      <c r="B22" s="287" t="s">
        <v>24</v>
      </c>
      <c r="C22" s="27" t="n">
        <f aca="false">SUM(C11:C21)</f>
        <v>4581500</v>
      </c>
      <c r="D22" s="28" t="n">
        <f aca="false">SUM(D11:D21)</f>
        <v>2402000</v>
      </c>
      <c r="E22" s="288" t="n">
        <f aca="false">SUM(E12:E21)</f>
        <v>2179500</v>
      </c>
    </row>
    <row r="23" customFormat="false" ht="13.8" hidden="false" customHeight="false" outlineLevel="0" collapsed="false">
      <c r="A23" s="1"/>
      <c r="B23" s="1"/>
      <c r="C23" s="1"/>
      <c r="D23" s="2"/>
      <c r="E23" s="2"/>
    </row>
    <row r="27" customFormat="false" ht="17.55" hidden="false" customHeight="false" outlineLevel="0" collapsed="false">
      <c r="A27" s="3"/>
      <c r="B27" s="1"/>
      <c r="C27" s="1"/>
      <c r="D27" s="90" t="s">
        <v>1</v>
      </c>
      <c r="E27" s="2"/>
    </row>
    <row r="28" customFormat="false" ht="15" hidden="false" customHeight="false" outlineLevel="0" collapsed="false">
      <c r="A28" s="3"/>
      <c r="B28" s="125"/>
      <c r="C28" s="1"/>
      <c r="D28" s="289" t="s">
        <v>1003</v>
      </c>
      <c r="E28" s="2"/>
    </row>
    <row r="29" customFormat="false" ht="13.8" hidden="false" customHeight="false" outlineLevel="0" collapsed="false">
      <c r="A29" s="3"/>
      <c r="B29" s="1"/>
      <c r="C29" s="1"/>
      <c r="D29" s="2"/>
      <c r="E29" s="2"/>
    </row>
    <row r="30" customFormat="false" ht="15" hidden="false" customHeight="false" outlineLevel="0" collapsed="false">
      <c r="A30" s="7" t="s">
        <v>3</v>
      </c>
      <c r="B30" s="290" t="s">
        <v>4</v>
      </c>
      <c r="C30" s="9" t="s">
        <v>5</v>
      </c>
      <c r="D30" s="10" t="s">
        <v>6</v>
      </c>
      <c r="E30" s="291" t="s">
        <v>7</v>
      </c>
    </row>
    <row r="31" customFormat="false" ht="15" hidden="false" customHeight="false" outlineLevel="0" collapsed="false">
      <c r="A31" s="79" t="n">
        <v>1</v>
      </c>
      <c r="B31" s="286" t="s">
        <v>1016</v>
      </c>
      <c r="C31" s="35" t="n">
        <v>416500</v>
      </c>
      <c r="D31" s="61" t="n">
        <f aca="false">300000</f>
        <v>300000</v>
      </c>
      <c r="E31" s="42" t="n">
        <f aca="false">C31-D31</f>
        <v>116500</v>
      </c>
    </row>
    <row r="32" customFormat="false" ht="15" hidden="false" customHeight="false" outlineLevel="0" collapsed="false">
      <c r="A32" s="79" t="n">
        <v>2</v>
      </c>
      <c r="B32" s="285" t="s">
        <v>1017</v>
      </c>
      <c r="C32" s="35" t="n">
        <v>416500</v>
      </c>
      <c r="D32" s="61"/>
      <c r="E32" s="42" t="n">
        <f aca="false">C32-D32</f>
        <v>416500</v>
      </c>
    </row>
    <row r="33" customFormat="false" ht="15" hidden="false" customHeight="false" outlineLevel="0" collapsed="false">
      <c r="A33" s="79" t="n">
        <v>3</v>
      </c>
      <c r="B33" s="285" t="s">
        <v>1018</v>
      </c>
      <c r="C33" s="35" t="n">
        <v>416500</v>
      </c>
      <c r="D33" s="61"/>
      <c r="E33" s="42" t="n">
        <f aca="false">C33-D33</f>
        <v>416500</v>
      </c>
    </row>
    <row r="34" customFormat="false" ht="15" hidden="false" customHeight="false" outlineLevel="0" collapsed="false">
      <c r="A34" s="79" t="n">
        <v>4</v>
      </c>
      <c r="B34" s="292" t="s">
        <v>1019</v>
      </c>
      <c r="C34" s="35" t="n">
        <v>416500</v>
      </c>
      <c r="D34" s="61" t="n">
        <v>416500</v>
      </c>
      <c r="E34" s="42" t="n">
        <f aca="false">C34-D34</f>
        <v>0</v>
      </c>
    </row>
    <row r="35" customFormat="false" ht="15" hidden="false" customHeight="false" outlineLevel="0" collapsed="false">
      <c r="A35" s="79" t="n">
        <v>5</v>
      </c>
      <c r="B35" s="285" t="s">
        <v>1020</v>
      </c>
      <c r="C35" s="35" t="n">
        <v>416500</v>
      </c>
      <c r="D35" s="61"/>
      <c r="E35" s="42" t="n">
        <f aca="false">C35-D35</f>
        <v>416500</v>
      </c>
    </row>
    <row r="36" customFormat="false" ht="15" hidden="false" customHeight="false" outlineLevel="0" collapsed="false">
      <c r="A36" s="79" t="n">
        <v>6</v>
      </c>
      <c r="B36" s="285" t="s">
        <v>1021</v>
      </c>
      <c r="C36" s="35" t="n">
        <v>416500</v>
      </c>
      <c r="D36" s="61"/>
      <c r="E36" s="42" t="n">
        <f aca="false">C36-D36</f>
        <v>416500</v>
      </c>
    </row>
    <row r="37" customFormat="false" ht="15" hidden="false" customHeight="false" outlineLevel="0" collapsed="false">
      <c r="A37" s="79" t="n">
        <v>7</v>
      </c>
      <c r="B37" s="285" t="s">
        <v>1022</v>
      </c>
      <c r="C37" s="35" t="n">
        <v>416500</v>
      </c>
      <c r="D37" s="61" t="n">
        <f aca="false">200000+216500</f>
        <v>416500</v>
      </c>
      <c r="E37" s="42" t="n">
        <f aca="false">C37-D37</f>
        <v>0</v>
      </c>
    </row>
    <row r="38" customFormat="false" ht="15" hidden="false" customHeight="false" outlineLevel="0" collapsed="false">
      <c r="A38" s="79" t="n">
        <v>8</v>
      </c>
      <c r="B38" s="285" t="s">
        <v>1023</v>
      </c>
      <c r="C38" s="35" t="n">
        <v>416500</v>
      </c>
      <c r="D38" s="61" t="n">
        <f aca="false">300000+16500+100000</f>
        <v>416500</v>
      </c>
      <c r="E38" s="42" t="n">
        <f aca="false">C38-D38</f>
        <v>0</v>
      </c>
    </row>
    <row r="39" customFormat="false" ht="15" hidden="false" customHeight="false" outlineLevel="0" collapsed="false">
      <c r="A39" s="79" t="n">
        <v>9</v>
      </c>
      <c r="B39" s="285" t="s">
        <v>1024</v>
      </c>
      <c r="C39" s="35" t="n">
        <v>416500</v>
      </c>
      <c r="D39" s="61"/>
      <c r="E39" s="42" t="n">
        <f aca="false">C39-D39</f>
        <v>416500</v>
      </c>
    </row>
    <row r="40" customFormat="false" ht="15" hidden="false" customHeight="false" outlineLevel="0" collapsed="false">
      <c r="A40" s="79" t="n">
        <v>10</v>
      </c>
      <c r="B40" s="285" t="s">
        <v>1025</v>
      </c>
      <c r="C40" s="35" t="n">
        <v>416500</v>
      </c>
      <c r="D40" s="61" t="n">
        <f aca="false">49500+50000+50500+100000+66000+100500</f>
        <v>416500</v>
      </c>
      <c r="E40" s="42" t="n">
        <f aca="false">C40-D40</f>
        <v>0</v>
      </c>
    </row>
    <row r="41" customFormat="false" ht="15" hidden="false" customHeight="false" outlineLevel="0" collapsed="false">
      <c r="A41" s="79" t="n">
        <v>11</v>
      </c>
      <c r="B41" s="285" t="s">
        <v>1026</v>
      </c>
      <c r="C41" s="35" t="n">
        <v>416500</v>
      </c>
      <c r="D41" s="61" t="n">
        <f aca="false">216000+200500</f>
        <v>416500</v>
      </c>
      <c r="E41" s="42" t="n">
        <f aca="false">C41-D41</f>
        <v>0</v>
      </c>
    </row>
    <row r="42" customFormat="false" ht="15" hidden="false" customHeight="false" outlineLevel="0" collapsed="false">
      <c r="A42" s="79" t="n">
        <v>12</v>
      </c>
      <c r="B42" s="285" t="s">
        <v>1027</v>
      </c>
      <c r="C42" s="35" t="n">
        <v>416500</v>
      </c>
      <c r="D42" s="61"/>
      <c r="E42" s="42" t="n">
        <f aca="false">C42-D42</f>
        <v>416500</v>
      </c>
    </row>
    <row r="43" customFormat="false" ht="17.35" hidden="false" customHeight="false" outlineLevel="0" collapsed="false">
      <c r="A43" s="79"/>
      <c r="B43" s="287" t="s">
        <v>24</v>
      </c>
      <c r="C43" s="27" t="n">
        <f aca="false">SUM(C31:C42)</f>
        <v>4998000</v>
      </c>
      <c r="D43" s="28" t="n">
        <f aca="false">SUM(D31:D42)</f>
        <v>2382500</v>
      </c>
      <c r="E43" s="293" t="n">
        <f aca="false">C43-D43</f>
        <v>2615500</v>
      </c>
    </row>
    <row r="47" customFormat="false" ht="17.35" hidden="false" customHeight="false" outlineLevel="0" collapsed="false">
      <c r="A47" s="3"/>
      <c r="B47" s="76" t="s">
        <v>0</v>
      </c>
      <c r="C47" s="1"/>
      <c r="D47" s="2"/>
      <c r="E47" s="2"/>
    </row>
    <row r="48" customFormat="false" ht="13.8" hidden="false" customHeight="false" outlineLevel="0" collapsed="false">
      <c r="A48" s="3"/>
      <c r="B48" s="3"/>
      <c r="C48" s="3"/>
      <c r="D48" s="294"/>
      <c r="E48" s="294"/>
    </row>
    <row r="49" customFormat="false" ht="13.8" hidden="false" customHeight="false" outlineLevel="0" collapsed="false">
      <c r="A49" s="3"/>
      <c r="B49" s="1"/>
      <c r="C49" s="1"/>
      <c r="D49" s="2"/>
      <c r="E49" s="2"/>
    </row>
    <row r="50" customFormat="false" ht="17.55" hidden="false" customHeight="false" outlineLevel="0" collapsed="false">
      <c r="A50" s="3"/>
      <c r="B50" s="125" t="s">
        <v>1028</v>
      </c>
      <c r="C50" s="1"/>
      <c r="D50" s="6" t="s">
        <v>1029</v>
      </c>
      <c r="E50" s="2"/>
    </row>
    <row r="51" customFormat="false" ht="13.8" hidden="false" customHeight="false" outlineLevel="0" collapsed="false">
      <c r="A51" s="3"/>
      <c r="B51" s="1"/>
      <c r="C51" s="1"/>
      <c r="D51" s="2"/>
      <c r="E51" s="2"/>
    </row>
    <row r="52" customFormat="false" ht="15" hidden="false" customHeight="false" outlineLevel="0" collapsed="false">
      <c r="A52" s="7" t="s">
        <v>3</v>
      </c>
      <c r="B52" s="290" t="s">
        <v>4</v>
      </c>
      <c r="C52" s="9" t="s">
        <v>5</v>
      </c>
      <c r="D52" s="10" t="s">
        <v>6</v>
      </c>
      <c r="E52" s="291" t="s">
        <v>7</v>
      </c>
    </row>
    <row r="53" customFormat="false" ht="15" hidden="false" customHeight="false" outlineLevel="0" collapsed="false">
      <c r="A53" s="68" t="n">
        <v>1</v>
      </c>
      <c r="B53" s="38" t="s">
        <v>1030</v>
      </c>
      <c r="C53" s="35" t="n">
        <v>416500</v>
      </c>
      <c r="D53" s="61"/>
      <c r="E53" s="42" t="n">
        <f aca="false">C53-D53</f>
        <v>416500</v>
      </c>
    </row>
    <row r="54" customFormat="false" ht="15" hidden="false" customHeight="false" outlineLevel="0" collapsed="false">
      <c r="A54" s="79" t="n">
        <v>2</v>
      </c>
      <c r="B54" s="285" t="s">
        <v>1031</v>
      </c>
      <c r="C54" s="35" t="n">
        <v>416500</v>
      </c>
      <c r="D54" s="61" t="n">
        <f aca="false">36500+380000</f>
        <v>416500</v>
      </c>
      <c r="E54" s="42" t="n">
        <f aca="false">C54-D54</f>
        <v>0</v>
      </c>
    </row>
    <row r="55" customFormat="false" ht="15" hidden="false" customHeight="false" outlineLevel="0" collapsed="false">
      <c r="A55" s="68" t="n">
        <v>3</v>
      </c>
      <c r="B55" s="285" t="s">
        <v>1032</v>
      </c>
      <c r="C55" s="35" t="n">
        <v>416500</v>
      </c>
      <c r="D55" s="61" t="n">
        <f aca="false">216500+200000</f>
        <v>416500</v>
      </c>
      <c r="E55" s="42" t="n">
        <f aca="false">C55-D55</f>
        <v>0</v>
      </c>
    </row>
    <row r="56" customFormat="false" ht="15" hidden="false" customHeight="false" outlineLevel="0" collapsed="false">
      <c r="A56" s="68" t="n">
        <v>4</v>
      </c>
      <c r="B56" s="285" t="s">
        <v>1033</v>
      </c>
      <c r="C56" s="35" t="n">
        <v>416500</v>
      </c>
      <c r="D56" s="61" t="n">
        <f aca="false">100000+116500+200000</f>
        <v>416500</v>
      </c>
      <c r="E56" s="42" t="n">
        <f aca="false">C56-D56</f>
        <v>0</v>
      </c>
    </row>
    <row r="57" customFormat="false" ht="15" hidden="false" customHeight="false" outlineLevel="0" collapsed="false">
      <c r="A57" s="79" t="n">
        <v>5</v>
      </c>
      <c r="B57" s="285" t="s">
        <v>1034</v>
      </c>
      <c r="C57" s="35" t="n">
        <v>416500</v>
      </c>
      <c r="D57" s="61"/>
      <c r="E57" s="42" t="n">
        <f aca="false">C57-D57</f>
        <v>416500</v>
      </c>
    </row>
    <row r="58" customFormat="false" ht="15" hidden="false" customHeight="false" outlineLevel="0" collapsed="false">
      <c r="A58" s="68" t="n">
        <v>6</v>
      </c>
      <c r="B58" s="285" t="s">
        <v>1035</v>
      </c>
      <c r="C58" s="35" t="n">
        <v>416500</v>
      </c>
      <c r="D58" s="61"/>
      <c r="E58" s="42" t="n">
        <f aca="false">C58-D58</f>
        <v>416500</v>
      </c>
    </row>
    <row r="59" customFormat="false" ht="15" hidden="false" customHeight="false" outlineLevel="0" collapsed="false">
      <c r="A59" s="68" t="n">
        <v>7</v>
      </c>
      <c r="B59" s="285" t="s">
        <v>1036</v>
      </c>
      <c r="C59" s="35" t="n">
        <v>416500</v>
      </c>
      <c r="D59" s="61" t="n">
        <f aca="false">415500+1000</f>
        <v>416500</v>
      </c>
      <c r="E59" s="42" t="n">
        <f aca="false">C59-D59</f>
        <v>0</v>
      </c>
    </row>
    <row r="60" customFormat="false" ht="15" hidden="false" customHeight="false" outlineLevel="0" collapsed="false">
      <c r="A60" s="79" t="n">
        <v>8</v>
      </c>
      <c r="B60" s="285" t="s">
        <v>1037</v>
      </c>
      <c r="C60" s="35" t="n">
        <v>416500</v>
      </c>
      <c r="D60" s="61" t="n">
        <f aca="false">163500+117500</f>
        <v>281000</v>
      </c>
      <c r="E60" s="42" t="n">
        <f aca="false">C60-D60</f>
        <v>135500</v>
      </c>
    </row>
    <row r="61" customFormat="false" ht="15" hidden="false" customHeight="false" outlineLevel="0" collapsed="false">
      <c r="A61" s="68" t="n">
        <v>9</v>
      </c>
      <c r="B61" s="285" t="s">
        <v>1038</v>
      </c>
      <c r="C61" s="35" t="n">
        <v>416500</v>
      </c>
      <c r="D61" s="61" t="n">
        <f aca="false">207000+209500</f>
        <v>416500</v>
      </c>
      <c r="E61" s="42" t="n">
        <f aca="false">C61-D61</f>
        <v>0</v>
      </c>
    </row>
    <row r="62" customFormat="false" ht="15" hidden="false" customHeight="false" outlineLevel="0" collapsed="false">
      <c r="A62" s="68" t="n">
        <v>10</v>
      </c>
      <c r="B62" s="285" t="s">
        <v>1039</v>
      </c>
      <c r="C62" s="35" t="n">
        <v>416500</v>
      </c>
      <c r="D62" s="61"/>
      <c r="E62" s="42" t="n">
        <f aca="false">C62-D62</f>
        <v>416500</v>
      </c>
    </row>
    <row r="63" customFormat="false" ht="15" hidden="false" customHeight="false" outlineLevel="0" collapsed="false">
      <c r="A63" s="79" t="n">
        <v>11</v>
      </c>
      <c r="B63" s="285" t="s">
        <v>1040</v>
      </c>
      <c r="C63" s="35" t="n">
        <v>416500</v>
      </c>
      <c r="D63" s="61" t="n">
        <f aca="false">200000</f>
        <v>200000</v>
      </c>
      <c r="E63" s="42" t="n">
        <f aca="false">C63-D63</f>
        <v>216500</v>
      </c>
    </row>
    <row r="64" customFormat="false" ht="15" hidden="false" customHeight="false" outlineLevel="0" collapsed="false">
      <c r="A64" s="68" t="n">
        <v>12</v>
      </c>
      <c r="B64" s="285" t="s">
        <v>1041</v>
      </c>
      <c r="C64" s="35" t="n">
        <v>416500</v>
      </c>
      <c r="D64" s="61"/>
      <c r="E64" s="42" t="n">
        <f aca="false">C64-D64</f>
        <v>416500</v>
      </c>
    </row>
    <row r="65" customFormat="false" ht="15" hidden="false" customHeight="false" outlineLevel="0" collapsed="false">
      <c r="A65" s="68" t="n">
        <v>13</v>
      </c>
      <c r="B65" s="285" t="s">
        <v>1042</v>
      </c>
      <c r="C65" s="35" t="n">
        <v>416500</v>
      </c>
      <c r="D65" s="61" t="n">
        <v>416500</v>
      </c>
      <c r="E65" s="42" t="n">
        <f aca="false">C65-D65</f>
        <v>0</v>
      </c>
    </row>
    <row r="66" customFormat="false" ht="15" hidden="false" customHeight="false" outlineLevel="0" collapsed="false">
      <c r="A66" s="79" t="n">
        <v>14</v>
      </c>
      <c r="B66" s="285" t="s">
        <v>1043</v>
      </c>
      <c r="C66" s="35" t="n">
        <v>416500</v>
      </c>
      <c r="D66" s="61"/>
      <c r="E66" s="42" t="n">
        <f aca="false">C66-D66</f>
        <v>416500</v>
      </c>
    </row>
    <row r="67" customFormat="false" ht="15" hidden="false" customHeight="false" outlineLevel="0" collapsed="false">
      <c r="A67" s="68" t="n">
        <v>15</v>
      </c>
      <c r="B67" s="285" t="s">
        <v>1044</v>
      </c>
      <c r="C67" s="35" t="n">
        <v>416500</v>
      </c>
      <c r="D67" s="61" t="n">
        <v>416500</v>
      </c>
      <c r="E67" s="42" t="n">
        <f aca="false">C67-D67</f>
        <v>0</v>
      </c>
    </row>
    <row r="68" customFormat="false" ht="15" hidden="false" customHeight="false" outlineLevel="0" collapsed="false">
      <c r="A68" s="68" t="n">
        <v>16</v>
      </c>
      <c r="B68" s="285" t="s">
        <v>1045</v>
      </c>
      <c r="C68" s="35" t="n">
        <v>416500</v>
      </c>
      <c r="D68" s="61"/>
      <c r="E68" s="42" t="n">
        <f aca="false">C68-D68</f>
        <v>416500</v>
      </c>
    </row>
    <row r="69" customFormat="false" ht="15" hidden="false" customHeight="false" outlineLevel="0" collapsed="false">
      <c r="A69" s="79" t="n">
        <v>17</v>
      </c>
      <c r="B69" s="38" t="s">
        <v>1046</v>
      </c>
      <c r="C69" s="35" t="n">
        <v>416500</v>
      </c>
      <c r="D69" s="61" t="n">
        <f aca="false">50000+240000+100000+26500</f>
        <v>416500</v>
      </c>
      <c r="E69" s="42" t="n">
        <f aca="false">C69-D69</f>
        <v>0</v>
      </c>
    </row>
    <row r="70" customFormat="false" ht="15" hidden="false" customHeight="false" outlineLevel="0" collapsed="false">
      <c r="A70" s="68" t="n">
        <v>18</v>
      </c>
      <c r="B70" s="285" t="s">
        <v>1047</v>
      </c>
      <c r="C70" s="35" t="n">
        <v>416500</v>
      </c>
      <c r="D70" s="61" t="n">
        <f aca="false">100000+282000+34500</f>
        <v>416500</v>
      </c>
      <c r="E70" s="42" t="n">
        <f aca="false">C70-D70</f>
        <v>0</v>
      </c>
    </row>
    <row r="71" customFormat="false" ht="15" hidden="false" customHeight="false" outlineLevel="0" collapsed="false">
      <c r="A71" s="68" t="n">
        <v>19</v>
      </c>
      <c r="B71" s="285" t="s">
        <v>1048</v>
      </c>
      <c r="C71" s="35" t="n">
        <v>416500</v>
      </c>
      <c r="D71" s="61" t="n">
        <f aca="false">216500+208000</f>
        <v>424500</v>
      </c>
      <c r="E71" s="42" t="n">
        <f aca="false">C71-D71</f>
        <v>-8000</v>
      </c>
    </row>
    <row r="72" customFormat="false" ht="15" hidden="false" customHeight="false" outlineLevel="0" collapsed="false">
      <c r="A72" s="79" t="n">
        <v>20</v>
      </c>
      <c r="B72" s="40" t="s">
        <v>1049</v>
      </c>
      <c r="C72" s="35" t="n">
        <v>416500</v>
      </c>
      <c r="D72" s="61" t="n">
        <f aca="false">53000+363500</f>
        <v>416500</v>
      </c>
      <c r="E72" s="42" t="n">
        <f aca="false">C72-D72</f>
        <v>0</v>
      </c>
    </row>
    <row r="73" customFormat="false" ht="15" hidden="false" customHeight="false" outlineLevel="0" collapsed="false">
      <c r="A73" s="68" t="n">
        <v>21</v>
      </c>
      <c r="B73" s="285" t="s">
        <v>1050</v>
      </c>
      <c r="C73" s="35" t="n">
        <v>416500</v>
      </c>
      <c r="D73" s="61"/>
      <c r="E73" s="42" t="n">
        <f aca="false">C73-D73</f>
        <v>416500</v>
      </c>
    </row>
    <row r="74" customFormat="false" ht="15" hidden="false" customHeight="false" outlineLevel="0" collapsed="false">
      <c r="A74" s="68" t="n">
        <v>22</v>
      </c>
      <c r="B74" s="286" t="s">
        <v>1051</v>
      </c>
      <c r="C74" s="35" t="n">
        <v>416500</v>
      </c>
      <c r="D74" s="61" t="n">
        <f aca="false">200000</f>
        <v>200000</v>
      </c>
      <c r="E74" s="42" t="n">
        <f aca="false">C74-D74</f>
        <v>216500</v>
      </c>
    </row>
    <row r="75" customFormat="false" ht="17.35" hidden="false" customHeight="false" outlineLevel="0" collapsed="false">
      <c r="A75" s="79"/>
      <c r="B75" s="287" t="s">
        <v>24</v>
      </c>
      <c r="C75" s="27" t="n">
        <f aca="false">SUM(C53:C74)</f>
        <v>9163000</v>
      </c>
      <c r="D75" s="28" t="n">
        <f aca="false">SUM(D53:D74)</f>
        <v>5270500</v>
      </c>
      <c r="E75" s="293" t="n">
        <f aca="false">C75-D75</f>
        <v>3892500</v>
      </c>
    </row>
    <row r="79" customFormat="false" ht="17.35" hidden="false" customHeight="false" outlineLevel="0" collapsed="false">
      <c r="A79" s="1"/>
      <c r="B79" s="76" t="s">
        <v>0</v>
      </c>
      <c r="C79" s="76"/>
      <c r="D79" s="2"/>
      <c r="E79" s="2"/>
    </row>
    <row r="80" customFormat="false" ht="13.8" hidden="false" customHeight="false" outlineLevel="0" collapsed="false">
      <c r="A80" s="1"/>
      <c r="B80" s="1"/>
      <c r="C80" s="1"/>
      <c r="D80" s="2"/>
      <c r="E80" s="2"/>
    </row>
    <row r="81" customFormat="false" ht="13.8" hidden="false" customHeight="false" outlineLevel="0" collapsed="false">
      <c r="A81" s="3"/>
      <c r="B81" s="1"/>
      <c r="C81" s="1"/>
      <c r="D81" s="2"/>
      <c r="E81" s="2"/>
    </row>
    <row r="82" customFormat="false" ht="17.55" hidden="false" customHeight="false" outlineLevel="0" collapsed="false">
      <c r="A82" s="3"/>
      <c r="B82" s="125" t="s">
        <v>1052</v>
      </c>
      <c r="C82" s="1"/>
      <c r="D82" s="6" t="s">
        <v>1003</v>
      </c>
      <c r="E82" s="2"/>
    </row>
    <row r="83" customFormat="false" ht="13.8" hidden="false" customHeight="false" outlineLevel="0" collapsed="false">
      <c r="A83" s="3"/>
      <c r="B83" s="1"/>
      <c r="C83" s="1"/>
      <c r="D83" s="2"/>
      <c r="E83" s="2"/>
    </row>
    <row r="84" customFormat="false" ht="15" hidden="false" customHeight="false" outlineLevel="0" collapsed="false">
      <c r="A84" s="7" t="s">
        <v>3</v>
      </c>
      <c r="B84" s="290" t="s">
        <v>4</v>
      </c>
      <c r="C84" s="9" t="s">
        <v>5</v>
      </c>
      <c r="D84" s="10" t="s">
        <v>6</v>
      </c>
      <c r="E84" s="291" t="s">
        <v>7</v>
      </c>
    </row>
    <row r="85" customFormat="false" ht="37.3" hidden="false" customHeight="false" outlineLevel="0" collapsed="false">
      <c r="A85" s="68" t="n">
        <v>1</v>
      </c>
      <c r="B85" s="295" t="s">
        <v>1053</v>
      </c>
      <c r="C85" s="35" t="n">
        <v>416500</v>
      </c>
      <c r="D85" s="41" t="n">
        <f aca="false">259500+160000</f>
        <v>419500</v>
      </c>
      <c r="E85" s="42" t="n">
        <f aca="false">C85-D85</f>
        <v>-3000</v>
      </c>
    </row>
    <row r="86" customFormat="false" ht="37.3" hidden="false" customHeight="false" outlineLevel="0" collapsed="false">
      <c r="A86" s="79" t="n">
        <v>2</v>
      </c>
      <c r="B86" s="295" t="s">
        <v>1054</v>
      </c>
      <c r="C86" s="35" t="n">
        <v>416500</v>
      </c>
      <c r="D86" s="41"/>
      <c r="E86" s="42" t="n">
        <f aca="false">C86-D86</f>
        <v>416500</v>
      </c>
    </row>
    <row r="87" customFormat="false" ht="37.3" hidden="false" customHeight="false" outlineLevel="0" collapsed="false">
      <c r="A87" s="79" t="n">
        <v>3</v>
      </c>
      <c r="B87" s="295" t="s">
        <v>1055</v>
      </c>
      <c r="C87" s="35" t="n">
        <v>416500</v>
      </c>
      <c r="D87" s="41" t="n">
        <f aca="false">216500+150000+50000</f>
        <v>416500</v>
      </c>
      <c r="E87" s="42" t="n">
        <f aca="false">C87-D87</f>
        <v>0</v>
      </c>
    </row>
    <row r="88" customFormat="false" ht="25.35" hidden="false" customHeight="false" outlineLevel="0" collapsed="false">
      <c r="A88" s="68" t="n">
        <v>4</v>
      </c>
      <c r="B88" s="295" t="s">
        <v>1056</v>
      </c>
      <c r="C88" s="35" t="n">
        <v>416500</v>
      </c>
      <c r="D88" s="41" t="n">
        <f aca="false">49000+280000+87500</f>
        <v>416500</v>
      </c>
      <c r="E88" s="42" t="n">
        <f aca="false">C88-D88</f>
        <v>0</v>
      </c>
    </row>
    <row r="89" customFormat="false" ht="37.3" hidden="false" customHeight="false" outlineLevel="0" collapsed="false">
      <c r="A89" s="79" t="n">
        <v>5</v>
      </c>
      <c r="B89" s="295" t="s">
        <v>1057</v>
      </c>
      <c r="C89" s="35" t="n">
        <v>416500</v>
      </c>
      <c r="D89" s="41" t="n">
        <f aca="false">129000+171000+116500</f>
        <v>416500</v>
      </c>
      <c r="E89" s="42" t="n">
        <f aca="false">C89-D89</f>
        <v>0</v>
      </c>
    </row>
    <row r="90" customFormat="false" ht="37.3" hidden="false" customHeight="false" outlineLevel="0" collapsed="false">
      <c r="A90" s="79" t="n">
        <v>6</v>
      </c>
      <c r="B90" s="295" t="s">
        <v>1058</v>
      </c>
      <c r="C90" s="35" t="n">
        <v>416500</v>
      </c>
      <c r="D90" s="41" t="n">
        <f aca="false">216500+200000</f>
        <v>416500</v>
      </c>
      <c r="E90" s="42" t="n">
        <f aca="false">C90-D90</f>
        <v>0</v>
      </c>
    </row>
    <row r="91" customFormat="false" ht="49.25" hidden="false" customHeight="false" outlineLevel="0" collapsed="false">
      <c r="A91" s="68" t="n">
        <v>7</v>
      </c>
      <c r="B91" s="296" t="s">
        <v>1059</v>
      </c>
      <c r="C91" s="35" t="n">
        <v>416500</v>
      </c>
      <c r="D91" s="41" t="n">
        <f aca="false">100000+100000+101500+115000</f>
        <v>416500</v>
      </c>
      <c r="E91" s="42" t="n">
        <f aca="false">C91-D91</f>
        <v>0</v>
      </c>
    </row>
    <row r="92" customFormat="false" ht="25.35" hidden="false" customHeight="false" outlineLevel="0" collapsed="false">
      <c r="A92" s="79" t="n">
        <v>8</v>
      </c>
      <c r="B92" s="296" t="s">
        <v>1060</v>
      </c>
      <c r="C92" s="35" t="n">
        <v>416500</v>
      </c>
      <c r="D92" s="41" t="n">
        <f aca="false">114500+302000</f>
        <v>416500</v>
      </c>
      <c r="E92" s="42" t="n">
        <f aca="false">C92-D92</f>
        <v>0</v>
      </c>
    </row>
    <row r="93" customFormat="false" ht="25.35" hidden="false" customHeight="false" outlineLevel="0" collapsed="false">
      <c r="A93" s="79" t="n">
        <v>9</v>
      </c>
      <c r="B93" s="295" t="s">
        <v>1061</v>
      </c>
      <c r="C93" s="35" t="n">
        <v>416500</v>
      </c>
      <c r="D93" s="41" t="n">
        <f aca="false">217000+130000+69500</f>
        <v>416500</v>
      </c>
      <c r="E93" s="42" t="n">
        <f aca="false">C93-D93</f>
        <v>0</v>
      </c>
    </row>
    <row r="94" customFormat="false" ht="25.35" hidden="false" customHeight="false" outlineLevel="0" collapsed="false">
      <c r="A94" s="68" t="n">
        <v>10</v>
      </c>
      <c r="B94" s="295" t="s">
        <v>1062</v>
      </c>
      <c r="C94" s="35" t="n">
        <v>416500</v>
      </c>
      <c r="D94" s="41" t="n">
        <f aca="false">215000+201500</f>
        <v>416500</v>
      </c>
      <c r="E94" s="42" t="n">
        <f aca="false">C94-D94</f>
        <v>0</v>
      </c>
    </row>
    <row r="95" customFormat="false" ht="25.35" hidden="false" customHeight="false" outlineLevel="0" collapsed="false">
      <c r="A95" s="79" t="n">
        <v>11</v>
      </c>
      <c r="B95" s="295" t="s">
        <v>1063</v>
      </c>
      <c r="C95" s="35" t="n">
        <v>416500</v>
      </c>
      <c r="D95" s="41"/>
      <c r="E95" s="42" t="n">
        <f aca="false">C95-D95</f>
        <v>416500</v>
      </c>
    </row>
    <row r="96" customFormat="false" ht="25.35" hidden="false" customHeight="false" outlineLevel="0" collapsed="false">
      <c r="A96" s="79" t="n">
        <v>12</v>
      </c>
      <c r="B96" s="295" t="s">
        <v>1064</v>
      </c>
      <c r="C96" s="35" t="n">
        <v>416500</v>
      </c>
      <c r="D96" s="41"/>
      <c r="E96" s="42" t="n">
        <f aca="false">C96-D96</f>
        <v>416500</v>
      </c>
    </row>
    <row r="97" customFormat="false" ht="25.35" hidden="false" customHeight="false" outlineLevel="0" collapsed="false">
      <c r="A97" s="68" t="n">
        <v>13</v>
      </c>
      <c r="B97" s="295" t="s">
        <v>1065</v>
      </c>
      <c r="C97" s="35" t="n">
        <v>416500</v>
      </c>
      <c r="D97" s="41" t="n">
        <v>416500</v>
      </c>
      <c r="E97" s="42" t="n">
        <f aca="false">C97-D97</f>
        <v>0</v>
      </c>
    </row>
    <row r="98" customFormat="false" ht="25.35" hidden="false" customHeight="false" outlineLevel="0" collapsed="false">
      <c r="A98" s="79" t="n">
        <v>14</v>
      </c>
      <c r="B98" s="295" t="s">
        <v>1066</v>
      </c>
      <c r="C98" s="35" t="n">
        <v>416500</v>
      </c>
      <c r="D98" s="41" t="n">
        <f aca="false">200000+216000+500</f>
        <v>416500</v>
      </c>
      <c r="E98" s="42" t="n">
        <f aca="false">C98-D98</f>
        <v>0</v>
      </c>
    </row>
    <row r="99" customFormat="false" ht="49.25" hidden="false" customHeight="false" outlineLevel="0" collapsed="false">
      <c r="A99" s="79" t="n">
        <v>15</v>
      </c>
      <c r="B99" s="295" t="s">
        <v>1067</v>
      </c>
      <c r="C99" s="35" t="n">
        <v>416500</v>
      </c>
      <c r="D99" s="41" t="n">
        <f aca="false">200000</f>
        <v>200000</v>
      </c>
      <c r="E99" s="42" t="n">
        <f aca="false">C99-D99</f>
        <v>216500</v>
      </c>
    </row>
    <row r="100" customFormat="false" ht="49.25" hidden="false" customHeight="false" outlineLevel="0" collapsed="false">
      <c r="A100" s="68" t="n">
        <v>16</v>
      </c>
      <c r="B100" s="295" t="s">
        <v>1068</v>
      </c>
      <c r="C100" s="35" t="n">
        <v>416500</v>
      </c>
      <c r="D100" s="41"/>
      <c r="E100" s="42" t="n">
        <f aca="false">C100-D100</f>
        <v>416500</v>
      </c>
    </row>
    <row r="101" customFormat="false" ht="49.25" hidden="false" customHeight="false" outlineLevel="0" collapsed="false">
      <c r="A101" s="79" t="n">
        <v>17</v>
      </c>
      <c r="B101" s="295" t="s">
        <v>1069</v>
      </c>
      <c r="C101" s="35" t="n">
        <v>416500</v>
      </c>
      <c r="D101" s="41"/>
      <c r="E101" s="42" t="n">
        <f aca="false">C101-D101</f>
        <v>416500</v>
      </c>
    </row>
    <row r="102" customFormat="false" ht="37.3" hidden="false" customHeight="false" outlineLevel="0" collapsed="false">
      <c r="A102" s="79" t="n">
        <v>18</v>
      </c>
      <c r="B102" s="295" t="s">
        <v>1070</v>
      </c>
      <c r="C102" s="35" t="n">
        <v>225000</v>
      </c>
      <c r="D102" s="41" t="n">
        <f aca="false">100000+125000</f>
        <v>225000</v>
      </c>
      <c r="E102" s="42" t="n">
        <f aca="false">C102-D102</f>
        <v>0</v>
      </c>
    </row>
    <row r="103" customFormat="false" ht="37.3" hidden="false" customHeight="false" outlineLevel="0" collapsed="false">
      <c r="A103" s="68" t="n">
        <v>19</v>
      </c>
      <c r="B103" s="295" t="s">
        <v>1071</v>
      </c>
      <c r="C103" s="35" t="n">
        <v>416500</v>
      </c>
      <c r="D103" s="41" t="s">
        <v>17</v>
      </c>
      <c r="E103" s="42" t="s">
        <v>17</v>
      </c>
    </row>
    <row r="104" customFormat="false" ht="61.15" hidden="false" customHeight="false" outlineLevel="0" collapsed="false">
      <c r="A104" s="79" t="n">
        <v>20</v>
      </c>
      <c r="B104" s="295" t="s">
        <v>1072</v>
      </c>
      <c r="C104" s="35" t="n">
        <v>416500</v>
      </c>
      <c r="D104" s="41" t="n">
        <f aca="false">300000</f>
        <v>300000</v>
      </c>
      <c r="E104" s="42" t="n">
        <f aca="false">C104-D104</f>
        <v>116500</v>
      </c>
    </row>
    <row r="105" customFormat="false" ht="49.25" hidden="false" customHeight="false" outlineLevel="0" collapsed="false">
      <c r="A105" s="79" t="n">
        <v>21</v>
      </c>
      <c r="B105" s="297" t="s">
        <v>1073</v>
      </c>
      <c r="C105" s="35" t="n">
        <v>416500</v>
      </c>
      <c r="D105" s="41" t="n">
        <v>416500</v>
      </c>
      <c r="E105" s="42" t="n">
        <f aca="false">C105-D105</f>
        <v>0</v>
      </c>
    </row>
    <row r="106" customFormat="false" ht="37.3" hidden="false" customHeight="false" outlineLevel="0" collapsed="false">
      <c r="A106" s="68" t="n">
        <v>22</v>
      </c>
      <c r="B106" s="295" t="s">
        <v>1074</v>
      </c>
      <c r="C106" s="35" t="n">
        <v>416500</v>
      </c>
      <c r="D106" s="41" t="n">
        <f aca="false">100000</f>
        <v>100000</v>
      </c>
      <c r="E106" s="42" t="n">
        <f aca="false">C106-D106</f>
        <v>316500</v>
      </c>
    </row>
    <row r="107" customFormat="false" ht="61.15" hidden="false" customHeight="false" outlineLevel="0" collapsed="false">
      <c r="A107" s="79" t="n">
        <v>23</v>
      </c>
      <c r="B107" s="295" t="s">
        <v>1075</v>
      </c>
      <c r="C107" s="35" t="n">
        <v>416500</v>
      </c>
      <c r="D107" s="41"/>
      <c r="E107" s="42" t="n">
        <f aca="false">C107-D107</f>
        <v>416500</v>
      </c>
    </row>
    <row r="108" customFormat="false" ht="37.3" hidden="false" customHeight="false" outlineLevel="0" collapsed="false">
      <c r="A108" s="79" t="n">
        <v>24</v>
      </c>
      <c r="B108" s="295" t="s">
        <v>1076</v>
      </c>
      <c r="C108" s="35" t="n">
        <v>416500</v>
      </c>
      <c r="D108" s="41"/>
      <c r="E108" s="42" t="n">
        <f aca="false">C108-D108</f>
        <v>416500</v>
      </c>
    </row>
    <row r="109" customFormat="false" ht="17.35" hidden="false" customHeight="false" outlineLevel="0" collapsed="false">
      <c r="A109" s="79"/>
      <c r="B109" s="287" t="s">
        <v>24</v>
      </c>
      <c r="C109" s="27" t="n">
        <f aca="false">SUM(C85:C108)</f>
        <v>9804500</v>
      </c>
      <c r="D109" s="28" t="n">
        <f aca="false">SUM(D85:D108)</f>
        <v>5826000</v>
      </c>
      <c r="E109" s="293" t="n">
        <f aca="false">SUM(E85:E108)</f>
        <v>3562000</v>
      </c>
    </row>
    <row r="122" customFormat="false" ht="17.35" hidden="false" customHeight="false" outlineLevel="0" collapsed="false">
      <c r="A122" s="1"/>
      <c r="B122" s="76" t="s">
        <v>0</v>
      </c>
      <c r="C122" s="76"/>
      <c r="D122" s="2"/>
      <c r="E122" s="2"/>
    </row>
    <row r="123" customFormat="false" ht="13.8" hidden="false" customHeight="false" outlineLevel="0" collapsed="false">
      <c r="A123" s="1"/>
      <c r="B123" s="1"/>
      <c r="C123" s="1"/>
      <c r="D123" s="2"/>
      <c r="E123" s="2"/>
    </row>
    <row r="124" customFormat="false" ht="13.8" hidden="false" customHeight="false" outlineLevel="0" collapsed="false">
      <c r="A124" s="3"/>
      <c r="B124" s="1"/>
      <c r="C124" s="1"/>
      <c r="D124" s="2"/>
      <c r="E124" s="2"/>
    </row>
    <row r="125" customFormat="false" ht="17.55" hidden="false" customHeight="false" outlineLevel="0" collapsed="false">
      <c r="A125" s="3"/>
      <c r="B125" s="125" t="s">
        <v>1052</v>
      </c>
      <c r="C125" s="1"/>
      <c r="D125" s="6" t="s">
        <v>1029</v>
      </c>
      <c r="E125" s="2"/>
    </row>
    <row r="126" customFormat="false" ht="13.8" hidden="false" customHeight="false" outlineLevel="0" collapsed="false">
      <c r="A126" s="3"/>
      <c r="B126" s="1"/>
      <c r="C126" s="1"/>
      <c r="D126" s="2"/>
      <c r="E126" s="2"/>
    </row>
    <row r="127" customFormat="false" ht="15" hidden="false" customHeight="false" outlineLevel="0" collapsed="false">
      <c r="A127" s="7" t="s">
        <v>3</v>
      </c>
      <c r="B127" s="290" t="s">
        <v>4</v>
      </c>
      <c r="C127" s="9" t="s">
        <v>5</v>
      </c>
      <c r="D127" s="10" t="s">
        <v>6</v>
      </c>
      <c r="E127" s="291" t="s">
        <v>7</v>
      </c>
    </row>
    <row r="128" customFormat="false" ht="15" hidden="false" customHeight="false" outlineLevel="0" collapsed="false">
      <c r="A128" s="79" t="n">
        <v>1</v>
      </c>
      <c r="B128" s="40" t="s">
        <v>1077</v>
      </c>
      <c r="C128" s="35" t="n">
        <v>416500</v>
      </c>
      <c r="D128" s="41" t="n">
        <f aca="false">299500+100000+17000</f>
        <v>416500</v>
      </c>
      <c r="E128" s="42" t="n">
        <f aca="false">C128-D128</f>
        <v>0</v>
      </c>
    </row>
    <row r="129" customFormat="false" ht="15" hidden="false" customHeight="false" outlineLevel="0" collapsed="false">
      <c r="A129" s="79" t="n">
        <v>2</v>
      </c>
      <c r="B129" s="40" t="s">
        <v>1078</v>
      </c>
      <c r="C129" s="35" t="n">
        <v>416500</v>
      </c>
      <c r="D129" s="41"/>
      <c r="E129" s="42" t="n">
        <f aca="false">C129-D129</f>
        <v>416500</v>
      </c>
    </row>
    <row r="130" customFormat="false" ht="15" hidden="false" customHeight="false" outlineLevel="0" collapsed="false">
      <c r="A130" s="79" t="n">
        <v>3</v>
      </c>
      <c r="B130" s="40" t="s">
        <v>1079</v>
      </c>
      <c r="C130" s="35" t="n">
        <v>416500</v>
      </c>
      <c r="D130" s="41" t="n">
        <f aca="false">210000+206500</f>
        <v>416500</v>
      </c>
      <c r="E130" s="42" t="n">
        <f aca="false">C130-D130</f>
        <v>0</v>
      </c>
    </row>
    <row r="131" customFormat="false" ht="15" hidden="false" customHeight="false" outlineLevel="0" collapsed="false">
      <c r="A131" s="79" t="n">
        <v>4</v>
      </c>
      <c r="B131" s="40" t="s">
        <v>1080</v>
      </c>
      <c r="C131" s="35" t="n">
        <v>416500</v>
      </c>
      <c r="D131" s="41" t="n">
        <f aca="false">136000+230000+50000+500</f>
        <v>416500</v>
      </c>
      <c r="E131" s="42" t="n">
        <f aca="false">C131-D131</f>
        <v>0</v>
      </c>
    </row>
    <row r="132" customFormat="false" ht="15" hidden="false" customHeight="false" outlineLevel="0" collapsed="false">
      <c r="A132" s="79" t="n">
        <v>5</v>
      </c>
      <c r="B132" s="40" t="s">
        <v>1081</v>
      </c>
      <c r="C132" s="35" t="n">
        <v>416500</v>
      </c>
      <c r="D132" s="41" t="n">
        <f aca="false">300000+115500+1000</f>
        <v>416500</v>
      </c>
      <c r="E132" s="42" t="n">
        <f aca="false">C132-D132</f>
        <v>0</v>
      </c>
    </row>
    <row r="133" customFormat="false" ht="15" hidden="false" customHeight="false" outlineLevel="0" collapsed="false">
      <c r="A133" s="79" t="n">
        <v>6</v>
      </c>
      <c r="B133" s="40" t="s">
        <v>1082</v>
      </c>
      <c r="C133" s="35" t="n">
        <v>416500</v>
      </c>
      <c r="D133" s="41" t="n">
        <f aca="false">216500+200000</f>
        <v>416500</v>
      </c>
      <c r="E133" s="42" t="n">
        <f aca="false">C133-D133</f>
        <v>0</v>
      </c>
    </row>
    <row r="134" customFormat="false" ht="15" hidden="false" customHeight="false" outlineLevel="0" collapsed="false">
      <c r="A134" s="79" t="n">
        <v>7</v>
      </c>
      <c r="B134" s="40" t="s">
        <v>1083</v>
      </c>
      <c r="C134" s="35" t="n">
        <v>416500</v>
      </c>
      <c r="D134" s="41" t="n">
        <f aca="false">116500</f>
        <v>116500</v>
      </c>
      <c r="E134" s="42" t="n">
        <f aca="false">C134-D134</f>
        <v>300000</v>
      </c>
    </row>
    <row r="135" customFormat="false" ht="15" hidden="false" customHeight="false" outlineLevel="0" collapsed="false">
      <c r="A135" s="79" t="n">
        <v>8</v>
      </c>
      <c r="B135" s="40" t="s">
        <v>1084</v>
      </c>
      <c r="C135" s="35" t="n">
        <v>416500</v>
      </c>
      <c r="D135" s="41"/>
      <c r="E135" s="42" t="n">
        <f aca="false">C135-D135</f>
        <v>416500</v>
      </c>
    </row>
    <row r="136" customFormat="false" ht="15" hidden="false" customHeight="false" outlineLevel="0" collapsed="false">
      <c r="A136" s="79" t="n">
        <v>9</v>
      </c>
      <c r="B136" s="40" t="s">
        <v>1085</v>
      </c>
      <c r="C136" s="35" t="n">
        <v>416500</v>
      </c>
      <c r="D136" s="41"/>
      <c r="E136" s="42" t="n">
        <f aca="false">C136-D136</f>
        <v>416500</v>
      </c>
    </row>
    <row r="137" customFormat="false" ht="15" hidden="false" customHeight="false" outlineLevel="0" collapsed="false">
      <c r="A137" s="79" t="n">
        <v>10</v>
      </c>
      <c r="B137" s="40" t="s">
        <v>1086</v>
      </c>
      <c r="C137" s="35" t="n">
        <v>416500</v>
      </c>
      <c r="D137" s="41" t="n">
        <f aca="false">250000+166500</f>
        <v>416500</v>
      </c>
      <c r="E137" s="42" t="n">
        <f aca="false">C137-D137</f>
        <v>0</v>
      </c>
    </row>
    <row r="138" customFormat="false" ht="15" hidden="false" customHeight="false" outlineLevel="0" collapsed="false">
      <c r="A138" s="79" t="n">
        <v>11</v>
      </c>
      <c r="B138" s="40" t="s">
        <v>1087</v>
      </c>
      <c r="C138" s="35" t="n">
        <v>416500</v>
      </c>
      <c r="D138" s="41" t="n">
        <f aca="false">116500+100000+200000</f>
        <v>416500</v>
      </c>
      <c r="E138" s="42" t="n">
        <f aca="false">C138-D138</f>
        <v>0</v>
      </c>
    </row>
    <row r="139" customFormat="false" ht="15" hidden="false" customHeight="false" outlineLevel="0" collapsed="false">
      <c r="A139" s="79" t="n">
        <v>12</v>
      </c>
      <c r="B139" s="40" t="s">
        <v>1088</v>
      </c>
      <c r="C139" s="35" t="n">
        <v>416500</v>
      </c>
      <c r="D139" s="41" t="n">
        <f aca="false">200000+216500</f>
        <v>416500</v>
      </c>
      <c r="E139" s="42" t="n">
        <f aca="false">C139-D139</f>
        <v>0</v>
      </c>
    </row>
    <row r="140" customFormat="false" ht="15" hidden="false" customHeight="false" outlineLevel="0" collapsed="false">
      <c r="A140" s="79" t="n">
        <v>13</v>
      </c>
      <c r="B140" s="40" t="s">
        <v>1089</v>
      </c>
      <c r="C140" s="35" t="n">
        <v>416500</v>
      </c>
      <c r="D140" s="41" t="n">
        <f aca="false">301500+115000</f>
        <v>416500</v>
      </c>
      <c r="E140" s="42" t="n">
        <f aca="false">C140-D140</f>
        <v>0</v>
      </c>
    </row>
    <row r="141" customFormat="false" ht="15" hidden="false" customHeight="false" outlineLevel="0" collapsed="false">
      <c r="A141" s="79" t="n">
        <v>14</v>
      </c>
      <c r="B141" s="40" t="s">
        <v>1090</v>
      </c>
      <c r="C141" s="35" t="n">
        <v>416500</v>
      </c>
      <c r="D141" s="41" t="n">
        <v>416500</v>
      </c>
      <c r="E141" s="42" t="n">
        <f aca="false">C141-D141</f>
        <v>0</v>
      </c>
    </row>
    <row r="142" customFormat="false" ht="15" hidden="false" customHeight="false" outlineLevel="0" collapsed="false">
      <c r="A142" s="79" t="n">
        <v>15</v>
      </c>
      <c r="B142" s="40" t="s">
        <v>1091</v>
      </c>
      <c r="C142" s="35" t="n">
        <v>416500</v>
      </c>
      <c r="D142" s="41" t="n">
        <v>216000</v>
      </c>
      <c r="E142" s="42" t="n">
        <f aca="false">C142-D142</f>
        <v>200500</v>
      </c>
    </row>
    <row r="143" customFormat="false" ht="15" hidden="false" customHeight="false" outlineLevel="0" collapsed="false">
      <c r="A143" s="79" t="n">
        <v>16</v>
      </c>
      <c r="B143" s="40" t="s">
        <v>1092</v>
      </c>
      <c r="C143" s="35" t="n">
        <v>416500</v>
      </c>
      <c r="D143" s="41" t="n">
        <f aca="false">417000</f>
        <v>417000</v>
      </c>
      <c r="E143" s="42" t="n">
        <f aca="false">C143-D143</f>
        <v>-500</v>
      </c>
    </row>
    <row r="144" customFormat="false" ht="15" hidden="false" customHeight="false" outlineLevel="0" collapsed="false">
      <c r="A144" s="79" t="n">
        <v>17</v>
      </c>
      <c r="B144" s="40" t="s">
        <v>1093</v>
      </c>
      <c r="C144" s="35" t="n">
        <v>416500</v>
      </c>
      <c r="D144" s="41" t="n">
        <f aca="false">257000+160000</f>
        <v>417000</v>
      </c>
      <c r="E144" s="42" t="n">
        <f aca="false">C144-D144</f>
        <v>-500</v>
      </c>
    </row>
    <row r="145" customFormat="false" ht="15" hidden="false" customHeight="false" outlineLevel="0" collapsed="false">
      <c r="A145" s="79" t="n">
        <v>18</v>
      </c>
      <c r="B145" s="40" t="s">
        <v>1094</v>
      </c>
      <c r="C145" s="35" t="n">
        <v>416500</v>
      </c>
      <c r="D145" s="41"/>
      <c r="E145" s="42" t="n">
        <f aca="false">C145-D145</f>
        <v>416500</v>
      </c>
    </row>
    <row r="146" customFormat="false" ht="15" hidden="false" customHeight="false" outlineLevel="0" collapsed="false">
      <c r="A146" s="79" t="n">
        <v>19</v>
      </c>
      <c r="B146" s="40" t="s">
        <v>1095</v>
      </c>
      <c r="C146" s="35" t="n">
        <v>416500</v>
      </c>
      <c r="D146" s="41"/>
      <c r="E146" s="42" t="n">
        <f aca="false">C146-D146</f>
        <v>416500</v>
      </c>
    </row>
    <row r="147" customFormat="false" ht="15" hidden="false" customHeight="false" outlineLevel="0" collapsed="false">
      <c r="A147" s="79" t="n">
        <v>20</v>
      </c>
      <c r="B147" s="40" t="s">
        <v>1096</v>
      </c>
      <c r="C147" s="35" t="n">
        <v>616500</v>
      </c>
      <c r="D147" s="41" t="n">
        <v>616500</v>
      </c>
      <c r="E147" s="42" t="n">
        <f aca="false">C147-D147</f>
        <v>0</v>
      </c>
    </row>
    <row r="148" customFormat="false" ht="15" hidden="false" customHeight="false" outlineLevel="0" collapsed="false">
      <c r="A148" s="79" t="n">
        <v>21</v>
      </c>
      <c r="B148" s="40" t="s">
        <v>1097</v>
      </c>
      <c r="C148" s="35" t="n">
        <v>416500</v>
      </c>
      <c r="D148" s="41"/>
      <c r="E148" s="42" t="n">
        <f aca="false">C148-D148</f>
        <v>416500</v>
      </c>
    </row>
    <row r="149" customFormat="false" ht="15" hidden="false" customHeight="false" outlineLevel="0" collapsed="false">
      <c r="A149" s="79" t="n">
        <v>22</v>
      </c>
      <c r="B149" s="40" t="s">
        <v>1098</v>
      </c>
      <c r="C149" s="35" t="n">
        <v>416500</v>
      </c>
      <c r="D149" s="41"/>
      <c r="E149" s="42" t="n">
        <f aca="false">C149-D149</f>
        <v>416500</v>
      </c>
    </row>
    <row r="150" customFormat="false" ht="15" hidden="false" customHeight="false" outlineLevel="0" collapsed="false">
      <c r="A150" s="79" t="n">
        <v>23</v>
      </c>
      <c r="B150" s="40" t="s">
        <v>1099</v>
      </c>
      <c r="C150" s="35" t="n">
        <v>416500</v>
      </c>
      <c r="D150" s="41" t="n">
        <v>416500</v>
      </c>
      <c r="E150" s="42" t="n">
        <f aca="false">C150-D150</f>
        <v>0</v>
      </c>
    </row>
    <row r="151" customFormat="false" ht="17.35" hidden="false" customHeight="false" outlineLevel="0" collapsed="false">
      <c r="A151" s="79"/>
      <c r="B151" s="287" t="s">
        <v>24</v>
      </c>
      <c r="C151" s="27" t="n">
        <f aca="false">SUM(C128:C150)</f>
        <v>9779500</v>
      </c>
      <c r="D151" s="28" t="n">
        <f aca="false">SUM(D128:D150)</f>
        <v>6364500</v>
      </c>
      <c r="E151" s="293" t="n">
        <f aca="false">SUM(E128:E150)</f>
        <v>3415000</v>
      </c>
    </row>
    <row r="152" customFormat="false" ht="19.7" hidden="false" customHeight="false" outlineLevel="0" collapsed="false">
      <c r="A152" s="47"/>
      <c r="B152" s="48"/>
      <c r="C152" s="298"/>
      <c r="D152" s="49"/>
      <c r="E152" s="50"/>
    </row>
    <row r="154" customFormat="false" ht="17.35" hidden="false" customHeight="false" outlineLevel="0" collapsed="false">
      <c r="A154" s="3"/>
      <c r="B154" s="76" t="s">
        <v>0</v>
      </c>
      <c r="C154" s="1"/>
      <c r="D154" s="2"/>
      <c r="E154" s="2"/>
    </row>
    <row r="155" customFormat="false" ht="17.35" hidden="false" customHeight="false" outlineLevel="0" collapsed="false">
      <c r="A155" s="51"/>
      <c r="B155" s="1"/>
      <c r="C155" s="1"/>
      <c r="D155" s="2"/>
      <c r="E155" s="2"/>
    </row>
    <row r="156" customFormat="false" ht="13.8" hidden="false" customHeight="false" outlineLevel="0" collapsed="false">
      <c r="A156" s="3"/>
      <c r="B156" s="1"/>
      <c r="C156" s="1"/>
      <c r="D156" s="2"/>
      <c r="E156" s="2"/>
    </row>
    <row r="157" customFormat="false" ht="17.55" hidden="false" customHeight="false" outlineLevel="0" collapsed="false">
      <c r="A157" s="3"/>
      <c r="B157" s="125" t="s">
        <v>1100</v>
      </c>
      <c r="C157" s="1"/>
      <c r="D157" s="2"/>
      <c r="E157" s="2"/>
    </row>
    <row r="158" customFormat="false" ht="15" hidden="false" customHeight="false" outlineLevel="0" collapsed="false">
      <c r="A158" s="3"/>
      <c r="B158" s="1"/>
      <c r="C158" s="1"/>
      <c r="D158" s="6" t="s">
        <v>1003</v>
      </c>
      <c r="E158" s="2"/>
    </row>
    <row r="159" customFormat="false" ht="13.8" hidden="false" customHeight="false" outlineLevel="0" collapsed="false">
      <c r="A159" s="3"/>
      <c r="B159" s="1"/>
      <c r="C159" s="1"/>
      <c r="D159" s="2"/>
      <c r="E159" s="2"/>
    </row>
    <row r="160" customFormat="false" ht="15" hidden="false" customHeight="false" outlineLevel="0" collapsed="false">
      <c r="A160" s="7" t="s">
        <v>3</v>
      </c>
      <c r="B160" s="290" t="s">
        <v>4</v>
      </c>
      <c r="C160" s="9" t="s">
        <v>5</v>
      </c>
      <c r="D160" s="10" t="s">
        <v>6</v>
      </c>
      <c r="E160" s="291" t="s">
        <v>7</v>
      </c>
    </row>
    <row r="161" customFormat="false" ht="30.3" hidden="false" customHeight="false" outlineLevel="0" collapsed="false">
      <c r="A161" s="299" t="n">
        <v>1</v>
      </c>
      <c r="B161" s="300" t="s">
        <v>1101</v>
      </c>
      <c r="C161" s="14" t="n">
        <v>416500</v>
      </c>
      <c r="D161" s="61"/>
      <c r="E161" s="42" t="n">
        <f aca="false">C161-D161</f>
        <v>416500</v>
      </c>
    </row>
    <row r="162" customFormat="false" ht="15" hidden="false" customHeight="false" outlineLevel="0" collapsed="false">
      <c r="A162" s="301" t="n">
        <v>2</v>
      </c>
      <c r="B162" s="40" t="s">
        <v>1102</v>
      </c>
      <c r="C162" s="14" t="n">
        <v>416500</v>
      </c>
      <c r="D162" s="61"/>
      <c r="E162" s="42" t="n">
        <f aca="false">C162-D162</f>
        <v>416500</v>
      </c>
    </row>
    <row r="163" customFormat="false" ht="20.6" hidden="false" customHeight="false" outlineLevel="0" collapsed="false">
      <c r="A163" s="299" t="n">
        <v>3</v>
      </c>
      <c r="B163" s="300" t="s">
        <v>1103</v>
      </c>
      <c r="C163" s="14" t="n">
        <v>416500</v>
      </c>
      <c r="D163" s="61"/>
      <c r="E163" s="42" t="n">
        <f aca="false">C163-D163</f>
        <v>416500</v>
      </c>
    </row>
    <row r="164" customFormat="false" ht="15" hidden="false" customHeight="false" outlineLevel="0" collapsed="false">
      <c r="A164" s="299" t="n">
        <v>4</v>
      </c>
      <c r="B164" s="285" t="s">
        <v>1104</v>
      </c>
      <c r="C164" s="14" t="n">
        <v>416500</v>
      </c>
      <c r="D164" s="61" t="n">
        <f aca="false">150000+100000+166500</f>
        <v>416500</v>
      </c>
      <c r="E164" s="42" t="n">
        <f aca="false">C164-D164</f>
        <v>0</v>
      </c>
    </row>
    <row r="165" customFormat="false" ht="15" hidden="false" customHeight="false" outlineLevel="0" collapsed="false">
      <c r="A165" s="301" t="n">
        <v>5</v>
      </c>
      <c r="B165" s="302" t="s">
        <v>1105</v>
      </c>
      <c r="C165" s="14" t="n">
        <v>416500</v>
      </c>
      <c r="D165" s="61"/>
      <c r="E165" s="42" t="n">
        <f aca="false">C165-D165</f>
        <v>416500</v>
      </c>
    </row>
    <row r="166" customFormat="false" ht="15" hidden="false" customHeight="false" outlineLevel="0" collapsed="false">
      <c r="A166" s="299" t="n">
        <v>6</v>
      </c>
      <c r="B166" s="285" t="s">
        <v>1106</v>
      </c>
      <c r="C166" s="14" t="n">
        <v>416500</v>
      </c>
      <c r="D166" s="41" t="n">
        <v>416500</v>
      </c>
      <c r="E166" s="42" t="n">
        <f aca="false">C166-D166</f>
        <v>0</v>
      </c>
    </row>
    <row r="167" customFormat="false" ht="15" hidden="false" customHeight="false" outlineLevel="0" collapsed="false">
      <c r="A167" s="299" t="n">
        <v>7</v>
      </c>
      <c r="B167" s="285" t="s">
        <v>1107</v>
      </c>
      <c r="C167" s="14" t="n">
        <v>416500</v>
      </c>
      <c r="D167" s="61" t="n">
        <v>416500</v>
      </c>
      <c r="E167" s="42" t="n">
        <f aca="false">C167-D167</f>
        <v>0</v>
      </c>
    </row>
    <row r="168" customFormat="false" ht="15" hidden="false" customHeight="false" outlineLevel="0" collapsed="false">
      <c r="A168" s="301" t="n">
        <v>8</v>
      </c>
      <c r="B168" s="302" t="s">
        <v>1108</v>
      </c>
      <c r="C168" s="14" t="n">
        <v>416500</v>
      </c>
      <c r="D168" s="61" t="n">
        <f aca="false">280000+100000+36500</f>
        <v>416500</v>
      </c>
      <c r="E168" s="42" t="n">
        <f aca="false">C168-D168</f>
        <v>0</v>
      </c>
    </row>
    <row r="169" customFormat="false" ht="15" hidden="false" customHeight="false" outlineLevel="0" collapsed="false">
      <c r="A169" s="299" t="n">
        <v>9</v>
      </c>
      <c r="B169" s="285" t="s">
        <v>1109</v>
      </c>
      <c r="C169" s="14" t="n">
        <v>416500</v>
      </c>
      <c r="D169" s="61" t="n">
        <f aca="false">33000+125000+160000+98500</f>
        <v>416500</v>
      </c>
      <c r="E169" s="42" t="n">
        <f aca="false">C169-D169</f>
        <v>0</v>
      </c>
    </row>
    <row r="170" customFormat="false" ht="15" hidden="false" customHeight="false" outlineLevel="0" collapsed="false">
      <c r="A170" s="299" t="n">
        <v>10</v>
      </c>
      <c r="B170" s="285" t="s">
        <v>1110</v>
      </c>
      <c r="C170" s="14" t="n">
        <v>416500</v>
      </c>
      <c r="D170" s="61" t="n">
        <f aca="false">52000+150000+100000+30000+84500</f>
        <v>416500</v>
      </c>
      <c r="E170" s="42" t="n">
        <f aca="false">C170-D170</f>
        <v>0</v>
      </c>
    </row>
    <row r="171" customFormat="false" ht="15" hidden="false" customHeight="false" outlineLevel="0" collapsed="false">
      <c r="A171" s="301" t="n">
        <v>11</v>
      </c>
      <c r="B171" s="285" t="s">
        <v>1111</v>
      </c>
      <c r="C171" s="14" t="n">
        <v>416500</v>
      </c>
      <c r="D171" s="61" t="n">
        <f aca="false">336500+80000</f>
        <v>416500</v>
      </c>
      <c r="E171" s="42" t="n">
        <f aca="false">C171-D171</f>
        <v>0</v>
      </c>
    </row>
    <row r="172" customFormat="false" ht="15" hidden="false" customHeight="false" outlineLevel="0" collapsed="false">
      <c r="A172" s="299" t="n">
        <v>12</v>
      </c>
      <c r="B172" s="285" t="s">
        <v>1112</v>
      </c>
      <c r="C172" s="14" t="n">
        <v>416500</v>
      </c>
      <c r="D172" s="61"/>
      <c r="E172" s="42" t="n">
        <f aca="false">C172-D172</f>
        <v>416500</v>
      </c>
    </row>
    <row r="173" customFormat="false" ht="15" hidden="false" customHeight="false" outlineLevel="0" collapsed="false">
      <c r="A173" s="299"/>
      <c r="B173" s="285" t="s">
        <v>1113</v>
      </c>
      <c r="C173" s="14" t="n">
        <v>416500</v>
      </c>
      <c r="D173" s="61" t="n">
        <v>416500</v>
      </c>
      <c r="E173" s="42" t="n">
        <f aca="false">C173-D173</f>
        <v>0</v>
      </c>
    </row>
    <row r="174" customFormat="false" ht="15" hidden="false" customHeight="false" outlineLevel="0" collapsed="false">
      <c r="A174" s="299" t="n">
        <v>13</v>
      </c>
      <c r="B174" s="285" t="s">
        <v>1114</v>
      </c>
      <c r="C174" s="14" t="n">
        <v>416500</v>
      </c>
      <c r="D174" s="61"/>
      <c r="E174" s="42" t="n">
        <f aca="false">C174-D174</f>
        <v>416500</v>
      </c>
    </row>
    <row r="175" customFormat="false" ht="15" hidden="false" customHeight="false" outlineLevel="0" collapsed="false">
      <c r="A175" s="301" t="n">
        <v>14</v>
      </c>
      <c r="B175" s="285" t="s">
        <v>1115</v>
      </c>
      <c r="C175" s="14" t="n">
        <v>416500</v>
      </c>
      <c r="D175" s="61"/>
      <c r="E175" s="42" t="n">
        <f aca="false">C175-D175</f>
        <v>416500</v>
      </c>
    </row>
    <row r="176" customFormat="false" ht="15" hidden="false" customHeight="false" outlineLevel="0" collapsed="false">
      <c r="A176" s="299" t="n">
        <v>15</v>
      </c>
      <c r="B176" s="285" t="s">
        <v>1116</v>
      </c>
      <c r="C176" s="14" t="n">
        <v>416500</v>
      </c>
      <c r="D176" s="61" t="n">
        <f aca="false">200000+150000+66500</f>
        <v>416500</v>
      </c>
      <c r="E176" s="42" t="n">
        <f aca="false">C176-D176</f>
        <v>0</v>
      </c>
    </row>
    <row r="177" customFormat="false" ht="15" hidden="false" customHeight="false" outlineLevel="0" collapsed="false">
      <c r="A177" s="299" t="n">
        <v>16</v>
      </c>
      <c r="B177" s="285" t="s">
        <v>1117</v>
      </c>
      <c r="C177" s="14" t="n">
        <v>416500</v>
      </c>
      <c r="D177" s="61" t="n">
        <f aca="false">101500+65000+250000</f>
        <v>416500</v>
      </c>
      <c r="E177" s="42" t="n">
        <f aca="false">C177-D177</f>
        <v>0</v>
      </c>
    </row>
    <row r="178" customFormat="false" ht="15" hidden="false" customHeight="false" outlineLevel="0" collapsed="false">
      <c r="A178" s="301" t="n">
        <v>17</v>
      </c>
      <c r="B178" s="40" t="s">
        <v>1118</v>
      </c>
      <c r="C178" s="14" t="n">
        <v>416500</v>
      </c>
      <c r="D178" s="61" t="n">
        <f aca="false">333000+83500</f>
        <v>416500</v>
      </c>
      <c r="E178" s="42" t="n">
        <f aca="false">C178-D178</f>
        <v>0</v>
      </c>
    </row>
    <row r="179" customFormat="false" ht="17.35" hidden="false" customHeight="false" outlineLevel="0" collapsed="false">
      <c r="A179" s="44"/>
      <c r="B179" s="287" t="s">
        <v>24</v>
      </c>
      <c r="C179" s="27" t="n">
        <f aca="false">SUM(C161:C178)</f>
        <v>7497000</v>
      </c>
      <c r="D179" s="28" t="n">
        <f aca="false">SUM(D161:D178)</f>
        <v>4581500</v>
      </c>
      <c r="E179" s="293" t="n">
        <f aca="false">SUM(E161:E178)</f>
        <v>2915500</v>
      </c>
    </row>
    <row r="180" customFormat="false" ht="17.35" hidden="false" customHeight="false" outlineLevel="0" collapsed="false">
      <c r="A180" s="1"/>
      <c r="B180" s="30"/>
      <c r="C180" s="108"/>
      <c r="D180" s="31"/>
      <c r="E180" s="32"/>
    </row>
    <row r="194" customFormat="false" ht="17.35" hidden="false" customHeight="false" outlineLevel="0" collapsed="false">
      <c r="A194" s="3"/>
      <c r="B194" s="76" t="s">
        <v>0</v>
      </c>
      <c r="C194" s="1"/>
      <c r="D194" s="2"/>
      <c r="E194" s="2"/>
    </row>
    <row r="195" customFormat="false" ht="17.35" hidden="false" customHeight="false" outlineLevel="0" collapsed="false">
      <c r="A195" s="51"/>
      <c r="B195" s="1"/>
      <c r="C195" s="1"/>
      <c r="D195" s="2"/>
      <c r="E195" s="2"/>
    </row>
    <row r="196" customFormat="false" ht="13.8" hidden="false" customHeight="false" outlineLevel="0" collapsed="false">
      <c r="A196" s="3"/>
      <c r="B196" s="1"/>
      <c r="C196" s="1"/>
      <c r="D196" s="2"/>
      <c r="E196" s="2"/>
    </row>
    <row r="197" customFormat="false" ht="17.55" hidden="false" customHeight="false" outlineLevel="0" collapsed="false">
      <c r="A197" s="3"/>
      <c r="B197" s="125" t="s">
        <v>1100</v>
      </c>
      <c r="C197" s="1"/>
      <c r="D197" s="2"/>
      <c r="E197" s="2"/>
    </row>
    <row r="198" customFormat="false" ht="15" hidden="false" customHeight="false" outlineLevel="0" collapsed="false">
      <c r="A198" s="3"/>
      <c r="B198" s="1"/>
      <c r="C198" s="1"/>
      <c r="D198" s="6" t="s">
        <v>1029</v>
      </c>
      <c r="E198" s="2"/>
    </row>
    <row r="199" customFormat="false" ht="13.8" hidden="false" customHeight="false" outlineLevel="0" collapsed="false">
      <c r="A199" s="3"/>
      <c r="B199" s="1"/>
      <c r="C199" s="1"/>
      <c r="D199" s="2"/>
      <c r="E199" s="2"/>
    </row>
    <row r="200" customFormat="false" ht="15" hidden="false" customHeight="false" outlineLevel="0" collapsed="false">
      <c r="A200" s="7" t="s">
        <v>3</v>
      </c>
      <c r="B200" s="290" t="s">
        <v>4</v>
      </c>
      <c r="C200" s="9" t="s">
        <v>5</v>
      </c>
      <c r="D200" s="10" t="s">
        <v>6</v>
      </c>
      <c r="E200" s="291" t="s">
        <v>7</v>
      </c>
    </row>
    <row r="201" customFormat="false" ht="15" hidden="false" customHeight="false" outlineLevel="0" collapsed="false">
      <c r="A201" s="303" t="n">
        <v>1</v>
      </c>
      <c r="B201" s="285" t="s">
        <v>1119</v>
      </c>
      <c r="C201" s="61" t="n">
        <v>416500</v>
      </c>
      <c r="D201" s="15" t="n">
        <f aca="false">316500+100000</f>
        <v>416500</v>
      </c>
      <c r="E201" s="42" t="n">
        <f aca="false">C201-D201</f>
        <v>0</v>
      </c>
    </row>
    <row r="202" customFormat="false" ht="15" hidden="false" customHeight="false" outlineLevel="0" collapsed="false">
      <c r="A202" s="303" t="n">
        <v>2</v>
      </c>
      <c r="B202" s="285" t="s">
        <v>1120</v>
      </c>
      <c r="C202" s="61" t="n">
        <v>416500</v>
      </c>
      <c r="D202" s="15" t="n">
        <f aca="false">183000+233500</f>
        <v>416500</v>
      </c>
      <c r="E202" s="42" t="n">
        <f aca="false">C202-D202</f>
        <v>0</v>
      </c>
    </row>
    <row r="203" customFormat="false" ht="15" hidden="false" customHeight="false" outlineLevel="0" collapsed="false">
      <c r="A203" s="304" t="n">
        <v>3</v>
      </c>
      <c r="B203" s="285" t="s">
        <v>1121</v>
      </c>
      <c r="C203" s="61" t="n">
        <v>416500</v>
      </c>
      <c r="D203" s="61" t="n">
        <v>416500</v>
      </c>
      <c r="E203" s="42" t="n">
        <f aca="false">C203-D203</f>
        <v>0</v>
      </c>
    </row>
    <row r="204" customFormat="false" ht="15" hidden="false" customHeight="false" outlineLevel="0" collapsed="false">
      <c r="A204" s="303" t="n">
        <v>4</v>
      </c>
      <c r="B204" s="40" t="s">
        <v>1122</v>
      </c>
      <c r="C204" s="35" t="n">
        <v>416500</v>
      </c>
      <c r="D204" s="61" t="n">
        <f aca="false">412500+4000</f>
        <v>416500</v>
      </c>
      <c r="E204" s="42" t="n">
        <f aca="false">C204-D204</f>
        <v>0</v>
      </c>
    </row>
    <row r="205" customFormat="false" ht="15" hidden="false" customHeight="false" outlineLevel="0" collapsed="false">
      <c r="A205" s="303" t="n">
        <v>5</v>
      </c>
      <c r="B205" s="285" t="s">
        <v>1123</v>
      </c>
      <c r="C205" s="35" t="n">
        <v>416500</v>
      </c>
      <c r="D205" s="61"/>
      <c r="E205" s="42" t="n">
        <f aca="false">C205-D205</f>
        <v>416500</v>
      </c>
    </row>
    <row r="206" customFormat="false" ht="15" hidden="false" customHeight="false" outlineLevel="0" collapsed="false">
      <c r="A206" s="303" t="n">
        <v>6</v>
      </c>
      <c r="B206" s="302" t="s">
        <v>1124</v>
      </c>
      <c r="C206" s="61" t="n">
        <v>416500</v>
      </c>
      <c r="D206" s="61" t="n">
        <f aca="false">216500+100000+100000</f>
        <v>416500</v>
      </c>
      <c r="E206" s="42" t="n">
        <f aca="false">C206-D206</f>
        <v>0</v>
      </c>
    </row>
    <row r="207" customFormat="false" ht="15" hidden="false" customHeight="false" outlineLevel="0" collapsed="false">
      <c r="A207" s="304" t="n">
        <v>7</v>
      </c>
      <c r="B207" s="302" t="s">
        <v>1125</v>
      </c>
      <c r="C207" s="35" t="n">
        <v>416500</v>
      </c>
      <c r="D207" s="61"/>
      <c r="E207" s="42" t="n">
        <f aca="false">C207-D207</f>
        <v>416500</v>
      </c>
    </row>
    <row r="208" customFormat="false" ht="15" hidden="false" customHeight="false" outlineLevel="0" collapsed="false">
      <c r="A208" s="303" t="n">
        <v>8</v>
      </c>
      <c r="B208" s="285" t="s">
        <v>1126</v>
      </c>
      <c r="C208" s="35" t="n">
        <v>416500</v>
      </c>
      <c r="D208" s="61" t="n">
        <f aca="false">216500+1500</f>
        <v>218000</v>
      </c>
      <c r="E208" s="42" t="n">
        <f aca="false">C208-D208</f>
        <v>198500</v>
      </c>
    </row>
    <row r="209" customFormat="false" ht="15" hidden="false" customHeight="false" outlineLevel="0" collapsed="false">
      <c r="A209" s="303" t="n">
        <v>9</v>
      </c>
      <c r="B209" s="285" t="s">
        <v>1127</v>
      </c>
      <c r="C209" s="35" t="n">
        <v>416500</v>
      </c>
      <c r="D209" s="61"/>
      <c r="E209" s="42" t="n">
        <f aca="false">C209-D209</f>
        <v>416500</v>
      </c>
    </row>
    <row r="210" customFormat="false" ht="15" hidden="false" customHeight="false" outlineLevel="0" collapsed="false">
      <c r="A210" s="303" t="n">
        <v>10</v>
      </c>
      <c r="B210" s="285" t="s">
        <v>1128</v>
      </c>
      <c r="C210" s="35" t="n">
        <v>416500</v>
      </c>
      <c r="D210" s="61" t="n">
        <f aca="false">67000+250000</f>
        <v>317000</v>
      </c>
      <c r="E210" s="42" t="n">
        <f aca="false">C210-D210</f>
        <v>99500</v>
      </c>
    </row>
    <row r="211" customFormat="false" ht="15" hidden="false" customHeight="false" outlineLevel="0" collapsed="false">
      <c r="A211" s="304" t="n">
        <v>11</v>
      </c>
      <c r="B211" s="285" t="s">
        <v>1129</v>
      </c>
      <c r="C211" s="35" t="n">
        <v>416500</v>
      </c>
      <c r="D211" s="61"/>
      <c r="E211" s="42" t="n">
        <f aca="false">C211-D211</f>
        <v>416500</v>
      </c>
    </row>
    <row r="212" customFormat="false" ht="15" hidden="false" customHeight="false" outlineLevel="0" collapsed="false">
      <c r="A212" s="303" t="n">
        <v>12</v>
      </c>
      <c r="B212" s="285" t="s">
        <v>1130</v>
      </c>
      <c r="C212" s="35" t="n">
        <v>416500</v>
      </c>
      <c r="D212" s="61" t="n">
        <f aca="false">216500+200000</f>
        <v>416500</v>
      </c>
      <c r="E212" s="42" t="n">
        <f aca="false">C212-D212</f>
        <v>0</v>
      </c>
    </row>
    <row r="213" customFormat="false" ht="15" hidden="false" customHeight="false" outlineLevel="0" collapsed="false">
      <c r="A213" s="303" t="n">
        <v>13</v>
      </c>
      <c r="B213" s="285" t="s">
        <v>1131</v>
      </c>
      <c r="C213" s="35" t="n">
        <v>416500</v>
      </c>
      <c r="D213" s="61"/>
      <c r="E213" s="42" t="n">
        <f aca="false">C213-D213</f>
        <v>416500</v>
      </c>
    </row>
    <row r="214" customFormat="false" ht="15" hidden="false" customHeight="false" outlineLevel="0" collapsed="false">
      <c r="A214" s="303" t="n">
        <v>14</v>
      </c>
      <c r="B214" s="285" t="s">
        <v>1132</v>
      </c>
      <c r="C214" s="35" t="n">
        <v>416500</v>
      </c>
      <c r="D214" s="61" t="n">
        <f aca="false">300000</f>
        <v>300000</v>
      </c>
      <c r="E214" s="42" t="n">
        <f aca="false">C214-D214</f>
        <v>116500</v>
      </c>
    </row>
    <row r="215" customFormat="false" ht="15" hidden="false" customHeight="false" outlineLevel="0" collapsed="false">
      <c r="A215" s="304" t="n">
        <v>15</v>
      </c>
      <c r="B215" s="285" t="s">
        <v>1133</v>
      </c>
      <c r="C215" s="35" t="n">
        <v>416500</v>
      </c>
      <c r="D215" s="61" t="n">
        <v>416500</v>
      </c>
      <c r="E215" s="42" t="n">
        <f aca="false">C215-D215</f>
        <v>0</v>
      </c>
    </row>
    <row r="216" customFormat="false" ht="15" hidden="false" customHeight="false" outlineLevel="0" collapsed="false">
      <c r="A216" s="303" t="n">
        <v>16</v>
      </c>
      <c r="B216" s="285" t="s">
        <v>1134</v>
      </c>
      <c r="C216" s="35" t="n">
        <v>416500</v>
      </c>
      <c r="D216" s="61" t="n">
        <f aca="false">267000+100000+49500</f>
        <v>416500</v>
      </c>
      <c r="E216" s="42" t="n">
        <f aca="false">C216-D216</f>
        <v>0</v>
      </c>
    </row>
    <row r="217" customFormat="false" ht="15" hidden="false" customHeight="false" outlineLevel="0" collapsed="false">
      <c r="A217" s="303" t="n">
        <v>17</v>
      </c>
      <c r="B217" s="285" t="s">
        <v>1135</v>
      </c>
      <c r="C217" s="35" t="n">
        <v>416500</v>
      </c>
      <c r="D217" s="61"/>
      <c r="E217" s="42" t="n">
        <f aca="false">C217-D217</f>
        <v>416500</v>
      </c>
    </row>
    <row r="218" customFormat="false" ht="15" hidden="false" customHeight="false" outlineLevel="0" collapsed="false">
      <c r="A218" s="303" t="n">
        <v>18</v>
      </c>
      <c r="B218" s="285" t="s">
        <v>1136</v>
      </c>
      <c r="C218" s="35" t="n">
        <v>416500</v>
      </c>
      <c r="D218" s="61" t="n">
        <f aca="false">212000+204500</f>
        <v>416500</v>
      </c>
      <c r="E218" s="42" t="n">
        <f aca="false">C218-D218</f>
        <v>0</v>
      </c>
    </row>
    <row r="219" customFormat="false" ht="15" hidden="false" customHeight="false" outlineLevel="0" collapsed="false">
      <c r="A219" s="304" t="n">
        <v>19</v>
      </c>
      <c r="B219" s="285" t="s">
        <v>1137</v>
      </c>
      <c r="C219" s="61" t="n">
        <v>416500</v>
      </c>
      <c r="D219" s="61" t="n">
        <v>416500</v>
      </c>
      <c r="E219" s="42" t="n">
        <f aca="false">C219-D219</f>
        <v>0</v>
      </c>
    </row>
    <row r="220" customFormat="false" ht="15" hidden="false" customHeight="false" outlineLevel="0" collapsed="false">
      <c r="A220" s="303" t="n">
        <v>20</v>
      </c>
      <c r="B220" s="285" t="s">
        <v>1138</v>
      </c>
      <c r="C220" s="61" t="n">
        <v>416500</v>
      </c>
      <c r="D220" s="61" t="n">
        <f aca="false">316500+100000</f>
        <v>416500</v>
      </c>
      <c r="E220" s="42" t="n">
        <f aca="false">C220-D220</f>
        <v>0</v>
      </c>
    </row>
    <row r="221" customFormat="false" ht="15" hidden="false" customHeight="false" outlineLevel="0" collapsed="false">
      <c r="A221" s="303" t="n">
        <v>21</v>
      </c>
      <c r="B221" s="40" t="s">
        <v>1139</v>
      </c>
      <c r="C221" s="35" t="n">
        <v>416500</v>
      </c>
      <c r="D221" s="61" t="n">
        <f aca="false">243500+173000</f>
        <v>416500</v>
      </c>
      <c r="E221" s="42" t="n">
        <f aca="false">C221-D221</f>
        <v>0</v>
      </c>
    </row>
    <row r="222" customFormat="false" ht="15" hidden="false" customHeight="false" outlineLevel="0" collapsed="false">
      <c r="A222" s="303" t="n">
        <v>22</v>
      </c>
      <c r="B222" s="285" t="s">
        <v>1140</v>
      </c>
      <c r="C222" s="35" t="n">
        <v>416500</v>
      </c>
      <c r="D222" s="61"/>
      <c r="E222" s="42" t="n">
        <f aca="false">C222-D222</f>
        <v>416500</v>
      </c>
    </row>
    <row r="223" customFormat="false" ht="17.35" hidden="false" customHeight="false" outlineLevel="0" collapsed="false">
      <c r="A223" s="44"/>
      <c r="B223" s="287" t="s">
        <v>24</v>
      </c>
      <c r="C223" s="27" t="n">
        <f aca="false">SUM(C201:C222)</f>
        <v>9163000</v>
      </c>
      <c r="D223" s="28" t="n">
        <f aca="false">SUM(D201:D222)</f>
        <v>5833000</v>
      </c>
      <c r="E223" s="293" t="n">
        <f aca="false">SUM(E201:E222)</f>
        <v>3330000</v>
      </c>
    </row>
    <row r="224" customFormat="false" ht="17.35" hidden="false" customHeight="false" outlineLevel="0" collapsed="false">
      <c r="A224" s="1"/>
      <c r="B224" s="75"/>
      <c r="C224" s="298"/>
      <c r="D224" s="49"/>
      <c r="E224" s="50"/>
    </row>
    <row r="226" customFormat="false" ht="17.35" hidden="false" customHeight="false" outlineLevel="0" collapsed="false">
      <c r="A226" s="1"/>
      <c r="B226" s="76" t="s">
        <v>0</v>
      </c>
      <c r="C226" s="1"/>
      <c r="D226" s="2"/>
      <c r="E226" s="2"/>
    </row>
    <row r="227" customFormat="false" ht="13.8" hidden="false" customHeight="false" outlineLevel="0" collapsed="false">
      <c r="A227" s="3"/>
      <c r="B227" s="1"/>
      <c r="C227" s="1"/>
      <c r="D227" s="2"/>
      <c r="E227" s="2"/>
    </row>
    <row r="228" customFormat="false" ht="13.8" hidden="false" customHeight="false" outlineLevel="0" collapsed="false">
      <c r="A228" s="3"/>
      <c r="B228" s="1"/>
      <c r="C228" s="1"/>
      <c r="D228" s="2"/>
      <c r="E228" s="2"/>
    </row>
    <row r="229" customFormat="false" ht="17.55" hidden="false" customHeight="false" outlineLevel="0" collapsed="false">
      <c r="A229" s="3"/>
      <c r="B229" s="125" t="s">
        <v>241</v>
      </c>
      <c r="C229" s="1"/>
      <c r="D229" s="2"/>
      <c r="E229" s="2"/>
    </row>
    <row r="230" customFormat="false" ht="15" hidden="false" customHeight="false" outlineLevel="0" collapsed="false">
      <c r="A230" s="3"/>
      <c r="B230" s="1"/>
      <c r="C230" s="1"/>
      <c r="D230" s="2"/>
      <c r="E230" s="6" t="s">
        <v>1003</v>
      </c>
    </row>
    <row r="231" customFormat="false" ht="13.8" hidden="false" customHeight="false" outlineLevel="0" collapsed="false">
      <c r="A231" s="3"/>
      <c r="B231" s="1"/>
      <c r="C231" s="1"/>
      <c r="D231" s="2"/>
      <c r="E231" s="2"/>
    </row>
    <row r="232" customFormat="false" ht="15" hidden="false" customHeight="false" outlineLevel="0" collapsed="false">
      <c r="A232" s="7" t="s">
        <v>3</v>
      </c>
      <c r="B232" s="290" t="s">
        <v>4</v>
      </c>
      <c r="C232" s="9" t="s">
        <v>5</v>
      </c>
      <c r="D232" s="10" t="s">
        <v>6</v>
      </c>
      <c r="E232" s="291" t="s">
        <v>7</v>
      </c>
    </row>
    <row r="233" customFormat="false" ht="15" hidden="false" customHeight="false" outlineLevel="0" collapsed="false">
      <c r="A233" s="79" t="n">
        <v>1</v>
      </c>
      <c r="B233" s="285" t="s">
        <v>1141</v>
      </c>
      <c r="C233" s="35" t="n">
        <v>416500</v>
      </c>
      <c r="D233" s="61" t="n">
        <f aca="false">99500+100000+67000+150000</f>
        <v>416500</v>
      </c>
      <c r="E233" s="42" t="n">
        <f aca="false">C233-D233</f>
        <v>0</v>
      </c>
    </row>
    <row r="234" customFormat="false" ht="15" hidden="false" customHeight="false" outlineLevel="0" collapsed="false">
      <c r="A234" s="79" t="n">
        <v>2</v>
      </c>
      <c r="B234" s="285" t="s">
        <v>1142</v>
      </c>
      <c r="C234" s="35" t="n">
        <v>416500</v>
      </c>
      <c r="D234" s="61" t="n">
        <f aca="false">33000+187500</f>
        <v>220500</v>
      </c>
      <c r="E234" s="42" t="n">
        <f aca="false">C234-D234</f>
        <v>196000</v>
      </c>
    </row>
    <row r="235" customFormat="false" ht="15" hidden="false" customHeight="false" outlineLevel="0" collapsed="false">
      <c r="A235" s="113" t="n">
        <v>3</v>
      </c>
      <c r="B235" s="285" t="s">
        <v>1143</v>
      </c>
      <c r="C235" s="35" t="n">
        <v>416500</v>
      </c>
      <c r="D235" s="61" t="n">
        <f aca="false">190000+126500+100500</f>
        <v>417000</v>
      </c>
      <c r="E235" s="42" t="n">
        <f aca="false">C235-D235</f>
        <v>-500</v>
      </c>
    </row>
    <row r="236" customFormat="false" ht="15" hidden="false" customHeight="false" outlineLevel="0" collapsed="false">
      <c r="A236" s="79" t="n">
        <v>4</v>
      </c>
      <c r="B236" s="285" t="s">
        <v>1144</v>
      </c>
      <c r="C236" s="35" t="n">
        <v>416500</v>
      </c>
      <c r="D236" s="61" t="n">
        <f aca="false">99500+316500</f>
        <v>416000</v>
      </c>
      <c r="E236" s="42" t="n">
        <f aca="false">C236-D236</f>
        <v>500</v>
      </c>
    </row>
    <row r="237" customFormat="false" ht="15" hidden="false" customHeight="false" outlineLevel="0" collapsed="false">
      <c r="A237" s="79" t="n">
        <v>5</v>
      </c>
      <c r="B237" s="285" t="s">
        <v>1145</v>
      </c>
      <c r="C237" s="35" t="n">
        <v>416500</v>
      </c>
      <c r="D237" s="61" t="n">
        <f aca="false">320000+96500</f>
        <v>416500</v>
      </c>
      <c r="E237" s="42" t="n">
        <f aca="false">C237-D237</f>
        <v>0</v>
      </c>
    </row>
    <row r="238" customFormat="false" ht="15" hidden="false" customHeight="false" outlineLevel="0" collapsed="false">
      <c r="A238" s="113" t="n">
        <v>6</v>
      </c>
      <c r="B238" s="285" t="s">
        <v>1146</v>
      </c>
      <c r="C238" s="35" t="n">
        <v>416500</v>
      </c>
      <c r="D238" s="61" t="n">
        <f aca="false">100000+317000</f>
        <v>417000</v>
      </c>
      <c r="E238" s="42" t="n">
        <f aca="false">C238-D238</f>
        <v>-500</v>
      </c>
    </row>
    <row r="239" customFormat="false" ht="15" hidden="false" customHeight="false" outlineLevel="0" collapsed="false">
      <c r="A239" s="79" t="n">
        <v>7</v>
      </c>
      <c r="B239" s="285" t="s">
        <v>1147</v>
      </c>
      <c r="C239" s="35" t="n">
        <v>416500</v>
      </c>
      <c r="D239" s="61" t="n">
        <f aca="false">200000+216500</f>
        <v>416500</v>
      </c>
      <c r="E239" s="42" t="n">
        <f aca="false">C239-D239</f>
        <v>0</v>
      </c>
    </row>
    <row r="240" customFormat="false" ht="15" hidden="false" customHeight="false" outlineLevel="0" collapsed="false">
      <c r="A240" s="79" t="n">
        <v>8</v>
      </c>
      <c r="B240" s="285" t="s">
        <v>1148</v>
      </c>
      <c r="C240" s="35" t="n">
        <v>416500</v>
      </c>
      <c r="D240" s="61" t="n">
        <f aca="false">200000+216500</f>
        <v>416500</v>
      </c>
      <c r="E240" s="42" t="n">
        <f aca="false">C240-D240</f>
        <v>0</v>
      </c>
    </row>
    <row r="241" customFormat="false" ht="15" hidden="false" customHeight="false" outlineLevel="0" collapsed="false">
      <c r="A241" s="113" t="n">
        <v>9</v>
      </c>
      <c r="B241" s="285" t="s">
        <v>1149</v>
      </c>
      <c r="C241" s="35" t="n">
        <v>416500</v>
      </c>
      <c r="D241" s="305" t="n">
        <f aca="false">100000+317000</f>
        <v>417000</v>
      </c>
      <c r="E241" s="42" t="n">
        <f aca="false">C241-D241</f>
        <v>-500</v>
      </c>
    </row>
    <row r="242" customFormat="false" ht="15" hidden="false" customHeight="false" outlineLevel="0" collapsed="false">
      <c r="A242" s="79" t="n">
        <v>10</v>
      </c>
      <c r="B242" s="285" t="s">
        <v>1150</v>
      </c>
      <c r="C242" s="35" t="n">
        <v>416500</v>
      </c>
      <c r="D242" s="61" t="n">
        <f aca="false">100000+316500</f>
        <v>416500</v>
      </c>
      <c r="E242" s="42" t="n">
        <f aca="false">C242-D242</f>
        <v>0</v>
      </c>
    </row>
    <row r="243" customFormat="false" ht="17.35" hidden="false" customHeight="false" outlineLevel="0" collapsed="false">
      <c r="A243" s="79"/>
      <c r="B243" s="287" t="s">
        <v>24</v>
      </c>
      <c r="C243" s="27" t="n">
        <f aca="false">SUM(C233:C242)</f>
        <v>4165000</v>
      </c>
      <c r="D243" s="28" t="n">
        <f aca="false">SUM(D233:D242)</f>
        <v>3970000</v>
      </c>
      <c r="E243" s="293" t="n">
        <f aca="false">SUM(E233:E242)</f>
        <v>195000</v>
      </c>
    </row>
    <row r="244" customFormat="false" ht="17.35" hidden="false" customHeight="false" outlineLevel="0" collapsed="false">
      <c r="A244" s="1"/>
      <c r="B244" s="30"/>
      <c r="C244" s="108"/>
      <c r="D244" s="31"/>
      <c r="E244" s="32"/>
    </row>
    <row r="247" customFormat="false" ht="17.35" hidden="false" customHeight="false" outlineLevel="0" collapsed="false">
      <c r="A247" s="1"/>
      <c r="B247" s="76" t="s">
        <v>0</v>
      </c>
      <c r="C247" s="1"/>
      <c r="D247" s="2"/>
      <c r="E247" s="2"/>
    </row>
    <row r="248" customFormat="false" ht="13.8" hidden="false" customHeight="false" outlineLevel="0" collapsed="false">
      <c r="A248" s="3"/>
      <c r="B248" s="1"/>
      <c r="C248" s="1"/>
      <c r="D248" s="2"/>
      <c r="E248" s="2"/>
    </row>
    <row r="249" customFormat="false" ht="13.8" hidden="false" customHeight="false" outlineLevel="0" collapsed="false">
      <c r="A249" s="3"/>
      <c r="B249" s="1"/>
      <c r="C249" s="1"/>
      <c r="D249" s="2"/>
      <c r="E249" s="2"/>
    </row>
    <row r="250" customFormat="false" ht="17.55" hidden="false" customHeight="false" outlineLevel="0" collapsed="false">
      <c r="A250" s="3"/>
      <c r="B250" s="125" t="s">
        <v>241</v>
      </c>
      <c r="C250" s="1"/>
      <c r="D250" s="2"/>
      <c r="E250" s="2"/>
    </row>
    <row r="251" customFormat="false" ht="15" hidden="false" customHeight="false" outlineLevel="0" collapsed="false">
      <c r="A251" s="3"/>
      <c r="B251" s="1"/>
      <c r="C251" s="1"/>
      <c r="D251" s="2"/>
      <c r="E251" s="6" t="s">
        <v>1029</v>
      </c>
    </row>
    <row r="252" customFormat="false" ht="13.8" hidden="false" customHeight="false" outlineLevel="0" collapsed="false">
      <c r="A252" s="3"/>
      <c r="B252" s="1"/>
      <c r="C252" s="1"/>
      <c r="D252" s="2"/>
      <c r="E252" s="2"/>
    </row>
    <row r="253" customFormat="false" ht="15" hidden="false" customHeight="false" outlineLevel="0" collapsed="false">
      <c r="A253" s="7" t="s">
        <v>3</v>
      </c>
      <c r="B253" s="290" t="s">
        <v>4</v>
      </c>
      <c r="C253" s="9" t="s">
        <v>5</v>
      </c>
      <c r="D253" s="10" t="s">
        <v>6</v>
      </c>
      <c r="E253" s="291" t="s">
        <v>7</v>
      </c>
    </row>
    <row r="254" customFormat="false" ht="15" hidden="false" customHeight="false" outlineLevel="0" collapsed="false">
      <c r="A254" s="79" t="n">
        <v>1</v>
      </c>
      <c r="B254" s="286" t="s">
        <v>1151</v>
      </c>
      <c r="C254" s="35" t="n">
        <v>416500</v>
      </c>
      <c r="D254" s="61" t="n">
        <f aca="false">216500+200000</f>
        <v>416500</v>
      </c>
      <c r="E254" s="42" t="n">
        <f aca="false">C254-D254</f>
        <v>0</v>
      </c>
    </row>
    <row r="255" customFormat="false" ht="15" hidden="false" customHeight="false" outlineLevel="0" collapsed="false">
      <c r="A255" s="79" t="n">
        <v>2</v>
      </c>
      <c r="B255" s="285" t="s">
        <v>1152</v>
      </c>
      <c r="C255" s="35" t="n">
        <v>416500</v>
      </c>
      <c r="D255" s="61"/>
      <c r="E255" s="42" t="n">
        <f aca="false">C255-D255</f>
        <v>416500</v>
      </c>
    </row>
    <row r="256" customFormat="false" ht="15" hidden="false" customHeight="false" outlineLevel="0" collapsed="false">
      <c r="A256" s="79" t="n">
        <v>3</v>
      </c>
      <c r="B256" s="285" t="s">
        <v>1153</v>
      </c>
      <c r="C256" s="35" t="n">
        <v>416500</v>
      </c>
      <c r="D256" s="61" t="n">
        <f aca="false">216500+200000</f>
        <v>416500</v>
      </c>
      <c r="E256" s="42" t="n">
        <f aca="false">C256-D256</f>
        <v>0</v>
      </c>
    </row>
    <row r="257" customFormat="false" ht="15" hidden="false" customHeight="false" outlineLevel="0" collapsed="false">
      <c r="A257" s="79" t="n">
        <v>4</v>
      </c>
      <c r="B257" s="285" t="s">
        <v>1154</v>
      </c>
      <c r="C257" s="61" t="n">
        <v>416500</v>
      </c>
      <c r="D257" s="61" t="n">
        <f aca="false">416500</f>
        <v>416500</v>
      </c>
      <c r="E257" s="42" t="n">
        <f aca="false">C257-D257</f>
        <v>0</v>
      </c>
    </row>
    <row r="258" customFormat="false" ht="15" hidden="false" customHeight="false" outlineLevel="0" collapsed="false">
      <c r="A258" s="79" t="n">
        <v>5</v>
      </c>
      <c r="B258" s="285" t="s">
        <v>1155</v>
      </c>
      <c r="C258" s="35" t="n">
        <v>416500</v>
      </c>
      <c r="D258" s="61" t="n">
        <f aca="false">216500+200000</f>
        <v>416500</v>
      </c>
      <c r="E258" s="42" t="n">
        <f aca="false">C258-D258</f>
        <v>0</v>
      </c>
    </row>
    <row r="259" customFormat="false" ht="15" hidden="false" customHeight="false" outlineLevel="0" collapsed="false">
      <c r="A259" s="79" t="n">
        <v>6</v>
      </c>
      <c r="B259" s="285" t="s">
        <v>1156</v>
      </c>
      <c r="C259" s="35" t="n">
        <v>416500</v>
      </c>
      <c r="D259" s="61" t="n">
        <v>416500</v>
      </c>
      <c r="E259" s="42" t="n">
        <f aca="false">C259-D259</f>
        <v>0</v>
      </c>
    </row>
    <row r="260" customFormat="false" ht="15" hidden="false" customHeight="false" outlineLevel="0" collapsed="false">
      <c r="A260" s="79" t="n">
        <v>7</v>
      </c>
      <c r="B260" s="285" t="s">
        <v>1157</v>
      </c>
      <c r="C260" s="35" t="n">
        <v>416500</v>
      </c>
      <c r="D260" s="61" t="n">
        <f aca="false">233500+183000</f>
        <v>416500</v>
      </c>
      <c r="E260" s="42" t="n">
        <f aca="false">C260-D260</f>
        <v>0</v>
      </c>
    </row>
    <row r="261" customFormat="false" ht="15" hidden="false" customHeight="false" outlineLevel="0" collapsed="false">
      <c r="A261" s="79" t="n">
        <v>8</v>
      </c>
      <c r="B261" s="285" t="s">
        <v>1158</v>
      </c>
      <c r="C261" s="35" t="n">
        <v>416500</v>
      </c>
      <c r="D261" s="61" t="n">
        <f aca="false">100000+100000</f>
        <v>200000</v>
      </c>
      <c r="E261" s="42" t="n">
        <f aca="false">C261-D261</f>
        <v>216500</v>
      </c>
    </row>
    <row r="262" customFormat="false" ht="15" hidden="false" customHeight="false" outlineLevel="0" collapsed="false">
      <c r="A262" s="79" t="n">
        <v>9</v>
      </c>
      <c r="B262" s="306" t="s">
        <v>1159</v>
      </c>
      <c r="C262" s="35" t="n">
        <v>416500</v>
      </c>
      <c r="D262" s="305" t="n">
        <v>416500</v>
      </c>
      <c r="E262" s="42" t="n">
        <f aca="false">C262-D262</f>
        <v>0</v>
      </c>
    </row>
    <row r="263" customFormat="false" ht="15" hidden="false" customHeight="false" outlineLevel="0" collapsed="false">
      <c r="A263" s="79" t="n">
        <v>10</v>
      </c>
      <c r="B263" s="285" t="s">
        <v>1160</v>
      </c>
      <c r="C263" s="35" t="n">
        <v>416500</v>
      </c>
      <c r="D263" s="305" t="n">
        <f aca="false">38500+423000</f>
        <v>461500</v>
      </c>
      <c r="E263" s="42" t="n">
        <f aca="false">C263-D263</f>
        <v>-45000</v>
      </c>
    </row>
    <row r="264" customFormat="false" ht="15" hidden="false" customHeight="false" outlineLevel="0" collapsed="false">
      <c r="A264" s="79" t="n">
        <v>11</v>
      </c>
      <c r="B264" s="306" t="s">
        <v>1161</v>
      </c>
      <c r="C264" s="35" t="n">
        <v>416500</v>
      </c>
      <c r="D264" s="305" t="n">
        <v>416500</v>
      </c>
      <c r="E264" s="42" t="n">
        <f aca="false">C264-D264</f>
        <v>0</v>
      </c>
    </row>
    <row r="265" customFormat="false" ht="15" hidden="false" customHeight="false" outlineLevel="0" collapsed="false">
      <c r="A265" s="79" t="n">
        <v>12</v>
      </c>
      <c r="B265" s="306" t="s">
        <v>1162</v>
      </c>
      <c r="C265" s="35" t="n">
        <v>416500</v>
      </c>
      <c r="D265" s="305" t="n">
        <f aca="false">150000+266500</f>
        <v>416500</v>
      </c>
      <c r="E265" s="42" t="n">
        <f aca="false">C265-D265</f>
        <v>0</v>
      </c>
    </row>
    <row r="266" customFormat="false" ht="15" hidden="false" customHeight="false" outlineLevel="0" collapsed="false">
      <c r="A266" s="79" t="n">
        <v>13</v>
      </c>
      <c r="B266" s="306" t="s">
        <v>1163</v>
      </c>
      <c r="C266" s="35" t="n">
        <v>416500</v>
      </c>
      <c r="D266" s="305" t="n">
        <f aca="false">70000</f>
        <v>70000</v>
      </c>
      <c r="E266" s="42" t="n">
        <f aca="false">C266-D266</f>
        <v>346500</v>
      </c>
    </row>
    <row r="267" customFormat="false" ht="15" hidden="false" customHeight="false" outlineLevel="0" collapsed="false">
      <c r="A267" s="79" t="n">
        <v>14</v>
      </c>
      <c r="B267" s="306" t="s">
        <v>1164</v>
      </c>
      <c r="C267" s="35" t="n">
        <v>416500</v>
      </c>
      <c r="D267" s="305" t="n">
        <f aca="false">200000+200000+16500</f>
        <v>416500</v>
      </c>
      <c r="E267" s="42" t="n">
        <f aca="false">C267-D267</f>
        <v>0</v>
      </c>
    </row>
    <row r="268" customFormat="false" ht="15" hidden="false" customHeight="false" outlineLevel="0" collapsed="false">
      <c r="A268" s="79" t="n">
        <v>15</v>
      </c>
      <c r="B268" s="285" t="s">
        <v>1165</v>
      </c>
      <c r="C268" s="35" t="n">
        <v>416500</v>
      </c>
      <c r="D268" s="305" t="n">
        <f aca="false">128500</f>
        <v>128500</v>
      </c>
      <c r="E268" s="42" t="n">
        <f aca="false">C268-D268</f>
        <v>288000</v>
      </c>
    </row>
    <row r="269" customFormat="false" ht="15" hidden="false" customHeight="false" outlineLevel="0" collapsed="false">
      <c r="A269" s="79" t="n">
        <v>16</v>
      </c>
      <c r="B269" s="285" t="s">
        <v>1166</v>
      </c>
      <c r="C269" s="35" t="n">
        <v>416500</v>
      </c>
      <c r="D269" s="305" t="n">
        <v>416500</v>
      </c>
      <c r="E269" s="42" t="n">
        <f aca="false">C269-D269</f>
        <v>0</v>
      </c>
    </row>
    <row r="270" customFormat="false" ht="15" hidden="false" customHeight="false" outlineLevel="0" collapsed="false">
      <c r="A270" s="79" t="n">
        <v>17</v>
      </c>
      <c r="B270" s="306" t="s">
        <v>1167</v>
      </c>
      <c r="C270" s="35" t="n">
        <v>416500</v>
      </c>
      <c r="D270" s="305" t="n">
        <f aca="false">100000+50000+261500+5000</f>
        <v>416500</v>
      </c>
      <c r="E270" s="42" t="n">
        <f aca="false">C270-D270</f>
        <v>0</v>
      </c>
    </row>
    <row r="271" customFormat="false" ht="17.35" hidden="false" customHeight="false" outlineLevel="0" collapsed="false">
      <c r="A271" s="79"/>
      <c r="B271" s="287" t="s">
        <v>24</v>
      </c>
      <c r="C271" s="27" t="n">
        <f aca="false">SUM(C254:C270)</f>
        <v>7080500</v>
      </c>
      <c r="D271" s="28" t="n">
        <f aca="false">SUM(D254:D270)</f>
        <v>5858000</v>
      </c>
      <c r="E271" s="293" t="n">
        <f aca="false">SUM(E254:E270)</f>
        <v>1222500</v>
      </c>
    </row>
    <row r="272" customFormat="false" ht="17.35" hidden="false" customHeight="false" outlineLevel="0" collapsed="false">
      <c r="A272" s="1"/>
      <c r="B272" s="30"/>
      <c r="C272" s="108"/>
      <c r="D272" s="31"/>
      <c r="E272" s="32"/>
    </row>
    <row r="275" customFormat="false" ht="13.8" hidden="false" customHeight="false" outlineLevel="0" collapsed="false">
      <c r="A275" s="47"/>
      <c r="B275" s="1"/>
      <c r="C275" s="1"/>
      <c r="D275" s="2"/>
      <c r="E275" s="2"/>
    </row>
    <row r="276" customFormat="false" ht="17.35" hidden="false" customHeight="false" outlineLevel="0" collapsed="false">
      <c r="A276" s="3"/>
      <c r="B276" s="76" t="s">
        <v>0</v>
      </c>
      <c r="C276" s="1"/>
      <c r="D276" s="2"/>
      <c r="E276" s="2"/>
    </row>
    <row r="277" customFormat="false" ht="17.35" hidden="false" customHeight="false" outlineLevel="0" collapsed="false">
      <c r="A277" s="51"/>
      <c r="B277" s="1"/>
      <c r="C277" s="1"/>
      <c r="D277" s="2"/>
      <c r="E277" s="2"/>
    </row>
    <row r="278" customFormat="false" ht="13.8" hidden="false" customHeight="false" outlineLevel="0" collapsed="false">
      <c r="A278" s="3"/>
      <c r="B278" s="1"/>
      <c r="C278" s="1"/>
      <c r="D278" s="2"/>
      <c r="E278" s="2"/>
    </row>
    <row r="279" customFormat="false" ht="17.55" hidden="false" customHeight="false" outlineLevel="0" collapsed="false">
      <c r="A279" s="3"/>
      <c r="B279" s="125" t="s">
        <v>1168</v>
      </c>
      <c r="C279" s="1"/>
      <c r="D279" s="2"/>
      <c r="E279" s="2"/>
    </row>
    <row r="280" customFormat="false" ht="15" hidden="false" customHeight="false" outlineLevel="0" collapsed="false">
      <c r="A280" s="3"/>
      <c r="B280" s="1"/>
      <c r="C280" s="1"/>
      <c r="D280" s="6" t="s">
        <v>1029</v>
      </c>
      <c r="E280" s="2"/>
    </row>
    <row r="281" customFormat="false" ht="13.8" hidden="false" customHeight="false" outlineLevel="0" collapsed="false">
      <c r="A281" s="3"/>
      <c r="B281" s="1"/>
      <c r="C281" s="1"/>
      <c r="D281" s="2"/>
      <c r="E281" s="2"/>
    </row>
    <row r="282" customFormat="false" ht="15" hidden="false" customHeight="false" outlineLevel="0" collapsed="false">
      <c r="A282" s="7" t="s">
        <v>3</v>
      </c>
      <c r="B282" s="290" t="s">
        <v>4</v>
      </c>
      <c r="C282" s="9" t="s">
        <v>5</v>
      </c>
      <c r="D282" s="10" t="s">
        <v>6</v>
      </c>
      <c r="E282" s="291" t="s">
        <v>7</v>
      </c>
    </row>
    <row r="283" customFormat="false" ht="15" hidden="false" customHeight="false" outlineLevel="0" collapsed="false">
      <c r="A283" s="68" t="n">
        <v>1</v>
      </c>
      <c r="B283" s="285" t="s">
        <v>1169</v>
      </c>
      <c r="C283" s="35" t="n">
        <v>215000</v>
      </c>
      <c r="D283" s="61" t="n">
        <v>215000</v>
      </c>
      <c r="E283" s="42" t="n">
        <f aca="false">C283-D283</f>
        <v>0</v>
      </c>
    </row>
    <row r="284" customFormat="false" ht="15" hidden="false" customHeight="false" outlineLevel="0" collapsed="false">
      <c r="A284" s="79" t="n">
        <v>2</v>
      </c>
      <c r="B284" s="285" t="s">
        <v>1170</v>
      </c>
      <c r="C284" s="35" t="n">
        <v>416500</v>
      </c>
      <c r="D284" s="61" t="n">
        <f aca="false">300000+161500</f>
        <v>461500</v>
      </c>
      <c r="E284" s="42" t="n">
        <f aca="false">C284-D284</f>
        <v>-45000</v>
      </c>
    </row>
    <row r="285" customFormat="false" ht="15" hidden="false" customHeight="false" outlineLevel="0" collapsed="false">
      <c r="A285" s="79" t="n">
        <v>3</v>
      </c>
      <c r="B285" s="285" t="s">
        <v>1171</v>
      </c>
      <c r="C285" s="35" t="n">
        <v>416500</v>
      </c>
      <c r="D285" s="61"/>
      <c r="E285" s="42" t="n">
        <f aca="false">C285-D285</f>
        <v>416500</v>
      </c>
    </row>
    <row r="286" customFormat="false" ht="15" hidden="false" customHeight="false" outlineLevel="0" collapsed="false">
      <c r="A286" s="68" t="n">
        <v>4</v>
      </c>
      <c r="B286" s="285" t="s">
        <v>1172</v>
      </c>
      <c r="C286" s="35" t="n">
        <v>416500</v>
      </c>
      <c r="D286" s="61" t="n">
        <v>416500</v>
      </c>
      <c r="E286" s="42" t="n">
        <f aca="false">C286-D286</f>
        <v>0</v>
      </c>
    </row>
    <row r="287" customFormat="false" ht="15" hidden="false" customHeight="false" outlineLevel="0" collapsed="false">
      <c r="A287" s="79" t="n">
        <v>5</v>
      </c>
      <c r="B287" s="285" t="s">
        <v>1173</v>
      </c>
      <c r="C287" s="35" t="n">
        <v>416500</v>
      </c>
      <c r="D287" s="61"/>
      <c r="E287" s="42" t="n">
        <f aca="false">C287-D287</f>
        <v>416500</v>
      </c>
    </row>
    <row r="288" customFormat="false" ht="15" hidden="false" customHeight="false" outlineLevel="0" collapsed="false">
      <c r="A288" s="79" t="n">
        <v>6</v>
      </c>
      <c r="B288" s="285" t="s">
        <v>1174</v>
      </c>
      <c r="C288" s="35" t="n">
        <v>416500</v>
      </c>
      <c r="D288" s="61" t="n">
        <f aca="false">70000+130000+100000+60000+56500</f>
        <v>416500</v>
      </c>
      <c r="E288" s="42" t="n">
        <f aca="false">C288-D288</f>
        <v>0</v>
      </c>
    </row>
    <row r="289" customFormat="false" ht="15" hidden="false" customHeight="false" outlineLevel="0" collapsed="false">
      <c r="A289" s="68" t="n">
        <v>7</v>
      </c>
      <c r="B289" s="285" t="s">
        <v>1175</v>
      </c>
      <c r="C289" s="35" t="n">
        <v>416500</v>
      </c>
      <c r="D289" s="61"/>
      <c r="E289" s="42" t="n">
        <f aca="false">C289-D289</f>
        <v>416500</v>
      </c>
    </row>
    <row r="290" customFormat="false" ht="15" hidden="false" customHeight="false" outlineLevel="0" collapsed="false">
      <c r="A290" s="79" t="n">
        <v>8</v>
      </c>
      <c r="B290" s="285" t="s">
        <v>1176</v>
      </c>
      <c r="C290" s="35" t="n">
        <v>416500</v>
      </c>
      <c r="D290" s="61" t="n">
        <f aca="false">216500+200000</f>
        <v>416500</v>
      </c>
      <c r="E290" s="42" t="n">
        <f aca="false">C290-D290</f>
        <v>0</v>
      </c>
    </row>
    <row r="291" customFormat="false" ht="15" hidden="false" customHeight="false" outlineLevel="0" collapsed="false">
      <c r="A291" s="79" t="n">
        <v>9</v>
      </c>
      <c r="B291" s="285" t="s">
        <v>1177</v>
      </c>
      <c r="C291" s="35" t="n">
        <v>416500</v>
      </c>
      <c r="D291" s="61"/>
      <c r="E291" s="42" t="n">
        <f aca="false">C291-D291</f>
        <v>416500</v>
      </c>
    </row>
    <row r="292" customFormat="false" ht="15" hidden="false" customHeight="false" outlineLevel="0" collapsed="false">
      <c r="A292" s="68" t="n">
        <v>10</v>
      </c>
      <c r="B292" s="285" t="s">
        <v>1178</v>
      </c>
      <c r="C292" s="35" t="n">
        <v>416500</v>
      </c>
      <c r="D292" s="61" t="n">
        <v>416500</v>
      </c>
      <c r="E292" s="42" t="n">
        <f aca="false">C292-D292</f>
        <v>0</v>
      </c>
    </row>
    <row r="293" customFormat="false" ht="15" hidden="false" customHeight="false" outlineLevel="0" collapsed="false">
      <c r="A293" s="79" t="n">
        <v>11</v>
      </c>
      <c r="B293" s="285" t="s">
        <v>1179</v>
      </c>
      <c r="C293" s="35" t="n">
        <v>416500</v>
      </c>
      <c r="D293" s="61" t="n">
        <f aca="false">100000+316500</f>
        <v>416500</v>
      </c>
      <c r="E293" s="42" t="n">
        <f aca="false">C293-D293</f>
        <v>0</v>
      </c>
    </row>
    <row r="294" customFormat="false" ht="15" hidden="false" customHeight="false" outlineLevel="0" collapsed="false">
      <c r="A294" s="79" t="n">
        <v>12</v>
      </c>
      <c r="B294" s="285" t="s">
        <v>1180</v>
      </c>
      <c r="C294" s="35" t="n">
        <v>416500</v>
      </c>
      <c r="D294" s="61" t="n">
        <f aca="false">216500+200000</f>
        <v>416500</v>
      </c>
      <c r="E294" s="42" t="n">
        <f aca="false">C294-D294</f>
        <v>0</v>
      </c>
    </row>
    <row r="295" customFormat="false" ht="15" hidden="false" customHeight="false" outlineLevel="0" collapsed="false">
      <c r="A295" s="68" t="n">
        <v>13</v>
      </c>
      <c r="B295" s="285" t="s">
        <v>1181</v>
      </c>
      <c r="C295" s="35" t="n">
        <v>416500</v>
      </c>
      <c r="D295" s="61" t="n">
        <f aca="false">200000+216500</f>
        <v>416500</v>
      </c>
      <c r="E295" s="42" t="n">
        <f aca="false">C295-D295</f>
        <v>0</v>
      </c>
    </row>
    <row r="296" customFormat="false" ht="15" hidden="false" customHeight="false" outlineLevel="0" collapsed="false">
      <c r="A296" s="79" t="n">
        <v>14</v>
      </c>
      <c r="B296" s="285" t="s">
        <v>1182</v>
      </c>
      <c r="C296" s="35" t="n">
        <v>416500</v>
      </c>
      <c r="D296" s="61" t="n">
        <f aca="false">216500+200000</f>
        <v>416500</v>
      </c>
      <c r="E296" s="42" t="n">
        <f aca="false">C296-D296</f>
        <v>0</v>
      </c>
    </row>
    <row r="297" customFormat="false" ht="17.35" hidden="false" customHeight="false" outlineLevel="0" collapsed="false">
      <c r="A297" s="79"/>
      <c r="B297" s="287" t="s">
        <v>24</v>
      </c>
      <c r="C297" s="27" t="n">
        <f aca="false">SUM(C283:C296)</f>
        <v>5629500</v>
      </c>
      <c r="D297" s="28" t="n">
        <f aca="false">SUM(D283:D296)</f>
        <v>4008500</v>
      </c>
      <c r="E297" s="293" t="n">
        <f aca="false">SUM(E283:E296)</f>
        <v>1621000</v>
      </c>
    </row>
    <row r="298" customFormat="false" ht="13.8" hidden="false" customHeight="false" outlineLevel="0" collapsed="false">
      <c r="A298" s="47"/>
      <c r="B298" s="1"/>
      <c r="C298" s="1"/>
      <c r="D298" s="2"/>
      <c r="E298" s="2"/>
    </row>
    <row r="300" customFormat="false" ht="13.8" hidden="false" customHeight="false" outlineLevel="0" collapsed="false">
      <c r="A300" s="47"/>
      <c r="B300" s="1"/>
      <c r="C300" s="1"/>
      <c r="D300" s="2"/>
      <c r="E300" s="2"/>
    </row>
    <row r="301" customFormat="false" ht="17.35" hidden="false" customHeight="false" outlineLevel="0" collapsed="false">
      <c r="A301" s="3"/>
      <c r="B301" s="76" t="s">
        <v>0</v>
      </c>
      <c r="C301" s="1"/>
      <c r="D301" s="2"/>
      <c r="E301" s="2"/>
    </row>
    <row r="302" customFormat="false" ht="17.35" hidden="false" customHeight="false" outlineLevel="0" collapsed="false">
      <c r="A302" s="51"/>
      <c r="B302" s="1"/>
      <c r="C302" s="1"/>
      <c r="D302" s="2"/>
      <c r="E302" s="2"/>
    </row>
    <row r="303" customFormat="false" ht="13.8" hidden="false" customHeight="false" outlineLevel="0" collapsed="false">
      <c r="A303" s="3"/>
      <c r="B303" s="1"/>
      <c r="C303" s="1"/>
      <c r="D303" s="2"/>
      <c r="E303" s="2"/>
    </row>
    <row r="304" customFormat="false" ht="13.8" hidden="false" customHeight="false" outlineLevel="0" collapsed="false">
      <c r="A304" s="3"/>
      <c r="B304" s="125" t="s">
        <v>1183</v>
      </c>
      <c r="C304" s="1"/>
      <c r="D304" s="2"/>
      <c r="E304" s="2"/>
    </row>
    <row r="305" customFormat="false" ht="15" hidden="false" customHeight="false" outlineLevel="0" collapsed="false">
      <c r="A305" s="3"/>
      <c r="B305" s="1"/>
      <c r="C305" s="1"/>
      <c r="D305" s="6" t="s">
        <v>1003</v>
      </c>
      <c r="E305" s="2"/>
    </row>
    <row r="306" customFormat="false" ht="13.8" hidden="false" customHeight="false" outlineLevel="0" collapsed="false">
      <c r="A306" s="3"/>
      <c r="B306" s="1"/>
      <c r="C306" s="1"/>
      <c r="D306" s="2"/>
      <c r="E306" s="2"/>
    </row>
    <row r="307" customFormat="false" ht="15" hidden="false" customHeight="false" outlineLevel="0" collapsed="false">
      <c r="A307" s="7" t="s">
        <v>3</v>
      </c>
      <c r="B307" s="290" t="s">
        <v>4</v>
      </c>
      <c r="C307" s="9" t="s">
        <v>5</v>
      </c>
      <c r="D307" s="10" t="s">
        <v>6</v>
      </c>
      <c r="E307" s="291" t="s">
        <v>7</v>
      </c>
    </row>
    <row r="308" customFormat="false" ht="15" hidden="false" customHeight="false" outlineLevel="0" collapsed="false">
      <c r="A308" s="68" t="n">
        <v>1</v>
      </c>
      <c r="B308" s="285" t="s">
        <v>1184</v>
      </c>
      <c r="C308" s="35" t="n">
        <v>416500</v>
      </c>
      <c r="D308" s="15" t="n">
        <f aca="false">99500+100000+200000+17000</f>
        <v>416500</v>
      </c>
      <c r="E308" s="42" t="n">
        <f aca="false">C308-D308</f>
        <v>0</v>
      </c>
    </row>
    <row r="309" customFormat="false" ht="15" hidden="false" customHeight="false" outlineLevel="0" collapsed="false">
      <c r="A309" s="68" t="n">
        <v>2</v>
      </c>
      <c r="B309" s="285" t="s">
        <v>1185</v>
      </c>
      <c r="C309" s="35" t="n">
        <v>416500</v>
      </c>
      <c r="D309" s="15" t="n">
        <f aca="false">416500</f>
        <v>416500</v>
      </c>
      <c r="E309" s="42" t="n">
        <f aca="false">C309-D309</f>
        <v>0</v>
      </c>
    </row>
    <row r="310" customFormat="false" ht="15" hidden="false" customHeight="false" outlineLevel="0" collapsed="false">
      <c r="A310" s="68" t="n">
        <v>3</v>
      </c>
      <c r="B310" s="307" t="s">
        <v>1186</v>
      </c>
      <c r="C310" s="35" t="n">
        <v>416500</v>
      </c>
      <c r="D310" s="15" t="n">
        <v>416500</v>
      </c>
      <c r="E310" s="42" t="n">
        <f aca="false">C310-D310</f>
        <v>0</v>
      </c>
    </row>
    <row r="311" customFormat="false" ht="15" hidden="false" customHeight="false" outlineLevel="0" collapsed="false">
      <c r="A311" s="68" t="n">
        <v>4</v>
      </c>
      <c r="B311" s="285" t="s">
        <v>1187</v>
      </c>
      <c r="C311" s="35" t="n">
        <v>416500</v>
      </c>
      <c r="D311" s="15" t="n">
        <f aca="false">300000+116500</f>
        <v>416500</v>
      </c>
      <c r="E311" s="42" t="n">
        <f aca="false">C311-D311</f>
        <v>0</v>
      </c>
    </row>
    <row r="312" customFormat="false" ht="15" hidden="false" customHeight="false" outlineLevel="0" collapsed="false">
      <c r="A312" s="68" t="n">
        <v>5</v>
      </c>
      <c r="B312" s="285" t="s">
        <v>1188</v>
      </c>
      <c r="C312" s="35" t="n">
        <v>416500</v>
      </c>
      <c r="D312" s="15" t="n">
        <f aca="false">215500+201000</f>
        <v>416500</v>
      </c>
      <c r="E312" s="42" t="n">
        <f aca="false">C312-D312</f>
        <v>0</v>
      </c>
    </row>
    <row r="313" customFormat="false" ht="15" hidden="false" customHeight="false" outlineLevel="0" collapsed="false">
      <c r="A313" s="68" t="n">
        <v>6</v>
      </c>
      <c r="B313" s="285" t="s">
        <v>1189</v>
      </c>
      <c r="C313" s="35" t="n">
        <v>416500</v>
      </c>
      <c r="D313" s="15" t="n">
        <f aca="false">216000+200000</f>
        <v>416000</v>
      </c>
      <c r="E313" s="42" t="n">
        <f aca="false">C313-D313</f>
        <v>500</v>
      </c>
    </row>
    <row r="314" customFormat="false" ht="15" hidden="false" customHeight="false" outlineLevel="0" collapsed="false">
      <c r="A314" s="68" t="n">
        <v>7</v>
      </c>
      <c r="B314" s="285" t="s">
        <v>1190</v>
      </c>
      <c r="C314" s="35" t="n">
        <v>416500</v>
      </c>
      <c r="D314" s="15" t="n">
        <f aca="false">216500+100000+66500+33500</f>
        <v>416500</v>
      </c>
      <c r="E314" s="42" t="n">
        <f aca="false">C314-D314</f>
        <v>0</v>
      </c>
    </row>
    <row r="315" customFormat="false" ht="15" hidden="false" customHeight="false" outlineLevel="0" collapsed="false">
      <c r="A315" s="68" t="n">
        <v>8</v>
      </c>
      <c r="B315" s="285" t="s">
        <v>1191</v>
      </c>
      <c r="C315" s="35" t="n">
        <v>416500</v>
      </c>
      <c r="D315" s="15" t="n">
        <f aca="false">216000+200000+500</f>
        <v>416500</v>
      </c>
      <c r="E315" s="42" t="n">
        <f aca="false">C315-D315</f>
        <v>0</v>
      </c>
    </row>
    <row r="316" customFormat="false" ht="15" hidden="false" customHeight="false" outlineLevel="0" collapsed="false">
      <c r="A316" s="68" t="n">
        <v>9</v>
      </c>
      <c r="B316" s="285" t="s">
        <v>1192</v>
      </c>
      <c r="C316" s="35" t="n">
        <v>416500</v>
      </c>
      <c r="D316" s="15"/>
      <c r="E316" s="42" t="n">
        <f aca="false">C316-D316</f>
        <v>416500</v>
      </c>
    </row>
    <row r="317" customFormat="false" ht="15" hidden="false" customHeight="false" outlineLevel="0" collapsed="false">
      <c r="A317" s="68" t="n">
        <v>10</v>
      </c>
      <c r="B317" s="285" t="s">
        <v>1193</v>
      </c>
      <c r="C317" s="35" t="n">
        <v>416500</v>
      </c>
      <c r="D317" s="15" t="n">
        <f aca="false">373500+43000</f>
        <v>416500</v>
      </c>
      <c r="E317" s="42" t="n">
        <f aca="false">C317-D317</f>
        <v>0</v>
      </c>
    </row>
    <row r="318" customFormat="false" ht="15" hidden="false" customHeight="false" outlineLevel="0" collapsed="false">
      <c r="A318" s="68" t="n">
        <v>11</v>
      </c>
      <c r="B318" s="285" t="s">
        <v>1194</v>
      </c>
      <c r="C318" s="35" t="n">
        <v>416500</v>
      </c>
      <c r="D318" s="15" t="n">
        <f aca="false">200000+216500</f>
        <v>416500</v>
      </c>
      <c r="E318" s="42" t="n">
        <f aca="false">C318-D318</f>
        <v>0</v>
      </c>
    </row>
    <row r="319" customFormat="false" ht="15" hidden="false" customHeight="false" outlineLevel="0" collapsed="false">
      <c r="A319" s="68" t="n">
        <v>12</v>
      </c>
      <c r="B319" s="285" t="s">
        <v>1195</v>
      </c>
      <c r="C319" s="35" t="n">
        <v>416500</v>
      </c>
      <c r="D319" s="15" t="n">
        <f aca="false">200000+216500</f>
        <v>416500</v>
      </c>
      <c r="E319" s="42" t="n">
        <f aca="false">C319-D319</f>
        <v>0</v>
      </c>
    </row>
    <row r="320" customFormat="false" ht="15" hidden="false" customHeight="false" outlineLevel="0" collapsed="false">
      <c r="A320" s="68" t="n">
        <v>13</v>
      </c>
      <c r="B320" s="285" t="s">
        <v>1196</v>
      </c>
      <c r="C320" s="35" t="n">
        <v>416500</v>
      </c>
      <c r="D320" s="15"/>
      <c r="E320" s="42" t="n">
        <f aca="false">C320-D320</f>
        <v>416500</v>
      </c>
    </row>
    <row r="321" customFormat="false" ht="15" hidden="false" customHeight="false" outlineLevel="0" collapsed="false">
      <c r="A321" s="68" t="n">
        <v>14</v>
      </c>
      <c r="B321" s="285" t="s">
        <v>1197</v>
      </c>
      <c r="C321" s="35" t="n">
        <v>416500</v>
      </c>
      <c r="D321" s="15" t="n">
        <f aca="false">200000+216500</f>
        <v>416500</v>
      </c>
      <c r="E321" s="42" t="n">
        <f aca="false">C321-D321</f>
        <v>0</v>
      </c>
    </row>
    <row r="322" customFormat="false" ht="15" hidden="false" customHeight="false" outlineLevel="0" collapsed="false">
      <c r="A322" s="68" t="n">
        <v>15</v>
      </c>
      <c r="B322" s="285" t="s">
        <v>1198</v>
      </c>
      <c r="C322" s="35" t="n">
        <v>416500</v>
      </c>
      <c r="D322" s="15" t="n">
        <f aca="false">416500</f>
        <v>416500</v>
      </c>
      <c r="E322" s="42" t="n">
        <f aca="false">C322-D322</f>
        <v>0</v>
      </c>
    </row>
    <row r="323" customFormat="false" ht="15" hidden="false" customHeight="false" outlineLevel="0" collapsed="false">
      <c r="A323" s="68" t="n">
        <v>16</v>
      </c>
      <c r="B323" s="285" t="s">
        <v>1199</v>
      </c>
      <c r="C323" s="35" t="n">
        <v>416500</v>
      </c>
      <c r="D323" s="15" t="n">
        <f aca="false">15500+200000+100000</f>
        <v>315500</v>
      </c>
      <c r="E323" s="42" t="n">
        <f aca="false">C323-D323</f>
        <v>101000</v>
      </c>
    </row>
    <row r="324" customFormat="false" ht="15" hidden="false" customHeight="false" outlineLevel="0" collapsed="false">
      <c r="A324" s="68" t="n">
        <v>17</v>
      </c>
      <c r="B324" s="285" t="s">
        <v>1200</v>
      </c>
      <c r="C324" s="35" t="n">
        <v>416500</v>
      </c>
      <c r="D324" s="15" t="n">
        <f aca="false">300000+100000+16500</f>
        <v>416500</v>
      </c>
      <c r="E324" s="42" t="n">
        <f aca="false">C324-D324</f>
        <v>0</v>
      </c>
    </row>
    <row r="325" customFormat="false" ht="15" hidden="false" customHeight="false" outlineLevel="0" collapsed="false">
      <c r="A325" s="68" t="n">
        <v>18</v>
      </c>
      <c r="B325" s="285" t="s">
        <v>1201</v>
      </c>
      <c r="C325" s="35" t="n">
        <v>416500</v>
      </c>
      <c r="D325" s="15" t="n">
        <f aca="false">100000+150000+109000+57500</f>
        <v>416500</v>
      </c>
      <c r="E325" s="42" t="n">
        <f aca="false">C325-D325</f>
        <v>0</v>
      </c>
    </row>
    <row r="326" customFormat="false" ht="15" hidden="false" customHeight="false" outlineLevel="0" collapsed="false">
      <c r="A326" s="68" t="n">
        <v>19</v>
      </c>
      <c r="B326" s="285" t="s">
        <v>1202</v>
      </c>
      <c r="C326" s="35" t="n">
        <v>416500</v>
      </c>
      <c r="D326" s="15" t="n">
        <f aca="false">216500+200000</f>
        <v>416500</v>
      </c>
      <c r="E326" s="42" t="n">
        <f aca="false">C326-D326</f>
        <v>0</v>
      </c>
    </row>
    <row r="327" customFormat="false" ht="15" hidden="false" customHeight="false" outlineLevel="0" collapsed="false">
      <c r="A327" s="68" t="n">
        <v>20</v>
      </c>
      <c r="B327" s="285" t="s">
        <v>1203</v>
      </c>
      <c r="C327" s="35" t="n">
        <v>416500</v>
      </c>
      <c r="D327" s="15" t="n">
        <f aca="false">116500+100000+200000</f>
        <v>416500</v>
      </c>
      <c r="E327" s="42" t="n">
        <f aca="false">C327-D327</f>
        <v>0</v>
      </c>
    </row>
    <row r="328" customFormat="false" ht="15" hidden="false" customHeight="false" outlineLevel="0" collapsed="false">
      <c r="A328" s="68" t="n">
        <v>21</v>
      </c>
      <c r="B328" s="285" t="s">
        <v>1204</v>
      </c>
      <c r="C328" s="35" t="n">
        <v>416500</v>
      </c>
      <c r="D328" s="15" t="n">
        <f aca="false">115500+301000</f>
        <v>416500</v>
      </c>
      <c r="E328" s="42" t="n">
        <f aca="false">C328-D328</f>
        <v>0</v>
      </c>
    </row>
    <row r="329" customFormat="false" ht="15" hidden="false" customHeight="false" outlineLevel="0" collapsed="false">
      <c r="A329" s="68" t="n">
        <v>22</v>
      </c>
      <c r="B329" s="285" t="s">
        <v>1205</v>
      </c>
      <c r="C329" s="35" t="n">
        <v>416500</v>
      </c>
      <c r="D329" s="15" t="n">
        <f aca="false">200000+200000+16500</f>
        <v>416500</v>
      </c>
      <c r="E329" s="42" t="n">
        <f aca="false">C329-D329</f>
        <v>0</v>
      </c>
    </row>
    <row r="330" customFormat="false" ht="15" hidden="false" customHeight="false" outlineLevel="0" collapsed="false">
      <c r="A330" s="68" t="n">
        <v>23</v>
      </c>
      <c r="B330" s="285" t="s">
        <v>1206</v>
      </c>
      <c r="C330" s="35" t="n">
        <v>416500</v>
      </c>
      <c r="D330" s="15" t="n">
        <f aca="false">300000+116500</f>
        <v>416500</v>
      </c>
      <c r="E330" s="42" t="n">
        <f aca="false">C330-D330</f>
        <v>0</v>
      </c>
    </row>
    <row r="331" customFormat="false" ht="15" hidden="false" customHeight="false" outlineLevel="0" collapsed="false">
      <c r="A331" s="68" t="n">
        <v>24</v>
      </c>
      <c r="B331" s="285" t="s">
        <v>1207</v>
      </c>
      <c r="C331" s="35" t="n">
        <v>416500</v>
      </c>
      <c r="D331" s="15" t="n">
        <f aca="false">215500+200000+1000</f>
        <v>416500</v>
      </c>
      <c r="E331" s="42" t="n">
        <f aca="false">C331-D331</f>
        <v>0</v>
      </c>
    </row>
    <row r="332" customFormat="false" ht="15" hidden="false" customHeight="false" outlineLevel="0" collapsed="false">
      <c r="A332" s="68" t="n">
        <v>25</v>
      </c>
      <c r="B332" s="285" t="s">
        <v>1208</v>
      </c>
      <c r="C332" s="35" t="n">
        <v>416500</v>
      </c>
      <c r="D332" s="15" t="n">
        <f aca="false">116500+200000+100000</f>
        <v>416500</v>
      </c>
      <c r="E332" s="42" t="n">
        <f aca="false">C332-D332</f>
        <v>0</v>
      </c>
    </row>
    <row r="333" customFormat="false" ht="15" hidden="false" customHeight="false" outlineLevel="0" collapsed="false">
      <c r="A333" s="68" t="n">
        <v>26</v>
      </c>
      <c r="B333" s="285" t="s">
        <v>1209</v>
      </c>
      <c r="C333" s="35" t="n">
        <v>416500</v>
      </c>
      <c r="D333" s="15" t="n">
        <f aca="false">200000+115000+101500</f>
        <v>416500</v>
      </c>
      <c r="E333" s="42" t="n">
        <f aca="false">C333-D333</f>
        <v>0</v>
      </c>
    </row>
    <row r="334" customFormat="false" ht="15" hidden="false" customHeight="false" outlineLevel="0" collapsed="false">
      <c r="A334" s="68" t="n">
        <v>27</v>
      </c>
      <c r="B334" s="285" t="s">
        <v>1210</v>
      </c>
      <c r="C334" s="35" t="n">
        <v>416500</v>
      </c>
      <c r="D334" s="15" t="n">
        <f aca="false">383500+33000</f>
        <v>416500</v>
      </c>
      <c r="E334" s="42" t="n">
        <f aca="false">C334-D334</f>
        <v>0</v>
      </c>
    </row>
    <row r="335" customFormat="false" ht="15" hidden="false" customHeight="false" outlineLevel="0" collapsed="false">
      <c r="A335" s="68" t="n">
        <v>28</v>
      </c>
      <c r="B335" s="285" t="s">
        <v>1211</v>
      </c>
      <c r="C335" s="35" t="n">
        <v>416500</v>
      </c>
      <c r="D335" s="15" t="n">
        <f aca="false">216500+200000</f>
        <v>416500</v>
      </c>
      <c r="E335" s="42" t="n">
        <f aca="false">C335-D335</f>
        <v>0</v>
      </c>
    </row>
    <row r="336" customFormat="false" ht="15" hidden="false" customHeight="false" outlineLevel="0" collapsed="false">
      <c r="A336" s="68" t="n">
        <v>29</v>
      </c>
      <c r="B336" s="285" t="s">
        <v>1212</v>
      </c>
      <c r="C336" s="35" t="n">
        <v>416500</v>
      </c>
      <c r="D336" s="61" t="n">
        <f aca="false">216500+200000</f>
        <v>416500</v>
      </c>
      <c r="E336" s="42" t="n">
        <f aca="false">C336-D336</f>
        <v>0</v>
      </c>
    </row>
    <row r="337" customFormat="false" ht="15" hidden="false" customHeight="false" outlineLevel="0" collapsed="false">
      <c r="A337" s="68" t="n">
        <v>30</v>
      </c>
      <c r="B337" s="285" t="s">
        <v>1213</v>
      </c>
      <c r="C337" s="35" t="n">
        <v>416500</v>
      </c>
      <c r="D337" s="61" t="n">
        <v>416500</v>
      </c>
      <c r="E337" s="42" t="n">
        <f aca="false">C337-D337</f>
        <v>0</v>
      </c>
    </row>
    <row r="338" customFormat="false" ht="15" hidden="false" customHeight="false" outlineLevel="0" collapsed="false">
      <c r="A338" s="68" t="n">
        <v>31</v>
      </c>
      <c r="B338" s="285" t="s">
        <v>1214</v>
      </c>
      <c r="C338" s="35" t="n">
        <v>416500</v>
      </c>
      <c r="D338" s="61" t="n">
        <f aca="false">316500+100000</f>
        <v>416500</v>
      </c>
      <c r="E338" s="42" t="n">
        <f aca="false">C338-D338</f>
        <v>0</v>
      </c>
    </row>
    <row r="339" customFormat="false" ht="15" hidden="false" customHeight="false" outlineLevel="0" collapsed="false">
      <c r="A339" s="68" t="n">
        <v>32</v>
      </c>
      <c r="B339" s="285" t="s">
        <v>1215</v>
      </c>
      <c r="C339" s="35" t="n">
        <v>416500</v>
      </c>
      <c r="D339" s="61" t="n">
        <f aca="false">200000+100000+116500</f>
        <v>416500</v>
      </c>
      <c r="E339" s="42" t="n">
        <f aca="false">C339-D339</f>
        <v>0</v>
      </c>
    </row>
    <row r="340" customFormat="false" ht="15" hidden="false" customHeight="false" outlineLevel="0" collapsed="false">
      <c r="A340" s="68" t="n">
        <v>33</v>
      </c>
      <c r="B340" s="285" t="s">
        <v>1216</v>
      </c>
      <c r="C340" s="35" t="n">
        <v>416500</v>
      </c>
      <c r="D340" s="61" t="n">
        <f aca="false">317000+100000</f>
        <v>417000</v>
      </c>
      <c r="E340" s="42" t="n">
        <f aca="false">C340-D340</f>
        <v>-500</v>
      </c>
    </row>
    <row r="341" customFormat="false" ht="15" hidden="false" customHeight="false" outlineLevel="0" collapsed="false">
      <c r="A341" s="68" t="n">
        <v>34</v>
      </c>
      <c r="B341" s="285" t="s">
        <v>1217</v>
      </c>
      <c r="C341" s="35" t="n">
        <v>416500</v>
      </c>
      <c r="D341" s="61" t="n">
        <v>416500</v>
      </c>
      <c r="E341" s="42" t="n">
        <f aca="false">C341-D341</f>
        <v>0</v>
      </c>
    </row>
    <row r="342" customFormat="false" ht="15" hidden="false" customHeight="false" outlineLevel="0" collapsed="false">
      <c r="A342" s="68" t="n">
        <v>35</v>
      </c>
      <c r="B342" s="285" t="s">
        <v>1218</v>
      </c>
      <c r="C342" s="35" t="n">
        <v>416500</v>
      </c>
      <c r="D342" s="61" t="n">
        <v>416500</v>
      </c>
      <c r="E342" s="42" t="n">
        <f aca="false">C342-D342</f>
        <v>0</v>
      </c>
    </row>
    <row r="343" customFormat="false" ht="17.35" hidden="false" customHeight="false" outlineLevel="0" collapsed="false">
      <c r="A343" s="79"/>
      <c r="B343" s="287" t="s">
        <v>24</v>
      </c>
      <c r="C343" s="27" t="n">
        <f aca="false">SUM(C308:C342)</f>
        <v>14577500</v>
      </c>
      <c r="D343" s="28" t="n">
        <f aca="false">SUM(D308:D342)</f>
        <v>13643500</v>
      </c>
      <c r="E343" s="293" t="n">
        <f aca="false">C343-D343</f>
        <v>934000</v>
      </c>
    </row>
    <row r="344" customFormat="false" ht="13.8" hidden="false" customHeight="false" outlineLevel="0" collapsed="false">
      <c r="A344" s="47"/>
      <c r="B344" s="1"/>
      <c r="C344" s="1"/>
      <c r="D344" s="2"/>
      <c r="E344" s="2"/>
    </row>
    <row r="345" customFormat="false" ht="13.8" hidden="false" customHeight="false" outlineLevel="0" collapsed="false">
      <c r="A345" s="47"/>
      <c r="B345" s="1"/>
      <c r="C345" s="1"/>
      <c r="D345" s="2"/>
      <c r="E345" s="2"/>
    </row>
    <row r="346" customFormat="false" ht="17.35" hidden="false" customHeight="false" outlineLevel="0" collapsed="false">
      <c r="A346" s="3"/>
      <c r="B346" s="76" t="s">
        <v>0</v>
      </c>
      <c r="C346" s="1"/>
      <c r="D346" s="2"/>
      <c r="E346" s="2"/>
    </row>
    <row r="347" customFormat="false" ht="17.35" hidden="false" customHeight="false" outlineLevel="0" collapsed="false">
      <c r="A347" s="51"/>
      <c r="B347" s="1"/>
      <c r="C347" s="1"/>
      <c r="D347" s="2"/>
      <c r="E347" s="2"/>
    </row>
    <row r="348" customFormat="false" ht="13.8" hidden="false" customHeight="false" outlineLevel="0" collapsed="false">
      <c r="A348" s="3"/>
      <c r="B348" s="1"/>
      <c r="C348" s="1"/>
      <c r="D348" s="2"/>
      <c r="E348" s="2"/>
    </row>
    <row r="349" customFormat="false" ht="17.55" hidden="false" customHeight="false" outlineLevel="0" collapsed="false">
      <c r="A349" s="3"/>
      <c r="B349" s="125" t="s">
        <v>1219</v>
      </c>
      <c r="C349" s="1"/>
      <c r="D349" s="2"/>
      <c r="E349" s="2"/>
    </row>
    <row r="350" customFormat="false" ht="15" hidden="false" customHeight="false" outlineLevel="0" collapsed="false">
      <c r="A350" s="3"/>
      <c r="B350" s="1"/>
      <c r="C350" s="1"/>
      <c r="D350" s="6" t="s">
        <v>1029</v>
      </c>
      <c r="E350" s="2"/>
    </row>
    <row r="351" customFormat="false" ht="13.8" hidden="false" customHeight="false" outlineLevel="0" collapsed="false">
      <c r="A351" s="3"/>
      <c r="B351" s="1"/>
      <c r="C351" s="1"/>
      <c r="D351" s="2"/>
      <c r="E351" s="2"/>
    </row>
    <row r="352" customFormat="false" ht="15" hidden="false" customHeight="false" outlineLevel="0" collapsed="false">
      <c r="A352" s="7" t="s">
        <v>3</v>
      </c>
      <c r="B352" s="290" t="s">
        <v>4</v>
      </c>
      <c r="C352" s="9" t="s">
        <v>5</v>
      </c>
      <c r="D352" s="10" t="s">
        <v>6</v>
      </c>
      <c r="E352" s="291" t="s">
        <v>7</v>
      </c>
    </row>
    <row r="353" customFormat="false" ht="15" hidden="false" customHeight="false" outlineLevel="0" collapsed="false">
      <c r="A353" s="79" t="n">
        <v>1</v>
      </c>
      <c r="B353" s="285" t="s">
        <v>1220</v>
      </c>
      <c r="C353" s="35" t="n">
        <v>416500</v>
      </c>
      <c r="D353" s="61" t="n">
        <v>417000</v>
      </c>
      <c r="E353" s="42" t="n">
        <f aca="false">C353-D353</f>
        <v>-500</v>
      </c>
    </row>
    <row r="354" customFormat="false" ht="15" hidden="false" customHeight="false" outlineLevel="0" collapsed="false">
      <c r="A354" s="68" t="n">
        <v>2</v>
      </c>
      <c r="B354" s="285" t="s">
        <v>1221</v>
      </c>
      <c r="C354" s="35" t="n">
        <v>416500</v>
      </c>
      <c r="D354" s="61" t="n">
        <f aca="false">220000+200000</f>
        <v>420000</v>
      </c>
      <c r="E354" s="42" t="n">
        <f aca="false">C354-D354</f>
        <v>-3500</v>
      </c>
    </row>
    <row r="355" customFormat="false" ht="15" hidden="false" customHeight="false" outlineLevel="0" collapsed="false">
      <c r="A355" s="68" t="n">
        <v>3</v>
      </c>
      <c r="B355" s="285" t="s">
        <v>1222</v>
      </c>
      <c r="C355" s="35" t="n">
        <v>416500</v>
      </c>
      <c r="D355" s="61" t="n">
        <f aca="false">300000+116500</f>
        <v>416500</v>
      </c>
      <c r="E355" s="42" t="n">
        <f aca="false">C355-D355</f>
        <v>0</v>
      </c>
    </row>
    <row r="356" customFormat="false" ht="15" hidden="false" customHeight="false" outlineLevel="0" collapsed="false">
      <c r="A356" s="79" t="n">
        <v>4</v>
      </c>
      <c r="B356" s="285" t="s">
        <v>1223</v>
      </c>
      <c r="C356" s="35" t="n">
        <v>416500</v>
      </c>
      <c r="D356" s="61" t="n">
        <f aca="false">216000+245000</f>
        <v>461000</v>
      </c>
      <c r="E356" s="42" t="n">
        <f aca="false">C356-D356</f>
        <v>-44500</v>
      </c>
    </row>
    <row r="357" customFormat="false" ht="15" hidden="false" customHeight="false" outlineLevel="0" collapsed="false">
      <c r="A357" s="68" t="n">
        <v>5</v>
      </c>
      <c r="B357" s="285" t="s">
        <v>1224</v>
      </c>
      <c r="C357" s="35" t="n">
        <v>416500</v>
      </c>
      <c r="D357" s="61"/>
      <c r="E357" s="42" t="n">
        <f aca="false">C357-D357</f>
        <v>416500</v>
      </c>
    </row>
    <row r="358" customFormat="false" ht="15" hidden="false" customHeight="false" outlineLevel="0" collapsed="false">
      <c r="A358" s="68" t="n">
        <v>6</v>
      </c>
      <c r="B358" s="285" t="s">
        <v>1225</v>
      </c>
      <c r="C358" s="35" t="n">
        <v>416500</v>
      </c>
      <c r="D358" s="61" t="n">
        <f aca="false">43500+373000</f>
        <v>416500</v>
      </c>
      <c r="E358" s="42" t="n">
        <f aca="false">C358-D358</f>
        <v>0</v>
      </c>
    </row>
    <row r="359" customFormat="false" ht="15" hidden="false" customHeight="false" outlineLevel="0" collapsed="false">
      <c r="A359" s="79" t="n">
        <v>7</v>
      </c>
      <c r="B359" s="285" t="s">
        <v>1226</v>
      </c>
      <c r="C359" s="35" t="n">
        <v>416500</v>
      </c>
      <c r="D359" s="61" t="n">
        <f aca="false">100000+316500</f>
        <v>416500</v>
      </c>
      <c r="E359" s="42" t="n">
        <f aca="false">C359-D359</f>
        <v>0</v>
      </c>
    </row>
    <row r="360" customFormat="false" ht="15" hidden="false" customHeight="false" outlineLevel="0" collapsed="false">
      <c r="A360" s="68" t="n">
        <v>8</v>
      </c>
      <c r="B360" s="285" t="s">
        <v>1227</v>
      </c>
      <c r="C360" s="35" t="n">
        <v>416500</v>
      </c>
      <c r="D360" s="61" t="n">
        <f aca="false">216500+200000</f>
        <v>416500</v>
      </c>
      <c r="E360" s="42" t="n">
        <f aca="false">C360-D360</f>
        <v>0</v>
      </c>
    </row>
    <row r="361" customFormat="false" ht="15" hidden="false" customHeight="false" outlineLevel="0" collapsed="false">
      <c r="A361" s="68" t="n">
        <v>9</v>
      </c>
      <c r="B361" s="285" t="s">
        <v>1228</v>
      </c>
      <c r="C361" s="35" t="n">
        <v>416500</v>
      </c>
      <c r="D361" s="61" t="n">
        <f aca="false">216500+200000</f>
        <v>416500</v>
      </c>
      <c r="E361" s="42" t="n">
        <f aca="false">C361-D361</f>
        <v>0</v>
      </c>
    </row>
    <row r="362" customFormat="false" ht="15" hidden="false" customHeight="false" outlineLevel="0" collapsed="false">
      <c r="A362" s="79" t="n">
        <v>10</v>
      </c>
      <c r="B362" s="285" t="s">
        <v>1229</v>
      </c>
      <c r="C362" s="35" t="n">
        <v>416500</v>
      </c>
      <c r="D362" s="61" t="n">
        <f aca="false">416000+500</f>
        <v>416500</v>
      </c>
      <c r="E362" s="42" t="n">
        <f aca="false">C362-D362</f>
        <v>0</v>
      </c>
    </row>
    <row r="363" customFormat="false" ht="15" hidden="false" customHeight="false" outlineLevel="0" collapsed="false">
      <c r="A363" s="68" t="n">
        <v>11</v>
      </c>
      <c r="B363" s="285" t="s">
        <v>1230</v>
      </c>
      <c r="C363" s="35" t="n">
        <v>416500</v>
      </c>
      <c r="D363" s="61" t="n">
        <f aca="false">216500+200000</f>
        <v>416500</v>
      </c>
      <c r="E363" s="42" t="n">
        <f aca="false">C363-D363</f>
        <v>0</v>
      </c>
    </row>
    <row r="364" customFormat="false" ht="15" hidden="false" customHeight="false" outlineLevel="0" collapsed="false">
      <c r="A364" s="68" t="n">
        <v>12</v>
      </c>
      <c r="B364" s="285" t="s">
        <v>1231</v>
      </c>
      <c r="C364" s="35" t="n">
        <v>416500</v>
      </c>
      <c r="D364" s="61"/>
      <c r="E364" s="42" t="n">
        <f aca="false">C364-D364</f>
        <v>416500</v>
      </c>
    </row>
    <row r="365" customFormat="false" ht="15" hidden="false" customHeight="false" outlineLevel="0" collapsed="false">
      <c r="A365" s="79" t="n">
        <v>13</v>
      </c>
      <c r="B365" s="285" t="s">
        <v>1232</v>
      </c>
      <c r="C365" s="35" t="n">
        <v>416500</v>
      </c>
      <c r="D365" s="61"/>
      <c r="E365" s="42" t="n">
        <f aca="false">C365-D365</f>
        <v>416500</v>
      </c>
    </row>
    <row r="366" customFormat="false" ht="37.3" hidden="false" customHeight="false" outlineLevel="0" collapsed="false">
      <c r="A366" s="68" t="n">
        <v>14</v>
      </c>
      <c r="B366" s="308" t="s">
        <v>1233</v>
      </c>
      <c r="C366" s="35" t="n">
        <v>416500</v>
      </c>
      <c r="D366" s="61" t="n">
        <v>416500</v>
      </c>
      <c r="E366" s="42" t="n">
        <f aca="false">C366-D366</f>
        <v>0</v>
      </c>
    </row>
    <row r="367" customFormat="false" ht="15" hidden="false" customHeight="false" outlineLevel="0" collapsed="false">
      <c r="A367" s="68" t="n">
        <v>15</v>
      </c>
      <c r="B367" s="285" t="s">
        <v>1234</v>
      </c>
      <c r="C367" s="35" t="n">
        <v>416500</v>
      </c>
      <c r="D367" s="61"/>
      <c r="E367" s="42" t="n">
        <f aca="false">C367-D367</f>
        <v>416500</v>
      </c>
    </row>
    <row r="368" customFormat="false" ht="15" hidden="false" customHeight="false" outlineLevel="0" collapsed="false">
      <c r="A368" s="79" t="n">
        <v>16</v>
      </c>
      <c r="B368" s="285" t="s">
        <v>1235</v>
      </c>
      <c r="C368" s="35" t="n">
        <v>416500</v>
      </c>
      <c r="D368" s="61" t="n">
        <f aca="false">416500</f>
        <v>416500</v>
      </c>
      <c r="E368" s="42" t="n">
        <f aca="false">C368-D368</f>
        <v>0</v>
      </c>
    </row>
    <row r="369" customFormat="false" ht="15" hidden="false" customHeight="false" outlineLevel="0" collapsed="false">
      <c r="A369" s="68" t="n">
        <v>17</v>
      </c>
      <c r="B369" s="285" t="s">
        <v>1236</v>
      </c>
      <c r="C369" s="35" t="n">
        <v>416500</v>
      </c>
      <c r="D369" s="61" t="n">
        <f aca="false">200000+100500+116500</f>
        <v>417000</v>
      </c>
      <c r="E369" s="42" t="n">
        <f aca="false">C369-D369</f>
        <v>-500</v>
      </c>
    </row>
    <row r="370" customFormat="false" ht="15" hidden="false" customHeight="false" outlineLevel="0" collapsed="false">
      <c r="A370" s="68" t="n">
        <v>18</v>
      </c>
      <c r="B370" s="285" t="s">
        <v>1237</v>
      </c>
      <c r="C370" s="35" t="n">
        <v>416500</v>
      </c>
      <c r="D370" s="61" t="n">
        <f aca="false">100000+16000+100000+200500</f>
        <v>416500</v>
      </c>
      <c r="E370" s="42" t="n">
        <f aca="false">C370-D370</f>
        <v>0</v>
      </c>
    </row>
    <row r="371" customFormat="false" ht="15" hidden="false" customHeight="false" outlineLevel="0" collapsed="false">
      <c r="A371" s="79" t="n">
        <v>19</v>
      </c>
      <c r="B371" s="285" t="s">
        <v>1238</v>
      </c>
      <c r="C371" s="35" t="n">
        <v>416500</v>
      </c>
      <c r="D371" s="61" t="n">
        <f aca="false">93500+100000+170000+53000</f>
        <v>416500</v>
      </c>
      <c r="E371" s="42" t="n">
        <f aca="false">C371-D371</f>
        <v>0</v>
      </c>
    </row>
    <row r="372" customFormat="false" ht="15" hidden="false" customHeight="false" outlineLevel="0" collapsed="false">
      <c r="A372" s="68" t="n">
        <v>20</v>
      </c>
      <c r="B372" s="285" t="s">
        <v>1239</v>
      </c>
      <c r="C372" s="35" t="n">
        <v>416500</v>
      </c>
      <c r="D372" s="61"/>
      <c r="E372" s="42" t="n">
        <f aca="false">C372-D372</f>
        <v>416500</v>
      </c>
    </row>
    <row r="373" customFormat="false" ht="15" hidden="false" customHeight="false" outlineLevel="0" collapsed="false">
      <c r="A373" s="68" t="n">
        <v>21</v>
      </c>
      <c r="B373" s="285" t="s">
        <v>1240</v>
      </c>
      <c r="C373" s="35" t="n">
        <v>416500</v>
      </c>
      <c r="D373" s="61" t="n">
        <f aca="false">116500+300000</f>
        <v>416500</v>
      </c>
      <c r="E373" s="42" t="n">
        <f aca="false">C373-D373</f>
        <v>0</v>
      </c>
    </row>
    <row r="374" customFormat="false" ht="15" hidden="false" customHeight="false" outlineLevel="0" collapsed="false">
      <c r="A374" s="79" t="n">
        <v>22</v>
      </c>
      <c r="B374" s="285" t="s">
        <v>1241</v>
      </c>
      <c r="C374" s="35" t="n">
        <v>416500</v>
      </c>
      <c r="D374" s="61" t="n">
        <f aca="false">416500</f>
        <v>416500</v>
      </c>
      <c r="E374" s="42" t="n">
        <f aca="false">C374-D374</f>
        <v>0</v>
      </c>
    </row>
    <row r="375" customFormat="false" ht="15" hidden="false" customHeight="false" outlineLevel="0" collapsed="false">
      <c r="A375" s="68" t="n">
        <v>23</v>
      </c>
      <c r="B375" s="285" t="s">
        <v>1242</v>
      </c>
      <c r="C375" s="35" t="n">
        <v>416500</v>
      </c>
      <c r="D375" s="61" t="n">
        <f aca="false">183500+20000+216500</f>
        <v>420000</v>
      </c>
      <c r="E375" s="42" t="n">
        <f aca="false">C375-D375</f>
        <v>-3500</v>
      </c>
    </row>
    <row r="376" customFormat="false" ht="15" hidden="false" customHeight="false" outlineLevel="0" collapsed="false">
      <c r="A376" s="68" t="n">
        <v>24</v>
      </c>
      <c r="B376" s="285" t="s">
        <v>1243</v>
      </c>
      <c r="C376" s="35" t="n">
        <v>416500</v>
      </c>
      <c r="D376" s="61" t="n">
        <f aca="false">300000+116500</f>
        <v>416500</v>
      </c>
      <c r="E376" s="42" t="n">
        <f aca="false">C376-D376</f>
        <v>0</v>
      </c>
    </row>
    <row r="377" customFormat="false" ht="15" hidden="false" customHeight="false" outlineLevel="0" collapsed="false">
      <c r="A377" s="79" t="n">
        <v>25</v>
      </c>
      <c r="B377" s="285" t="s">
        <v>1244</v>
      </c>
      <c r="C377" s="35" t="n">
        <v>416500</v>
      </c>
      <c r="D377" s="61" t="n">
        <f aca="false">400000+500+16000</f>
        <v>416500</v>
      </c>
      <c r="E377" s="42" t="n">
        <f aca="false">C377-D377</f>
        <v>0</v>
      </c>
    </row>
    <row r="378" customFormat="false" ht="15" hidden="false" customHeight="false" outlineLevel="0" collapsed="false">
      <c r="A378" s="68" t="n">
        <v>26</v>
      </c>
      <c r="B378" s="285" t="s">
        <v>1245</v>
      </c>
      <c r="C378" s="35" t="n">
        <v>416500</v>
      </c>
      <c r="D378" s="61" t="n">
        <f aca="false">100000+316500</f>
        <v>416500</v>
      </c>
      <c r="E378" s="42" t="n">
        <f aca="false">C378-D378</f>
        <v>0</v>
      </c>
    </row>
    <row r="379" customFormat="false" ht="15" hidden="false" customHeight="false" outlineLevel="0" collapsed="false">
      <c r="A379" s="68" t="n">
        <v>27</v>
      </c>
      <c r="B379" s="285" t="s">
        <v>1246</v>
      </c>
      <c r="C379" s="35" t="n">
        <v>416500</v>
      </c>
      <c r="D379" s="61" t="n">
        <v>416500</v>
      </c>
      <c r="E379" s="42" t="n">
        <f aca="false">C379-D379</f>
        <v>0</v>
      </c>
    </row>
    <row r="380" customFormat="false" ht="15" hidden="false" customHeight="false" outlineLevel="0" collapsed="false">
      <c r="A380" s="79" t="n">
        <v>28</v>
      </c>
      <c r="B380" s="285" t="s">
        <v>1247</v>
      </c>
      <c r="C380" s="35" t="n">
        <v>416500</v>
      </c>
      <c r="D380" s="61" t="n">
        <f aca="false">100000+316000</f>
        <v>416000</v>
      </c>
      <c r="E380" s="42" t="n">
        <f aca="false">C380-D380</f>
        <v>500</v>
      </c>
    </row>
    <row r="381" customFormat="false" ht="15" hidden="false" customHeight="false" outlineLevel="0" collapsed="false">
      <c r="A381" s="68" t="n">
        <v>29</v>
      </c>
      <c r="B381" s="285" t="s">
        <v>1248</v>
      </c>
      <c r="C381" s="35" t="n">
        <v>416500</v>
      </c>
      <c r="D381" s="61" t="n">
        <f aca="false">100000</f>
        <v>100000</v>
      </c>
      <c r="E381" s="42" t="n">
        <f aca="false">C381-D381</f>
        <v>316500</v>
      </c>
    </row>
    <row r="382" customFormat="false" ht="15" hidden="false" customHeight="false" outlineLevel="0" collapsed="false">
      <c r="A382" s="68" t="n">
        <v>30</v>
      </c>
      <c r="B382" s="285" t="s">
        <v>1249</v>
      </c>
      <c r="C382" s="35" t="n">
        <v>416500</v>
      </c>
      <c r="D382" s="61" t="n">
        <f aca="false">200000+216500</f>
        <v>416500</v>
      </c>
      <c r="E382" s="42" t="n">
        <f aca="false">C382-D382</f>
        <v>0</v>
      </c>
    </row>
    <row r="383" customFormat="false" ht="15" hidden="false" customHeight="false" outlineLevel="0" collapsed="false">
      <c r="A383" s="79" t="n">
        <v>31</v>
      </c>
      <c r="B383" s="285" t="s">
        <v>1250</v>
      </c>
      <c r="C383" s="35" t="n">
        <v>416500</v>
      </c>
      <c r="D383" s="61" t="n">
        <f aca="false">166500+50000</f>
        <v>216500</v>
      </c>
      <c r="E383" s="42" t="n">
        <f aca="false">C383-D383</f>
        <v>200000</v>
      </c>
    </row>
    <row r="384" customFormat="false" ht="15" hidden="false" customHeight="false" outlineLevel="0" collapsed="false">
      <c r="A384" s="68" t="n">
        <v>32</v>
      </c>
      <c r="B384" s="285" t="s">
        <v>1251</v>
      </c>
      <c r="C384" s="35" t="n">
        <v>416500</v>
      </c>
      <c r="D384" s="61" t="n">
        <f aca="false">216500</f>
        <v>216500</v>
      </c>
      <c r="E384" s="42" t="n">
        <f aca="false">C384-D384</f>
        <v>200000</v>
      </c>
    </row>
    <row r="385" customFormat="false" ht="15" hidden="false" customHeight="false" outlineLevel="0" collapsed="false">
      <c r="A385" s="68" t="n">
        <v>33</v>
      </c>
      <c r="B385" s="285" t="s">
        <v>1252</v>
      </c>
      <c r="C385" s="35" t="n">
        <v>416500</v>
      </c>
      <c r="D385" s="61" t="n">
        <v>417500</v>
      </c>
      <c r="E385" s="42" t="n">
        <f aca="false">C385-D385</f>
        <v>-1000</v>
      </c>
    </row>
    <row r="386" customFormat="false" ht="15" hidden="false" customHeight="false" outlineLevel="0" collapsed="false">
      <c r="A386" s="79" t="n">
        <v>34</v>
      </c>
      <c r="B386" s="285" t="s">
        <v>1253</v>
      </c>
      <c r="C386" s="35" t="n">
        <v>416500</v>
      </c>
      <c r="D386" s="61" t="n">
        <v>416500</v>
      </c>
      <c r="E386" s="42" t="n">
        <f aca="false">C386-D386</f>
        <v>0</v>
      </c>
    </row>
    <row r="387" customFormat="false" ht="15" hidden="false" customHeight="false" outlineLevel="0" collapsed="false">
      <c r="A387" s="68" t="n">
        <v>35</v>
      </c>
      <c r="B387" s="285" t="s">
        <v>1254</v>
      </c>
      <c r="C387" s="35" t="n">
        <v>416500</v>
      </c>
      <c r="D387" s="61" t="n">
        <f aca="false">250000+100000+66500</f>
        <v>416500</v>
      </c>
      <c r="E387" s="42" t="n">
        <f aca="false">C387-D387</f>
        <v>0</v>
      </c>
    </row>
    <row r="388" customFormat="false" ht="15" hidden="false" customHeight="false" outlineLevel="0" collapsed="false">
      <c r="A388" s="68" t="n">
        <v>36</v>
      </c>
      <c r="B388" s="285" t="s">
        <v>1255</v>
      </c>
      <c r="C388" s="35" t="n">
        <v>416500</v>
      </c>
      <c r="D388" s="61" t="n">
        <f aca="false">216000+200000+500</f>
        <v>416500</v>
      </c>
      <c r="E388" s="42" t="n">
        <f aca="false">C388-D388</f>
        <v>0</v>
      </c>
    </row>
    <row r="389" customFormat="false" ht="15" hidden="false" customHeight="false" outlineLevel="0" collapsed="false">
      <c r="A389" s="79" t="n">
        <v>37</v>
      </c>
      <c r="B389" s="285" t="s">
        <v>1256</v>
      </c>
      <c r="C389" s="35" t="n">
        <v>416500</v>
      </c>
      <c r="D389" s="61" t="n">
        <f aca="false">416500</f>
        <v>416500</v>
      </c>
      <c r="E389" s="42" t="n">
        <f aca="false">C389-D389</f>
        <v>0</v>
      </c>
    </row>
    <row r="390" customFormat="false" ht="15" hidden="false" customHeight="false" outlineLevel="0" collapsed="false">
      <c r="A390" s="68" t="n">
        <v>38</v>
      </c>
      <c r="B390" s="285" t="s">
        <v>1257</v>
      </c>
      <c r="C390" s="35" t="n">
        <v>416500</v>
      </c>
      <c r="D390" s="61" t="n">
        <f aca="false">200000+216000</f>
        <v>416000</v>
      </c>
      <c r="E390" s="42" t="n">
        <f aca="false">C390-D390</f>
        <v>500</v>
      </c>
    </row>
    <row r="391" customFormat="false" ht="15" hidden="false" customHeight="false" outlineLevel="0" collapsed="false">
      <c r="A391" s="68" t="n">
        <v>39</v>
      </c>
      <c r="B391" s="285" t="s">
        <v>1258</v>
      </c>
      <c r="C391" s="35" t="n">
        <v>416500</v>
      </c>
      <c r="D391" s="61" t="n">
        <f aca="false">216000+200000</f>
        <v>416000</v>
      </c>
      <c r="E391" s="42" t="n">
        <f aca="false">C391-D391</f>
        <v>500</v>
      </c>
    </row>
    <row r="392" customFormat="false" ht="15" hidden="false" customHeight="false" outlineLevel="0" collapsed="false">
      <c r="A392" s="79" t="n">
        <v>40</v>
      </c>
      <c r="B392" s="285" t="s">
        <v>1259</v>
      </c>
      <c r="C392" s="35" t="n">
        <v>416500</v>
      </c>
      <c r="D392" s="61" t="n">
        <f aca="false">32000+95000+185000+50000+54500</f>
        <v>416500</v>
      </c>
      <c r="E392" s="42" t="n">
        <f aca="false">C392-D392</f>
        <v>0</v>
      </c>
    </row>
    <row r="393" customFormat="false" ht="15" hidden="false" customHeight="false" outlineLevel="0" collapsed="false">
      <c r="A393" s="68" t="n">
        <v>41</v>
      </c>
      <c r="B393" s="285" t="s">
        <v>1260</v>
      </c>
      <c r="C393" s="35" t="n">
        <v>416500</v>
      </c>
      <c r="D393" s="61" t="n">
        <f aca="false">116500+100000+100000+100000</f>
        <v>416500</v>
      </c>
      <c r="E393" s="42" t="n">
        <f aca="false">C393-D393</f>
        <v>0</v>
      </c>
    </row>
    <row r="394" customFormat="false" ht="15" hidden="false" customHeight="false" outlineLevel="0" collapsed="false">
      <c r="A394" s="68" t="n">
        <v>42</v>
      </c>
      <c r="B394" s="285" t="s">
        <v>1261</v>
      </c>
      <c r="C394" s="35" t="n">
        <v>416500</v>
      </c>
      <c r="D394" s="61" t="n">
        <f aca="false">170000+246500</f>
        <v>416500</v>
      </c>
      <c r="E394" s="42" t="n">
        <f aca="false">C394-D394</f>
        <v>0</v>
      </c>
    </row>
    <row r="395" customFormat="false" ht="15" hidden="false" customHeight="false" outlineLevel="0" collapsed="false">
      <c r="A395" s="79" t="n">
        <v>43</v>
      </c>
      <c r="B395" s="285" t="s">
        <v>1262</v>
      </c>
      <c r="C395" s="35" t="n">
        <v>416500</v>
      </c>
      <c r="D395" s="61" t="n">
        <f aca="false">10500+40000+110000</f>
        <v>160500</v>
      </c>
      <c r="E395" s="42" t="n">
        <f aca="false">C395-D395</f>
        <v>256000</v>
      </c>
    </row>
    <row r="396" customFormat="false" ht="15" hidden="false" customHeight="false" outlineLevel="0" collapsed="false">
      <c r="A396" s="68" t="n">
        <v>44</v>
      </c>
      <c r="B396" s="285" t="s">
        <v>1263</v>
      </c>
      <c r="C396" s="35" t="n">
        <v>416500</v>
      </c>
      <c r="D396" s="61" t="n">
        <f aca="false">250000+166500</f>
        <v>416500</v>
      </c>
      <c r="E396" s="42" t="n">
        <f aca="false">C396-D396</f>
        <v>0</v>
      </c>
    </row>
    <row r="397" customFormat="false" ht="15" hidden="false" customHeight="false" outlineLevel="0" collapsed="false">
      <c r="A397" s="68" t="n">
        <v>45</v>
      </c>
      <c r="B397" s="285" t="s">
        <v>1264</v>
      </c>
      <c r="C397" s="35" t="n">
        <v>416500</v>
      </c>
      <c r="D397" s="61" t="n">
        <f aca="false">416500</f>
        <v>416500</v>
      </c>
      <c r="E397" s="42" t="n">
        <f aca="false">C397-D397</f>
        <v>0</v>
      </c>
    </row>
    <row r="398" customFormat="false" ht="15" hidden="false" customHeight="false" outlineLevel="0" collapsed="false">
      <c r="A398" s="79" t="n">
        <v>46</v>
      </c>
      <c r="B398" s="285" t="s">
        <v>1265</v>
      </c>
      <c r="C398" s="35" t="n">
        <v>416500</v>
      </c>
      <c r="D398" s="61" t="n">
        <f aca="false">150500+266000</f>
        <v>416500</v>
      </c>
      <c r="E398" s="42" t="n">
        <f aca="false">C398-D398</f>
        <v>0</v>
      </c>
    </row>
    <row r="399" customFormat="false" ht="15" hidden="false" customHeight="false" outlineLevel="0" collapsed="false">
      <c r="A399" s="68" t="n">
        <v>47</v>
      </c>
      <c r="B399" s="285" t="s">
        <v>1266</v>
      </c>
      <c r="C399" s="35" t="n">
        <v>416500</v>
      </c>
      <c r="D399" s="61" t="n">
        <f aca="false">100000+200000+116500</f>
        <v>416500</v>
      </c>
      <c r="E399" s="42" t="n">
        <f aca="false">C399-D399</f>
        <v>0</v>
      </c>
    </row>
    <row r="400" customFormat="false" ht="15" hidden="false" customHeight="false" outlineLevel="0" collapsed="false">
      <c r="A400" s="68" t="n">
        <v>48</v>
      </c>
      <c r="B400" s="285" t="s">
        <v>1267</v>
      </c>
      <c r="C400" s="35" t="n">
        <v>416500</v>
      </c>
      <c r="D400" s="61" t="n">
        <f aca="false">300000+116500</f>
        <v>416500</v>
      </c>
      <c r="E400" s="42" t="n">
        <f aca="false">C400-D400</f>
        <v>0</v>
      </c>
    </row>
    <row r="401" customFormat="false" ht="15" hidden="false" customHeight="false" outlineLevel="0" collapsed="false">
      <c r="A401" s="79" t="n">
        <v>49</v>
      </c>
      <c r="B401" s="285" t="s">
        <v>1268</v>
      </c>
      <c r="C401" s="35" t="n">
        <v>416500</v>
      </c>
      <c r="D401" s="61"/>
      <c r="E401" s="42" t="n">
        <f aca="false">C401-D401</f>
        <v>416500</v>
      </c>
    </row>
    <row r="402" customFormat="false" ht="15" hidden="false" customHeight="false" outlineLevel="0" collapsed="false">
      <c r="A402" s="68" t="n">
        <v>50</v>
      </c>
      <c r="B402" s="285" t="s">
        <v>1269</v>
      </c>
      <c r="C402" s="35" t="n">
        <v>416500</v>
      </c>
      <c r="D402" s="61" t="n">
        <f aca="false">216500+200000</f>
        <v>416500</v>
      </c>
      <c r="E402" s="42" t="n">
        <f aca="false">C402-D402</f>
        <v>0</v>
      </c>
    </row>
    <row r="403" customFormat="false" ht="15" hidden="false" customHeight="false" outlineLevel="0" collapsed="false">
      <c r="A403" s="68" t="n">
        <v>51</v>
      </c>
      <c r="B403" s="285" t="s">
        <v>1270</v>
      </c>
      <c r="C403" s="35" t="n">
        <v>416500</v>
      </c>
      <c r="D403" s="61" t="n">
        <f aca="false">216500+200000</f>
        <v>416500</v>
      </c>
      <c r="E403" s="42" t="n">
        <f aca="false">C403-D403</f>
        <v>0</v>
      </c>
    </row>
    <row r="404" customFormat="false" ht="15" hidden="false" customHeight="false" outlineLevel="0" collapsed="false">
      <c r="A404" s="79" t="n">
        <v>52</v>
      </c>
      <c r="B404" s="285" t="s">
        <v>1271</v>
      </c>
      <c r="C404" s="35" t="n">
        <v>416500</v>
      </c>
      <c r="D404" s="61" t="n">
        <v>416500</v>
      </c>
      <c r="E404" s="42" t="n">
        <f aca="false">C404-D404</f>
        <v>0</v>
      </c>
    </row>
    <row r="405" customFormat="false" ht="15" hidden="false" customHeight="false" outlineLevel="0" collapsed="false">
      <c r="A405" s="68" t="n">
        <v>53</v>
      </c>
      <c r="B405" s="285" t="s">
        <v>1272</v>
      </c>
      <c r="C405" s="35" t="n">
        <v>416500</v>
      </c>
      <c r="D405" s="61" t="n">
        <f aca="false">200000+216500</f>
        <v>416500</v>
      </c>
      <c r="E405" s="42" t="n">
        <f aca="false">C405-D405</f>
        <v>0</v>
      </c>
    </row>
    <row r="406" customFormat="false" ht="15" hidden="false" customHeight="false" outlineLevel="0" collapsed="false">
      <c r="A406" s="68" t="n">
        <v>54</v>
      </c>
      <c r="B406" s="285" t="s">
        <v>1273</v>
      </c>
      <c r="C406" s="35" t="n">
        <v>416500</v>
      </c>
      <c r="D406" s="61" t="n">
        <v>416500</v>
      </c>
      <c r="E406" s="42" t="n">
        <f aca="false">C406-D406</f>
        <v>0</v>
      </c>
    </row>
    <row r="407" customFormat="false" ht="15" hidden="false" customHeight="false" outlineLevel="0" collapsed="false">
      <c r="A407" s="79" t="n">
        <v>55</v>
      </c>
      <c r="B407" s="285" t="s">
        <v>1274</v>
      </c>
      <c r="C407" s="35" t="n">
        <v>416500</v>
      </c>
      <c r="D407" s="61" t="n">
        <v>416500</v>
      </c>
      <c r="E407" s="42" t="n">
        <f aca="false">C407-D407</f>
        <v>0</v>
      </c>
    </row>
    <row r="408" customFormat="false" ht="15" hidden="false" customHeight="false" outlineLevel="0" collapsed="false">
      <c r="A408" s="68" t="n">
        <v>56</v>
      </c>
      <c r="B408" s="306" t="s">
        <v>1275</v>
      </c>
      <c r="C408" s="35" t="n">
        <v>416500</v>
      </c>
      <c r="D408" s="305" t="n">
        <f aca="false">299500</f>
        <v>299500</v>
      </c>
      <c r="E408" s="42" t="n">
        <f aca="false">C408-D408</f>
        <v>117000</v>
      </c>
    </row>
    <row r="409" customFormat="false" ht="15" hidden="false" customHeight="false" outlineLevel="0" collapsed="false">
      <c r="A409" s="68" t="n">
        <v>57</v>
      </c>
      <c r="B409" s="306" t="s">
        <v>1276</v>
      </c>
      <c r="C409" s="35" t="n">
        <v>416500</v>
      </c>
      <c r="D409" s="305" t="n">
        <f aca="false">3500+100000+313000</f>
        <v>416500</v>
      </c>
      <c r="E409" s="42" t="n">
        <f aca="false">C409-D409</f>
        <v>0</v>
      </c>
    </row>
    <row r="410" customFormat="false" ht="15" hidden="false" customHeight="false" outlineLevel="0" collapsed="false">
      <c r="A410" s="79" t="n">
        <v>58</v>
      </c>
      <c r="B410" s="306" t="s">
        <v>1277</v>
      </c>
      <c r="C410" s="35" t="n">
        <v>416500</v>
      </c>
      <c r="D410" s="305" t="n">
        <v>416500</v>
      </c>
      <c r="E410" s="42" t="n">
        <f aca="false">C410-D410</f>
        <v>0</v>
      </c>
    </row>
    <row r="411" customFormat="false" ht="15" hidden="false" customHeight="false" outlineLevel="0" collapsed="false">
      <c r="A411" s="68" t="n">
        <v>59</v>
      </c>
      <c r="B411" s="285" t="s">
        <v>1278</v>
      </c>
      <c r="C411" s="35" t="n">
        <v>416500</v>
      </c>
      <c r="D411" s="305" t="n">
        <v>416500</v>
      </c>
      <c r="E411" s="42" t="n">
        <f aca="false">C411-D411</f>
        <v>0</v>
      </c>
    </row>
    <row r="412" customFormat="false" ht="17.35" hidden="false" customHeight="false" outlineLevel="0" collapsed="false">
      <c r="A412" s="81"/>
      <c r="B412" s="287" t="s">
        <v>24</v>
      </c>
      <c r="C412" s="27" t="n">
        <f aca="false">SUM(C353:C411)</f>
        <v>24573500</v>
      </c>
      <c r="D412" s="28" t="n">
        <f aca="false">SUM(D353:D411)</f>
        <v>21037000</v>
      </c>
      <c r="E412" s="293" t="n">
        <f aca="false">C412-D412</f>
        <v>3536500</v>
      </c>
    </row>
    <row r="413" customFormat="false" ht="13.8" hidden="false" customHeight="false" outlineLevel="0" collapsed="false">
      <c r="A413" s="47"/>
      <c r="B413" s="1"/>
      <c r="C413" s="1"/>
      <c r="D413" s="2"/>
      <c r="E413" s="2"/>
    </row>
    <row r="417" customFormat="false" ht="17.35" hidden="false" customHeight="false" outlineLevel="0" collapsed="false">
      <c r="A417" s="3"/>
      <c r="B417" s="76" t="s">
        <v>0</v>
      </c>
      <c r="C417" s="1"/>
      <c r="D417" s="2"/>
      <c r="E417" s="2"/>
    </row>
    <row r="418" customFormat="false" ht="17.35" hidden="false" customHeight="false" outlineLevel="0" collapsed="false">
      <c r="A418" s="51"/>
      <c r="B418" s="1"/>
      <c r="C418" s="1"/>
      <c r="D418" s="2"/>
      <c r="E418" s="2"/>
    </row>
    <row r="419" customFormat="false" ht="13.8" hidden="false" customHeight="false" outlineLevel="0" collapsed="false">
      <c r="A419" s="3"/>
      <c r="B419" s="1"/>
      <c r="C419" s="1"/>
      <c r="D419" s="2"/>
      <c r="E419" s="2"/>
    </row>
    <row r="420" customFormat="false" ht="17.55" hidden="false" customHeight="false" outlineLevel="0" collapsed="false">
      <c r="A420" s="3"/>
      <c r="B420" s="125" t="s">
        <v>1279</v>
      </c>
      <c r="C420" s="1"/>
      <c r="D420" s="2"/>
      <c r="E420" s="2"/>
    </row>
    <row r="421" customFormat="false" ht="15" hidden="false" customHeight="false" outlineLevel="0" collapsed="false">
      <c r="A421" s="3"/>
      <c r="B421" s="1"/>
      <c r="C421" s="1"/>
      <c r="D421" s="289" t="s">
        <v>1003</v>
      </c>
      <c r="E421" s="2"/>
    </row>
    <row r="422" customFormat="false" ht="13.8" hidden="false" customHeight="false" outlineLevel="0" collapsed="false">
      <c r="A422" s="3"/>
      <c r="B422" s="1"/>
      <c r="C422" s="1"/>
      <c r="D422" s="2"/>
      <c r="E422" s="2"/>
    </row>
    <row r="423" customFormat="false" ht="15" hidden="false" customHeight="false" outlineLevel="0" collapsed="false">
      <c r="A423" s="7" t="s">
        <v>3</v>
      </c>
      <c r="B423" s="290" t="s">
        <v>4</v>
      </c>
      <c r="C423" s="9" t="s">
        <v>5</v>
      </c>
      <c r="D423" s="10" t="s">
        <v>6</v>
      </c>
      <c r="E423" s="291" t="s">
        <v>7</v>
      </c>
    </row>
    <row r="424" customFormat="false" ht="15" hidden="false" customHeight="false" outlineLevel="0" collapsed="false">
      <c r="A424" s="68" t="n">
        <v>1</v>
      </c>
      <c r="B424" s="38" t="s">
        <v>1280</v>
      </c>
      <c r="C424" s="35" t="n">
        <v>416500</v>
      </c>
      <c r="D424" s="61" t="n">
        <f aca="false">216500+200000</f>
        <v>416500</v>
      </c>
      <c r="E424" s="42" t="n">
        <f aca="false">C424-D424</f>
        <v>0</v>
      </c>
    </row>
    <row r="425" customFormat="false" ht="15" hidden="false" customHeight="false" outlineLevel="0" collapsed="false">
      <c r="A425" s="68" t="n">
        <v>2</v>
      </c>
      <c r="B425" s="38" t="s">
        <v>1281</v>
      </c>
      <c r="C425" s="61" t="n">
        <v>416500</v>
      </c>
      <c r="D425" s="61" t="n">
        <v>416500</v>
      </c>
      <c r="E425" s="42" t="n">
        <f aca="false">C425-D425</f>
        <v>0</v>
      </c>
    </row>
    <row r="426" customFormat="false" ht="15" hidden="false" customHeight="false" outlineLevel="0" collapsed="false">
      <c r="A426" s="68" t="n">
        <v>3</v>
      </c>
      <c r="B426" s="38" t="s">
        <v>1282</v>
      </c>
      <c r="C426" s="35" t="s">
        <v>1283</v>
      </c>
      <c r="D426" s="61"/>
      <c r="E426" s="42" t="e">
        <f aca="false">C426-D426</f>
        <v>#VALUE!</v>
      </c>
    </row>
    <row r="427" customFormat="false" ht="15" hidden="false" customHeight="false" outlineLevel="0" collapsed="false">
      <c r="A427" s="68" t="n">
        <v>4</v>
      </c>
      <c r="B427" s="38" t="s">
        <v>1284</v>
      </c>
      <c r="C427" s="35" t="n">
        <v>416500</v>
      </c>
      <c r="D427" s="61"/>
      <c r="E427" s="42" t="n">
        <f aca="false">C427-D427</f>
        <v>416500</v>
      </c>
    </row>
    <row r="428" customFormat="false" ht="15" hidden="false" customHeight="false" outlineLevel="0" collapsed="false">
      <c r="A428" s="68" t="n">
        <v>5</v>
      </c>
      <c r="B428" s="38" t="s">
        <v>1285</v>
      </c>
      <c r="C428" s="35" t="n">
        <v>416500</v>
      </c>
      <c r="D428" s="61" t="n">
        <v>416500</v>
      </c>
      <c r="E428" s="42" t="n">
        <f aca="false">C428-D428</f>
        <v>0</v>
      </c>
    </row>
    <row r="429" customFormat="false" ht="15" hidden="false" customHeight="false" outlineLevel="0" collapsed="false">
      <c r="A429" s="68" t="n">
        <v>6</v>
      </c>
      <c r="B429" s="38" t="s">
        <v>1286</v>
      </c>
      <c r="C429" s="35" t="n">
        <v>416500</v>
      </c>
      <c r="D429" s="61" t="n">
        <f aca="false">200000</f>
        <v>200000</v>
      </c>
      <c r="E429" s="42" t="n">
        <f aca="false">C429-D429</f>
        <v>216500</v>
      </c>
    </row>
    <row r="430" customFormat="false" ht="15" hidden="false" customHeight="false" outlineLevel="0" collapsed="false">
      <c r="A430" s="68" t="n">
        <v>7</v>
      </c>
      <c r="B430" s="38" t="s">
        <v>1287</v>
      </c>
      <c r="C430" s="35" t="n">
        <v>416500</v>
      </c>
      <c r="D430" s="61" t="n">
        <f aca="false">250000+166500</f>
        <v>416500</v>
      </c>
      <c r="E430" s="42" t="n">
        <f aca="false">C430-D430</f>
        <v>0</v>
      </c>
    </row>
    <row r="431" customFormat="false" ht="17.35" hidden="false" customHeight="false" outlineLevel="0" collapsed="false">
      <c r="A431" s="44"/>
      <c r="B431" s="287" t="s">
        <v>24</v>
      </c>
      <c r="C431" s="27" t="n">
        <f aca="false">SUM(C424:C430)</f>
        <v>2499000</v>
      </c>
      <c r="D431" s="28" t="n">
        <f aca="false">SUM(D424:D430)</f>
        <v>1866000</v>
      </c>
      <c r="E431" s="293" t="e">
        <f aca="false">SUM(E424:E430)</f>
        <v>#VALUE!</v>
      </c>
    </row>
    <row r="432" customFormat="false" ht="17.35" hidden="false" customHeight="false" outlineLevel="0" collapsed="false">
      <c r="A432" s="88"/>
      <c r="B432" s="30"/>
      <c r="C432" s="108"/>
      <c r="D432" s="31"/>
      <c r="E432" s="32"/>
    </row>
    <row r="434" customFormat="false" ht="17.35" hidden="false" customHeight="false" outlineLevel="0" collapsed="false">
      <c r="A434" s="3"/>
      <c r="B434" s="76" t="s">
        <v>0</v>
      </c>
      <c r="C434" s="1"/>
      <c r="D434" s="2"/>
      <c r="E434" s="2"/>
    </row>
    <row r="435" customFormat="false" ht="17.35" hidden="false" customHeight="false" outlineLevel="0" collapsed="false">
      <c r="A435" s="51"/>
      <c r="B435" s="1"/>
      <c r="C435" s="1"/>
      <c r="D435" s="2"/>
      <c r="E435" s="2"/>
    </row>
    <row r="436" customFormat="false" ht="13.8" hidden="false" customHeight="false" outlineLevel="0" collapsed="false">
      <c r="A436" s="3"/>
      <c r="B436" s="1"/>
      <c r="C436" s="1"/>
      <c r="D436" s="2"/>
      <c r="E436" s="2"/>
    </row>
    <row r="437" customFormat="false" ht="17.55" hidden="false" customHeight="false" outlineLevel="0" collapsed="false">
      <c r="A437" s="3"/>
      <c r="B437" s="125" t="s">
        <v>1288</v>
      </c>
      <c r="C437" s="1"/>
      <c r="D437" s="2"/>
      <c r="E437" s="2"/>
    </row>
    <row r="438" customFormat="false" ht="15" hidden="false" customHeight="false" outlineLevel="0" collapsed="false">
      <c r="A438" s="3"/>
      <c r="B438" s="1"/>
      <c r="C438" s="1"/>
      <c r="D438" s="289" t="s">
        <v>1003</v>
      </c>
      <c r="E438" s="2"/>
    </row>
    <row r="439" customFormat="false" ht="13.8" hidden="false" customHeight="false" outlineLevel="0" collapsed="false">
      <c r="A439" s="3"/>
      <c r="B439" s="1"/>
      <c r="C439" s="1"/>
      <c r="D439" s="2"/>
      <c r="E439" s="2"/>
    </row>
    <row r="440" customFormat="false" ht="15" hidden="false" customHeight="false" outlineLevel="0" collapsed="false">
      <c r="A440" s="7" t="s">
        <v>3</v>
      </c>
      <c r="B440" s="290" t="s">
        <v>4</v>
      </c>
      <c r="C440" s="9" t="s">
        <v>5</v>
      </c>
      <c r="D440" s="10" t="s">
        <v>6</v>
      </c>
      <c r="E440" s="291" t="s">
        <v>7</v>
      </c>
    </row>
    <row r="441" customFormat="false" ht="15" hidden="false" customHeight="false" outlineLevel="0" collapsed="false">
      <c r="A441" s="68" t="n">
        <v>1</v>
      </c>
      <c r="B441" s="292" t="s">
        <v>1289</v>
      </c>
      <c r="C441" s="35" t="n">
        <v>416500</v>
      </c>
      <c r="D441" s="61"/>
      <c r="E441" s="42" t="n">
        <f aca="false">C441-D441</f>
        <v>416500</v>
      </c>
    </row>
    <row r="442" customFormat="false" ht="15" hidden="false" customHeight="false" outlineLevel="0" collapsed="false">
      <c r="A442" s="79" t="n">
        <v>2</v>
      </c>
      <c r="B442" s="285" t="s">
        <v>1290</v>
      </c>
      <c r="C442" s="35" t="n">
        <v>416500</v>
      </c>
      <c r="D442" s="61"/>
      <c r="E442" s="42" t="n">
        <f aca="false">C442-D442</f>
        <v>416500</v>
      </c>
    </row>
    <row r="443" customFormat="false" ht="15" hidden="false" customHeight="false" outlineLevel="0" collapsed="false">
      <c r="A443" s="68" t="n">
        <v>3</v>
      </c>
      <c r="B443" s="40" t="s">
        <v>1291</v>
      </c>
      <c r="C443" s="35" t="n">
        <v>416500</v>
      </c>
      <c r="D443" s="61"/>
      <c r="E443" s="42" t="n">
        <f aca="false">C443-D443</f>
        <v>416500</v>
      </c>
    </row>
    <row r="444" customFormat="false" ht="15" hidden="false" customHeight="false" outlineLevel="0" collapsed="false">
      <c r="A444" s="68" t="n">
        <v>4</v>
      </c>
      <c r="B444" s="40" t="s">
        <v>1292</v>
      </c>
      <c r="C444" s="309" t="n">
        <v>416500</v>
      </c>
      <c r="D444" s="62"/>
      <c r="E444" s="42" t="n">
        <f aca="false">C444-D444</f>
        <v>416500</v>
      </c>
    </row>
    <row r="445" customFormat="false" ht="15" hidden="false" customHeight="false" outlineLevel="0" collapsed="false">
      <c r="A445" s="79" t="n">
        <v>5</v>
      </c>
      <c r="B445" s="40" t="s">
        <v>1293</v>
      </c>
      <c r="C445" s="309" t="n">
        <v>416500</v>
      </c>
      <c r="D445" s="61"/>
      <c r="E445" s="42" t="n">
        <f aca="false">C445-D445</f>
        <v>416500</v>
      </c>
    </row>
    <row r="446" customFormat="false" ht="15" hidden="false" customHeight="false" outlineLevel="0" collapsed="false">
      <c r="A446" s="68" t="n">
        <v>6</v>
      </c>
      <c r="B446" s="40" t="s">
        <v>1294</v>
      </c>
      <c r="C446" s="309" t="n">
        <v>416500</v>
      </c>
      <c r="D446" s="61"/>
      <c r="E446" s="42" t="n">
        <f aca="false">C446-D446</f>
        <v>416500</v>
      </c>
    </row>
    <row r="447" customFormat="false" ht="15" hidden="false" customHeight="false" outlineLevel="0" collapsed="false">
      <c r="A447" s="68" t="n">
        <v>7</v>
      </c>
      <c r="B447" s="40" t="s">
        <v>1295</v>
      </c>
      <c r="C447" s="309" t="n">
        <v>416500</v>
      </c>
      <c r="D447" s="61" t="n">
        <f aca="false">17000+100000</f>
        <v>117000</v>
      </c>
      <c r="E447" s="42" t="n">
        <f aca="false">C447-D447</f>
        <v>299500</v>
      </c>
    </row>
    <row r="448" customFormat="false" ht="15" hidden="false" customHeight="false" outlineLevel="0" collapsed="false">
      <c r="A448" s="79" t="n">
        <v>8</v>
      </c>
      <c r="B448" s="302" t="s">
        <v>1296</v>
      </c>
      <c r="C448" s="309" t="n">
        <v>416500</v>
      </c>
      <c r="D448" s="85" t="n">
        <v>216500</v>
      </c>
      <c r="E448" s="42" t="n">
        <f aca="false">C448-D448</f>
        <v>200000</v>
      </c>
    </row>
    <row r="449" customFormat="false" ht="15" hidden="false" customHeight="false" outlineLevel="0" collapsed="false">
      <c r="A449" s="68" t="n">
        <v>9</v>
      </c>
      <c r="B449" s="302" t="s">
        <v>1297</v>
      </c>
      <c r="C449" s="309" t="n">
        <v>416500</v>
      </c>
      <c r="D449" s="61"/>
      <c r="E449" s="42" t="n">
        <f aca="false">C449-D449</f>
        <v>416500</v>
      </c>
    </row>
    <row r="450" customFormat="false" ht="15" hidden="false" customHeight="false" outlineLevel="0" collapsed="false">
      <c r="A450" s="68" t="n">
        <v>10</v>
      </c>
      <c r="B450" s="40" t="s">
        <v>1298</v>
      </c>
      <c r="C450" s="309" t="n">
        <v>416500</v>
      </c>
      <c r="D450" s="85" t="n">
        <f aca="false">266500</f>
        <v>266500</v>
      </c>
      <c r="E450" s="42" t="n">
        <f aca="false">C450-D450</f>
        <v>150000</v>
      </c>
    </row>
    <row r="451" customFormat="false" ht="17.35" hidden="false" customHeight="false" outlineLevel="0" collapsed="false">
      <c r="A451" s="44"/>
      <c r="B451" s="287" t="s">
        <v>24</v>
      </c>
      <c r="C451" s="27" t="n">
        <f aca="false">SUM(C441:C450)</f>
        <v>4165000</v>
      </c>
      <c r="D451" s="28" t="n">
        <f aca="false">SUM(D441:D450)</f>
        <v>600000</v>
      </c>
      <c r="E451" s="293" t="n">
        <f aca="false">SUM(E441:E450)</f>
        <v>3565000</v>
      </c>
    </row>
    <row r="452" customFormat="false" ht="13.8" hidden="false" customHeight="false" outlineLevel="0" collapsed="false">
      <c r="A452" s="1"/>
      <c r="B452" s="1"/>
      <c r="C452" s="1"/>
      <c r="D452" s="2"/>
      <c r="E4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0:K675"/>
  <sheetViews>
    <sheetView showFormulas="false" showGridLines="true" showRowColHeaders="true" showZeros="true" rightToLeft="false" tabSelected="false" showOutlineSymbols="true" defaultGridColor="true" view="normal" topLeftCell="A396" colorId="64" zoomScale="123" zoomScaleNormal="123" zoomScalePageLayoutView="100" workbookViewId="0">
      <selection pane="topLeft" activeCell="F30" activeCellId="0" sqref="F30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30.71"/>
    <col collapsed="false" customWidth="true" hidden="false" outlineLevel="0" max="3" min="3" style="1" width="13.57"/>
    <col collapsed="false" customWidth="true" hidden="false" outlineLevel="0" max="4" min="4" style="1" width="13.86"/>
    <col collapsed="false" customWidth="true" hidden="false" outlineLevel="0" max="5" min="5" style="1" width="20.57"/>
    <col collapsed="false" customWidth="true" hidden="false" outlineLevel="0" max="16383" min="16378" style="0" width="11.53"/>
    <col collapsed="false" customWidth="true" hidden="false" outlineLevel="0" max="16384" min="16384" style="1" width="11.53"/>
  </cols>
  <sheetData>
    <row r="10" customFormat="false" ht="25.5" hidden="false" customHeight="true" outlineLevel="0" collapsed="false"/>
    <row r="11" customFormat="false" ht="31.5" hidden="false" customHeight="true" outlineLevel="0" collapsed="false"/>
    <row r="25" customFormat="false" ht="15" hidden="false" customHeight="false" outlineLevel="0" collapsed="false">
      <c r="C25" s="2"/>
      <c r="D25" s="2"/>
    </row>
    <row r="26" customFormat="false" ht="14.25" hidden="false" customHeight="true" outlineLevel="0" collapsed="false">
      <c r="C26" s="2"/>
      <c r="D26" s="2"/>
    </row>
    <row r="27" customFormat="false" ht="15" hidden="false" customHeight="false" outlineLevel="0" collapsed="false">
      <c r="C27" s="2"/>
      <c r="D27" s="2"/>
    </row>
    <row r="28" customFormat="false" ht="17.35" hidden="false" customHeight="false" outlineLevel="0" collapsed="false">
      <c r="A28" s="3"/>
      <c r="B28" s="3"/>
      <c r="C28" s="4" t="s">
        <v>0</v>
      </c>
      <c r="D28" s="2"/>
    </row>
    <row r="29" customFormat="false" ht="15" hidden="false" customHeight="false" outlineLevel="0" collapsed="false">
      <c r="A29" s="3"/>
      <c r="B29" s="3"/>
      <c r="D29" s="2"/>
    </row>
    <row r="30" customFormat="false" ht="17.55" hidden="false" customHeight="false" outlineLevel="0" collapsed="false">
      <c r="A30" s="3"/>
      <c r="B30" s="3"/>
      <c r="C30" s="5" t="s">
        <v>1</v>
      </c>
      <c r="D30" s="2"/>
    </row>
    <row r="31" customFormat="false" ht="15" hidden="false" customHeight="false" outlineLevel="0" collapsed="false">
      <c r="A31" s="3"/>
      <c r="B31" s="3"/>
      <c r="D31" s="6" t="s">
        <v>2</v>
      </c>
    </row>
    <row r="32" customFormat="false" ht="15" hidden="false" customHeight="false" outlineLevel="0" collapsed="false">
      <c r="A32" s="3"/>
      <c r="B32" s="3"/>
      <c r="D32" s="2"/>
    </row>
    <row r="33" customFormat="false" ht="21" hidden="false" customHeight="true" outlineLevel="0" collapsed="false">
      <c r="A33" s="7" t="s">
        <v>3</v>
      </c>
      <c r="B33" s="8" t="s">
        <v>4</v>
      </c>
      <c r="C33" s="9" t="s">
        <v>5</v>
      </c>
      <c r="D33" s="10" t="s">
        <v>6</v>
      </c>
      <c r="E33" s="11" t="s">
        <v>7</v>
      </c>
    </row>
    <row r="34" customFormat="false" ht="28.5" hidden="false" customHeight="true" outlineLevel="0" collapsed="false">
      <c r="A34" s="12" t="n">
        <v>1</v>
      </c>
      <c r="B34" s="13" t="s">
        <v>8</v>
      </c>
      <c r="C34" s="14" t="n">
        <v>416500</v>
      </c>
      <c r="D34" s="15" t="n">
        <f aca="false">200000+216000</f>
        <v>416000</v>
      </c>
      <c r="E34" s="16" t="n">
        <f aca="false">C34-D34</f>
        <v>500</v>
      </c>
    </row>
    <row r="35" customFormat="false" ht="15" hidden="false" customHeight="false" outlineLevel="0" collapsed="false">
      <c r="A35" s="12" t="n">
        <v>2</v>
      </c>
      <c r="B35" s="17" t="s">
        <v>9</v>
      </c>
      <c r="C35" s="14" t="n">
        <v>416500</v>
      </c>
      <c r="D35" s="15" t="n">
        <f aca="false">103500+216500+96500</f>
        <v>416500</v>
      </c>
      <c r="E35" s="16" t="n">
        <f aca="false">C35-D35</f>
        <v>0</v>
      </c>
    </row>
    <row r="36" customFormat="false" ht="15" hidden="false" customHeight="false" outlineLevel="0" collapsed="false">
      <c r="A36" s="12" t="n">
        <v>3</v>
      </c>
      <c r="B36" s="13" t="s">
        <v>10</v>
      </c>
      <c r="C36" s="14" t="n">
        <v>416500</v>
      </c>
      <c r="D36" s="15" t="n">
        <f aca="false">150000</f>
        <v>150000</v>
      </c>
      <c r="E36" s="16" t="n">
        <f aca="false">C36-D36</f>
        <v>266500</v>
      </c>
    </row>
    <row r="37" customFormat="false" ht="15" hidden="false" customHeight="false" outlineLevel="0" collapsed="false">
      <c r="A37" s="12" t="n">
        <v>4</v>
      </c>
      <c r="B37" s="13" t="s">
        <v>11</v>
      </c>
      <c r="C37" s="14" t="n">
        <v>416500</v>
      </c>
      <c r="D37" s="15" t="n">
        <f aca="false">83500+320000</f>
        <v>403500</v>
      </c>
      <c r="E37" s="16" t="n">
        <f aca="false">C37-D37</f>
        <v>13000</v>
      </c>
    </row>
    <row r="38" customFormat="false" ht="25.35" hidden="false" customHeight="false" outlineLevel="0" collapsed="false">
      <c r="A38" s="12" t="n">
        <v>5</v>
      </c>
      <c r="B38" s="13" t="s">
        <v>12</v>
      </c>
      <c r="C38" s="14" t="n">
        <v>416500</v>
      </c>
      <c r="D38" s="15" t="n">
        <f aca="false">150000+266500</f>
        <v>416500</v>
      </c>
      <c r="E38" s="16" t="n">
        <f aca="false">C38-D38</f>
        <v>0</v>
      </c>
    </row>
    <row r="39" customFormat="false" ht="15" hidden="false" customHeight="false" outlineLevel="0" collapsed="false">
      <c r="A39" s="12" t="n">
        <v>6</v>
      </c>
      <c r="B39" s="13" t="s">
        <v>13</v>
      </c>
      <c r="C39" s="14" t="n">
        <v>416500</v>
      </c>
      <c r="D39" s="15" t="n">
        <f aca="false">216500+200000</f>
        <v>416500</v>
      </c>
      <c r="E39" s="16" t="n">
        <f aca="false">C39-D39</f>
        <v>0</v>
      </c>
    </row>
    <row r="40" customFormat="false" ht="25.35" hidden="false" customHeight="false" outlineLevel="0" collapsed="false">
      <c r="A40" s="12" t="n">
        <v>7</v>
      </c>
      <c r="B40" s="13" t="s">
        <v>14</v>
      </c>
      <c r="C40" s="14" t="n">
        <v>416500</v>
      </c>
      <c r="D40" s="15" t="n">
        <f aca="false">199500+220000-3000</f>
        <v>416500</v>
      </c>
      <c r="E40" s="16" t="n">
        <f aca="false">C40-D40</f>
        <v>0</v>
      </c>
    </row>
    <row r="41" customFormat="false" ht="15" hidden="false" customHeight="false" outlineLevel="0" collapsed="false">
      <c r="A41" s="12" t="n">
        <v>8</v>
      </c>
      <c r="B41" s="13" t="s">
        <v>15</v>
      </c>
      <c r="C41" s="14" t="n">
        <v>416500</v>
      </c>
      <c r="D41" s="15" t="n">
        <f aca="false">199500</f>
        <v>199500</v>
      </c>
      <c r="E41" s="16" t="n">
        <f aca="false">C41-D41</f>
        <v>217000</v>
      </c>
    </row>
    <row r="42" customFormat="false" ht="15" hidden="false" customHeight="false" outlineLevel="0" collapsed="false">
      <c r="A42" s="12" t="n">
        <v>9</v>
      </c>
      <c r="B42" s="13" t="s">
        <v>16</v>
      </c>
      <c r="C42" s="15" t="s">
        <v>17</v>
      </c>
      <c r="D42" s="15" t="s">
        <v>17</v>
      </c>
      <c r="E42" s="15" t="s">
        <v>17</v>
      </c>
    </row>
    <row r="43" customFormat="false" ht="25.35" hidden="false" customHeight="false" outlineLevel="0" collapsed="false">
      <c r="A43" s="12" t="n">
        <v>10</v>
      </c>
      <c r="B43" s="18" t="s">
        <v>18</v>
      </c>
      <c r="C43" s="14" t="n">
        <v>416500</v>
      </c>
      <c r="D43" s="15" t="n">
        <f aca="false">300000+116500</f>
        <v>416500</v>
      </c>
      <c r="E43" s="16" t="n">
        <f aca="false">C43-D43</f>
        <v>0</v>
      </c>
    </row>
    <row r="44" customFormat="false" ht="15" hidden="false" customHeight="false" outlineLevel="0" collapsed="false">
      <c r="A44" s="12" t="n">
        <v>11</v>
      </c>
      <c r="B44" s="13" t="s">
        <v>19</v>
      </c>
      <c r="C44" s="14" t="n">
        <v>416500</v>
      </c>
      <c r="D44" s="15" t="n">
        <f aca="false">50000+50000+90000</f>
        <v>190000</v>
      </c>
      <c r="E44" s="16" t="n">
        <f aca="false">C44-D44</f>
        <v>226500</v>
      </c>
    </row>
    <row r="45" customFormat="false" ht="15" hidden="false" customHeight="false" outlineLevel="0" collapsed="false">
      <c r="A45" s="12" t="n">
        <v>12</v>
      </c>
      <c r="B45" s="19" t="s">
        <v>20</v>
      </c>
      <c r="C45" s="14" t="n">
        <v>416500</v>
      </c>
      <c r="D45" s="15" t="n">
        <f aca="false">210000+206500</f>
        <v>416500</v>
      </c>
      <c r="E45" s="16" t="n">
        <f aca="false">C45-D45</f>
        <v>0</v>
      </c>
    </row>
    <row r="46" customFormat="false" ht="15" hidden="false" customHeight="false" outlineLevel="0" collapsed="false">
      <c r="A46" s="12" t="n">
        <v>13</v>
      </c>
      <c r="B46" s="19" t="s">
        <v>21</v>
      </c>
      <c r="C46" s="14" t="n">
        <v>416500</v>
      </c>
      <c r="D46" s="15" t="n">
        <v>416500</v>
      </c>
      <c r="E46" s="16" t="n">
        <f aca="false">C46-D46</f>
        <v>0</v>
      </c>
    </row>
    <row r="47" customFormat="false" ht="15" hidden="false" customHeight="false" outlineLevel="0" collapsed="false">
      <c r="A47" s="12" t="n">
        <v>14</v>
      </c>
      <c r="B47" s="20" t="s">
        <v>22</v>
      </c>
      <c r="C47" s="21" t="n">
        <v>416500</v>
      </c>
      <c r="D47" s="22" t="n">
        <v>100000</v>
      </c>
      <c r="E47" s="23" t="n">
        <f aca="false">C47-D47</f>
        <v>316500</v>
      </c>
    </row>
    <row r="48" customFormat="false" ht="15" hidden="false" customHeight="false" outlineLevel="0" collapsed="false">
      <c r="A48" s="12" t="n">
        <v>15</v>
      </c>
      <c r="B48" s="24" t="s">
        <v>23</v>
      </c>
      <c r="C48" s="14" t="n">
        <v>416500</v>
      </c>
      <c r="D48" s="15" t="n">
        <f aca="false">100000+316500</f>
        <v>416500</v>
      </c>
      <c r="E48" s="16" t="n">
        <f aca="false">C48-D48</f>
        <v>0</v>
      </c>
    </row>
    <row r="49" customFormat="false" ht="17.35" hidden="false" customHeight="false" outlineLevel="0" collapsed="false">
      <c r="A49" s="25"/>
      <c r="B49" s="26" t="s">
        <v>24</v>
      </c>
      <c r="C49" s="27" t="n">
        <f aca="false">SUM(C34:C48)</f>
        <v>5831000</v>
      </c>
      <c r="D49" s="28" t="n">
        <f aca="false">SUM(D34:D48)</f>
        <v>4791000</v>
      </c>
      <c r="E49" s="29" t="n">
        <f aca="false">C49-D49</f>
        <v>1040000</v>
      </c>
    </row>
    <row r="50" customFormat="false" ht="15" hidden="false" customHeight="false" outlineLevel="0" collapsed="false">
      <c r="C50" s="2"/>
      <c r="D50" s="2"/>
    </row>
    <row r="51" customFormat="false" ht="15" hidden="false" customHeight="false" outlineLevel="0" collapsed="false">
      <c r="C51" s="2"/>
      <c r="D51" s="2"/>
    </row>
    <row r="52" customFormat="false" ht="17.35" hidden="false" customHeight="false" outlineLevel="0" collapsed="false">
      <c r="B52" s="30"/>
      <c r="C52" s="31"/>
      <c r="D52" s="32"/>
    </row>
    <row r="104" customFormat="false" ht="15" hidden="false" customHeight="false" outlineLevel="0" collapsed="false">
      <c r="A104" s="3"/>
      <c r="C104" s="2"/>
      <c r="D104" s="2"/>
    </row>
    <row r="105" customFormat="false" ht="15" hidden="false" customHeight="false" outlineLevel="0" collapsed="false">
      <c r="A105" s="3"/>
      <c r="C105" s="2"/>
      <c r="D105" s="2"/>
    </row>
    <row r="106" customFormat="false" ht="15" hidden="false" customHeight="false" outlineLevel="0" collapsed="false">
      <c r="A106" s="3"/>
      <c r="C106" s="2"/>
      <c r="D106" s="2"/>
    </row>
    <row r="107" customFormat="false" ht="17.35" hidden="false" customHeight="false" outlineLevel="0" collapsed="false">
      <c r="B107" s="33"/>
      <c r="C107" s="33"/>
      <c r="D107" s="33"/>
      <c r="E107" s="33"/>
    </row>
    <row r="108" customFormat="false" ht="17.35" hidden="false" customHeight="false" outlineLevel="0" collapsed="false">
      <c r="C108" s="4" t="s">
        <v>0</v>
      </c>
      <c r="D108" s="2"/>
    </row>
    <row r="109" customFormat="false" ht="17.55" hidden="false" customHeight="false" outlineLevel="0" collapsed="false">
      <c r="A109" s="3"/>
      <c r="B109" s="3"/>
      <c r="C109" s="5" t="s">
        <v>25</v>
      </c>
      <c r="D109" s="2"/>
    </row>
    <row r="110" customFormat="false" ht="15" hidden="false" customHeight="false" outlineLevel="0" collapsed="false">
      <c r="A110" s="3"/>
      <c r="B110" s="3"/>
      <c r="D110" s="6" t="s">
        <v>2</v>
      </c>
    </row>
    <row r="111" customFormat="false" ht="15" hidden="false" customHeight="false" outlineLevel="0" collapsed="false">
      <c r="A111" s="3"/>
      <c r="B111" s="3"/>
      <c r="D111" s="2"/>
    </row>
    <row r="112" customFormat="false" ht="15" hidden="false" customHeight="false" outlineLevel="0" collapsed="false">
      <c r="A112" s="7" t="s">
        <v>3</v>
      </c>
      <c r="B112" s="8" t="s">
        <v>4</v>
      </c>
      <c r="C112" s="9" t="s">
        <v>5</v>
      </c>
      <c r="D112" s="10" t="s">
        <v>6</v>
      </c>
      <c r="E112" s="11" t="s">
        <v>7</v>
      </c>
    </row>
    <row r="113" customFormat="false" ht="22.5" hidden="false" customHeight="true" outlineLevel="0" collapsed="false">
      <c r="A113" s="12" t="n">
        <v>1</v>
      </c>
      <c r="B113" s="34" t="s">
        <v>26</v>
      </c>
      <c r="C113" s="35" t="n">
        <v>416500</v>
      </c>
      <c r="D113" s="15"/>
      <c r="E113" s="36" t="n">
        <f aca="false">C113-D113</f>
        <v>416500</v>
      </c>
    </row>
    <row r="114" customFormat="false" ht="25.5" hidden="false" customHeight="true" outlineLevel="0" collapsed="false">
      <c r="A114" s="12" t="n">
        <v>2</v>
      </c>
      <c r="B114" s="34" t="s">
        <v>27</v>
      </c>
      <c r="C114" s="35" t="n">
        <v>416500</v>
      </c>
      <c r="D114" s="15" t="n">
        <f aca="false">100000+150000+166500</f>
        <v>416500</v>
      </c>
      <c r="E114" s="36" t="n">
        <f aca="false">C114-D114</f>
        <v>0</v>
      </c>
    </row>
    <row r="115" customFormat="false" ht="22.5" hidden="false" customHeight="true" outlineLevel="0" collapsed="false">
      <c r="A115" s="12" t="n">
        <v>3</v>
      </c>
      <c r="B115" s="34" t="s">
        <v>28</v>
      </c>
      <c r="C115" s="35" t="n">
        <v>416500</v>
      </c>
      <c r="D115" s="15" t="n">
        <f aca="false">100000+120000</f>
        <v>220000</v>
      </c>
      <c r="E115" s="36" t="n">
        <f aca="false">C115-D115</f>
        <v>196500</v>
      </c>
    </row>
    <row r="116" customFormat="false" ht="15" hidden="false" customHeight="false" outlineLevel="0" collapsed="false">
      <c r="A116" s="12" t="n">
        <v>4</v>
      </c>
      <c r="B116" s="37" t="s">
        <v>29</v>
      </c>
      <c r="C116" s="35" t="n">
        <v>416500</v>
      </c>
      <c r="D116" s="38"/>
      <c r="E116" s="36" t="n">
        <f aca="false">C116-D116</f>
        <v>416500</v>
      </c>
    </row>
    <row r="117" customFormat="false" ht="15" hidden="false" customHeight="false" outlineLevel="0" collapsed="false">
      <c r="A117" s="12" t="n">
        <v>5</v>
      </c>
      <c r="B117" s="39" t="s">
        <v>30</v>
      </c>
      <c r="C117" s="35" t="n">
        <v>416500</v>
      </c>
      <c r="D117" s="38"/>
      <c r="E117" s="36" t="n">
        <f aca="false">C117-D117</f>
        <v>416500</v>
      </c>
    </row>
    <row r="118" customFormat="false" ht="15" hidden="false" customHeight="false" outlineLevel="0" collapsed="false">
      <c r="A118" s="12" t="n">
        <v>6</v>
      </c>
      <c r="B118" s="34" t="s">
        <v>31</v>
      </c>
      <c r="C118" s="35" t="n">
        <v>416500</v>
      </c>
      <c r="D118" s="38" t="n">
        <f aca="false">200000+180000+36500</f>
        <v>416500</v>
      </c>
      <c r="E118" s="36" t="n">
        <f aca="false">C118-D118</f>
        <v>0</v>
      </c>
    </row>
    <row r="119" customFormat="false" ht="15" hidden="false" customHeight="false" outlineLevel="0" collapsed="false">
      <c r="A119" s="12" t="n">
        <v>7</v>
      </c>
      <c r="B119" s="34" t="s">
        <v>32</v>
      </c>
      <c r="C119" s="35" t="n">
        <v>416500</v>
      </c>
      <c r="D119" s="15" t="n">
        <f aca="false">170000</f>
        <v>170000</v>
      </c>
      <c r="E119" s="36" t="n">
        <f aca="false">C119-D119</f>
        <v>246500</v>
      </c>
    </row>
    <row r="120" customFormat="false" ht="15" hidden="false" customHeight="false" outlineLevel="0" collapsed="false">
      <c r="A120" s="12" t="n">
        <v>8</v>
      </c>
      <c r="B120" s="34" t="s">
        <v>33</v>
      </c>
      <c r="C120" s="35" t="n">
        <v>416500</v>
      </c>
      <c r="D120" s="15" t="n">
        <f aca="false">216500+200000</f>
        <v>416500</v>
      </c>
      <c r="E120" s="36" t="n">
        <f aca="false">C120-D120</f>
        <v>0</v>
      </c>
    </row>
    <row r="121" customFormat="false" ht="24.75" hidden="false" customHeight="true" outlineLevel="0" collapsed="false">
      <c r="A121" s="12" t="n">
        <v>9</v>
      </c>
      <c r="B121" s="34" t="s">
        <v>34</v>
      </c>
      <c r="C121" s="35" t="n">
        <v>416500</v>
      </c>
      <c r="D121" s="15"/>
      <c r="E121" s="36" t="n">
        <f aca="false">C121-D121</f>
        <v>416500</v>
      </c>
    </row>
    <row r="122" customFormat="false" ht="28.5" hidden="false" customHeight="true" outlineLevel="0" collapsed="false">
      <c r="A122" s="12" t="n">
        <v>10</v>
      </c>
      <c r="B122" s="34" t="s">
        <v>35</v>
      </c>
      <c r="C122" s="35" t="n">
        <v>416500</v>
      </c>
      <c r="D122" s="15" t="n">
        <f aca="false">200000+216500</f>
        <v>416500</v>
      </c>
      <c r="E122" s="36" t="n">
        <f aca="false">C122-D122</f>
        <v>0</v>
      </c>
    </row>
    <row r="123" customFormat="false" ht="15" hidden="false" customHeight="false" outlineLevel="0" collapsed="false">
      <c r="A123" s="12" t="n">
        <v>11</v>
      </c>
      <c r="B123" s="34" t="s">
        <v>36</v>
      </c>
      <c r="C123" s="35" t="n">
        <v>416500</v>
      </c>
      <c r="D123" s="15"/>
      <c r="E123" s="36" t="n">
        <f aca="false">C123-D123</f>
        <v>416500</v>
      </c>
    </row>
    <row r="124" customFormat="false" ht="15" hidden="false" customHeight="false" outlineLevel="0" collapsed="false">
      <c r="A124" s="12" t="n">
        <v>12</v>
      </c>
      <c r="B124" s="34" t="s">
        <v>37</v>
      </c>
      <c r="C124" s="35" t="n">
        <v>416500</v>
      </c>
      <c r="D124" s="38" t="n">
        <f aca="false">100000</f>
        <v>100000</v>
      </c>
      <c r="E124" s="36" t="n">
        <f aca="false">C124-D124</f>
        <v>316500</v>
      </c>
    </row>
    <row r="125" customFormat="false" ht="15" hidden="false" customHeight="false" outlineLevel="0" collapsed="false">
      <c r="A125" s="12" t="n">
        <v>13</v>
      </c>
      <c r="B125" s="34" t="s">
        <v>38</v>
      </c>
      <c r="C125" s="35" t="n">
        <v>416500</v>
      </c>
      <c r="D125" s="38" t="n">
        <f aca="false">46500</f>
        <v>46500</v>
      </c>
      <c r="E125" s="36" t="n">
        <f aca="false">C125-D125</f>
        <v>370000</v>
      </c>
    </row>
    <row r="126" customFormat="false" ht="21" hidden="false" customHeight="true" outlineLevel="0" collapsed="false">
      <c r="A126" s="12" t="n">
        <v>14</v>
      </c>
      <c r="B126" s="34" t="s">
        <v>39</v>
      </c>
      <c r="C126" s="35" t="n">
        <v>416500</v>
      </c>
      <c r="D126" s="38"/>
      <c r="E126" s="36" t="n">
        <f aca="false">C126-D126</f>
        <v>416500</v>
      </c>
    </row>
    <row r="127" customFormat="false" ht="15" hidden="false" customHeight="false" outlineLevel="0" collapsed="false">
      <c r="A127" s="12" t="n">
        <v>15</v>
      </c>
      <c r="B127" s="34" t="s">
        <v>40</v>
      </c>
      <c r="C127" s="35" t="n">
        <v>416500</v>
      </c>
      <c r="D127" s="38"/>
      <c r="E127" s="36" t="n">
        <f aca="false">C127-D127</f>
        <v>416500</v>
      </c>
    </row>
    <row r="128" customFormat="false" ht="15" hidden="false" customHeight="false" outlineLevel="0" collapsed="false">
      <c r="A128" s="12" t="n">
        <v>16</v>
      </c>
      <c r="B128" s="40" t="s">
        <v>41</v>
      </c>
      <c r="C128" s="35" t="n">
        <v>416500</v>
      </c>
      <c r="D128" s="41"/>
      <c r="E128" s="42" t="n">
        <f aca="false">C128-D128</f>
        <v>416500</v>
      </c>
    </row>
    <row r="129" customFormat="false" ht="15" hidden="false" customHeight="false" outlineLevel="0" collapsed="false">
      <c r="A129" s="12" t="n">
        <v>17</v>
      </c>
      <c r="B129" s="34" t="s">
        <v>42</v>
      </c>
      <c r="C129" s="35" t="n">
        <v>416500</v>
      </c>
      <c r="D129" s="41" t="n">
        <f aca="false">216500+200000</f>
        <v>416500</v>
      </c>
      <c r="E129" s="36" t="n">
        <f aca="false">C129-D129</f>
        <v>0</v>
      </c>
    </row>
    <row r="130" customFormat="false" ht="15" hidden="false" customHeight="false" outlineLevel="0" collapsed="false">
      <c r="A130" s="12" t="n">
        <v>18</v>
      </c>
      <c r="B130" s="34" t="s">
        <v>43</v>
      </c>
      <c r="C130" s="35" t="n">
        <v>416500</v>
      </c>
      <c r="D130" s="41"/>
      <c r="E130" s="36" t="n">
        <f aca="false">C130-D130</f>
        <v>416500</v>
      </c>
    </row>
    <row r="131" customFormat="false" ht="15" hidden="false" customHeight="false" outlineLevel="0" collapsed="false">
      <c r="A131" s="12" t="n">
        <v>19</v>
      </c>
      <c r="B131" s="34" t="s">
        <v>44</v>
      </c>
      <c r="C131" s="35" t="n">
        <v>416500</v>
      </c>
      <c r="D131" s="41" t="n">
        <f aca="false">200000+181000+35500</f>
        <v>416500</v>
      </c>
      <c r="E131" s="36" t="n">
        <f aca="false">C131-D131</f>
        <v>0</v>
      </c>
    </row>
    <row r="132" customFormat="false" ht="15" hidden="false" customHeight="false" outlineLevel="0" collapsed="false">
      <c r="A132" s="12" t="n">
        <v>20</v>
      </c>
      <c r="B132" s="34" t="s">
        <v>45</v>
      </c>
      <c r="C132" s="35" t="n">
        <v>416500</v>
      </c>
      <c r="D132" s="41"/>
      <c r="E132" s="36" t="n">
        <f aca="false">C132-D132</f>
        <v>416500</v>
      </c>
    </row>
    <row r="133" customFormat="false" ht="25.5" hidden="false" customHeight="true" outlineLevel="0" collapsed="false">
      <c r="A133" s="12" t="n">
        <v>21</v>
      </c>
      <c r="B133" s="34" t="s">
        <v>46</v>
      </c>
      <c r="C133" s="35" t="n">
        <v>416500</v>
      </c>
      <c r="D133" s="41" t="n">
        <f aca="false">200000+200000+16500</f>
        <v>416500</v>
      </c>
      <c r="E133" s="36" t="n">
        <f aca="false">C133-D133</f>
        <v>0</v>
      </c>
    </row>
    <row r="134" customFormat="false" ht="15" hidden="false" customHeight="false" outlineLevel="0" collapsed="false">
      <c r="A134" s="12" t="n">
        <v>22</v>
      </c>
      <c r="B134" s="34" t="s">
        <v>47</v>
      </c>
      <c r="C134" s="35" t="n">
        <v>416500</v>
      </c>
      <c r="D134" s="41" t="n">
        <f aca="false">116500+300000</f>
        <v>416500</v>
      </c>
      <c r="E134" s="36" t="n">
        <f aca="false">C134-D134</f>
        <v>0</v>
      </c>
    </row>
    <row r="135" customFormat="false" ht="15" hidden="false" customHeight="false" outlineLevel="0" collapsed="false">
      <c r="A135" s="12" t="n">
        <v>23</v>
      </c>
      <c r="B135" s="34" t="s">
        <v>48</v>
      </c>
      <c r="C135" s="35" t="n">
        <v>416500</v>
      </c>
      <c r="D135" s="41" t="n">
        <f aca="false">250000+80000+85000+1500</f>
        <v>416500</v>
      </c>
      <c r="E135" s="36" t="n">
        <f aca="false">C135-D135</f>
        <v>0</v>
      </c>
    </row>
    <row r="136" customFormat="false" ht="27.75" hidden="false" customHeight="true" outlineLevel="0" collapsed="false">
      <c r="A136" s="12" t="n">
        <v>24</v>
      </c>
      <c r="B136" s="34" t="s">
        <v>49</v>
      </c>
      <c r="C136" s="35" t="n">
        <v>416500</v>
      </c>
      <c r="D136" s="41"/>
      <c r="E136" s="36" t="n">
        <f aca="false">C136-D136</f>
        <v>416500</v>
      </c>
    </row>
    <row r="137" customFormat="false" ht="15" hidden="false" customHeight="false" outlineLevel="0" collapsed="false">
      <c r="A137" s="12" t="n">
        <v>25</v>
      </c>
      <c r="B137" s="34" t="s">
        <v>50</v>
      </c>
      <c r="C137" s="35" t="n">
        <v>416500</v>
      </c>
      <c r="D137" s="41"/>
      <c r="E137" s="36" t="n">
        <f aca="false">C137-D137</f>
        <v>416500</v>
      </c>
    </row>
    <row r="138" customFormat="false" ht="15" hidden="false" customHeight="false" outlineLevel="0" collapsed="false">
      <c r="A138" s="12" t="n">
        <v>26</v>
      </c>
      <c r="B138" s="34" t="s">
        <v>51</v>
      </c>
      <c r="C138" s="35" t="n">
        <v>416500</v>
      </c>
      <c r="D138" s="41" t="n">
        <f aca="false">150000+100000+166500</f>
        <v>416500</v>
      </c>
      <c r="E138" s="36" t="n">
        <f aca="false">C138-D138</f>
        <v>0</v>
      </c>
    </row>
    <row r="139" customFormat="false" ht="27" hidden="false" customHeight="true" outlineLevel="0" collapsed="false">
      <c r="A139" s="12" t="n">
        <v>27</v>
      </c>
      <c r="B139" s="34" t="s">
        <v>52</v>
      </c>
      <c r="C139" s="35" t="n">
        <v>416500</v>
      </c>
      <c r="D139" s="41" t="n">
        <f aca="false">100000</f>
        <v>100000</v>
      </c>
      <c r="E139" s="36" t="n">
        <f aca="false">C139-D139</f>
        <v>316500</v>
      </c>
    </row>
    <row r="140" customFormat="false" ht="15" hidden="false" customHeight="false" outlineLevel="0" collapsed="false">
      <c r="A140" s="12" t="n">
        <v>28</v>
      </c>
      <c r="B140" s="34" t="s">
        <v>53</v>
      </c>
      <c r="C140" s="35" t="n">
        <v>416500</v>
      </c>
      <c r="D140" s="41" t="n">
        <f aca="false">150000+166500+100000</f>
        <v>416500</v>
      </c>
      <c r="E140" s="36" t="n">
        <f aca="false">C140-D140</f>
        <v>0</v>
      </c>
    </row>
    <row r="141" customFormat="false" ht="15" hidden="false" customHeight="false" outlineLevel="0" collapsed="false">
      <c r="A141" s="12" t="n">
        <v>29</v>
      </c>
      <c r="B141" s="34" t="s">
        <v>54</v>
      </c>
      <c r="C141" s="35" t="n">
        <v>416500</v>
      </c>
      <c r="D141" s="41"/>
      <c r="E141" s="36" t="n">
        <f aca="false">C141-D141</f>
        <v>416500</v>
      </c>
    </row>
    <row r="142" customFormat="false" ht="15" hidden="false" customHeight="false" outlineLevel="0" collapsed="false">
      <c r="A142" s="12" t="n">
        <v>30</v>
      </c>
      <c r="B142" s="43" t="s">
        <v>55</v>
      </c>
      <c r="C142" s="35" t="n">
        <v>416500</v>
      </c>
      <c r="D142" s="41" t="n">
        <f aca="false">200000</f>
        <v>200000</v>
      </c>
      <c r="E142" s="36" t="n">
        <f aca="false">C142-D142</f>
        <v>216500</v>
      </c>
    </row>
    <row r="143" customFormat="false" ht="15" hidden="false" customHeight="false" outlineLevel="0" collapsed="false">
      <c r="A143" s="12" t="n">
        <v>31</v>
      </c>
      <c r="B143" s="34" t="s">
        <v>56</v>
      </c>
      <c r="C143" s="35" t="s">
        <v>17</v>
      </c>
      <c r="D143" s="41"/>
      <c r="E143" s="36" t="s">
        <v>17</v>
      </c>
    </row>
    <row r="144" customFormat="false" ht="15" hidden="false" customHeight="false" outlineLevel="0" collapsed="false">
      <c r="A144" s="12" t="n">
        <v>32</v>
      </c>
      <c r="B144" s="34" t="s">
        <v>57</v>
      </c>
      <c r="C144" s="35" t="n">
        <v>416500</v>
      </c>
      <c r="D144" s="41" t="n">
        <f aca="false">200000</f>
        <v>200000</v>
      </c>
      <c r="E144" s="36" t="n">
        <f aca="false">C144-D144</f>
        <v>216500</v>
      </c>
    </row>
    <row r="145" customFormat="false" ht="15" hidden="false" customHeight="false" outlineLevel="0" collapsed="false">
      <c r="A145" s="12" t="n">
        <v>33</v>
      </c>
      <c r="B145" s="34" t="s">
        <v>58</v>
      </c>
      <c r="C145" s="35" t="n">
        <v>416500</v>
      </c>
      <c r="D145" s="41" t="n">
        <f aca="false">200000</f>
        <v>200000</v>
      </c>
      <c r="E145" s="36" t="n">
        <f aca="false">C145-D145</f>
        <v>216500</v>
      </c>
    </row>
    <row r="146" customFormat="false" ht="15" hidden="false" customHeight="false" outlineLevel="0" collapsed="false">
      <c r="A146" s="12" t="n">
        <v>34</v>
      </c>
      <c r="B146" s="34" t="s">
        <v>59</v>
      </c>
      <c r="C146" s="35" t="n">
        <v>416500</v>
      </c>
      <c r="D146" s="41" t="n">
        <f aca="false">90000+90000+236500</f>
        <v>416500</v>
      </c>
      <c r="E146" s="36" t="n">
        <f aca="false">C146-D146</f>
        <v>0</v>
      </c>
    </row>
    <row r="147" customFormat="false" ht="15" hidden="false" customHeight="false" outlineLevel="0" collapsed="false">
      <c r="A147" s="12" t="n">
        <v>35</v>
      </c>
      <c r="B147" s="34" t="s">
        <v>60</v>
      </c>
      <c r="C147" s="35" t="n">
        <v>416500</v>
      </c>
      <c r="D147" s="41" t="n">
        <f aca="false">216500+200000</f>
        <v>416500</v>
      </c>
      <c r="E147" s="36" t="n">
        <f aca="false">C147-D147</f>
        <v>0</v>
      </c>
    </row>
    <row r="148" customFormat="false" ht="15" hidden="false" customHeight="false" outlineLevel="0" collapsed="false">
      <c r="A148" s="12" t="n">
        <v>36</v>
      </c>
      <c r="B148" s="34" t="s">
        <v>61</v>
      </c>
      <c r="C148" s="35" t="n">
        <v>416500</v>
      </c>
      <c r="D148" s="41" t="n">
        <f aca="false">170000+246500</f>
        <v>416500</v>
      </c>
      <c r="E148" s="36" t="n">
        <f aca="false">C148-D148</f>
        <v>0</v>
      </c>
    </row>
    <row r="149" customFormat="false" ht="17.35" hidden="false" customHeight="false" outlineLevel="0" collapsed="false">
      <c r="A149" s="44"/>
      <c r="B149" s="45" t="s">
        <v>24</v>
      </c>
      <c r="C149" s="27" t="n">
        <f aca="false">SUM(C113:C148)</f>
        <v>14577500</v>
      </c>
      <c r="D149" s="28" t="n">
        <f aca="false">SUM(D113:D148)</f>
        <v>7067500</v>
      </c>
      <c r="E149" s="46" t="n">
        <f aca="false">C149-D149</f>
        <v>7510000</v>
      </c>
    </row>
    <row r="150" customFormat="false" ht="15" hidden="false" customHeight="false" outlineLevel="0" collapsed="false">
      <c r="A150" s="3"/>
      <c r="C150" s="2"/>
      <c r="D150" s="2"/>
    </row>
    <row r="165" customFormat="false" ht="38.25" hidden="false" customHeight="true" outlineLevel="0" collapsed="false"/>
    <row r="166" customFormat="false" ht="21.75" hidden="false" customHeight="true" outlineLevel="0" collapsed="false"/>
    <row r="170" customFormat="false" ht="24" hidden="false" customHeight="true" outlineLevel="0" collapsed="false"/>
    <row r="218" customFormat="false" ht="19.7" hidden="false" customHeight="false" outlineLevel="0" collapsed="false">
      <c r="A218" s="47"/>
      <c r="B218" s="48"/>
      <c r="C218" s="49"/>
      <c r="D218" s="50"/>
    </row>
    <row r="219" customFormat="false" ht="15" hidden="false" customHeight="true" outlineLevel="0" collapsed="false">
      <c r="A219" s="3"/>
      <c r="B219" s="33"/>
      <c r="C219" s="33"/>
      <c r="D219" s="33"/>
      <c r="E219" s="33"/>
    </row>
    <row r="220" customFormat="false" ht="17.35" hidden="false" customHeight="false" outlineLevel="0" collapsed="false">
      <c r="A220" s="51"/>
      <c r="B220" s="51"/>
      <c r="C220" s="4" t="s">
        <v>0</v>
      </c>
      <c r="D220" s="2"/>
    </row>
    <row r="221" customFormat="false" ht="17.55" hidden="false" customHeight="false" outlineLevel="0" collapsed="false">
      <c r="A221" s="3"/>
      <c r="B221" s="3"/>
      <c r="C221" s="5" t="s">
        <v>62</v>
      </c>
      <c r="D221" s="2"/>
    </row>
    <row r="222" customFormat="false" ht="15" hidden="false" customHeight="false" outlineLevel="0" collapsed="false">
      <c r="A222" s="3"/>
      <c r="B222" s="3"/>
      <c r="D222" s="2"/>
    </row>
    <row r="223" customFormat="false" ht="15" hidden="false" customHeight="false" outlineLevel="0" collapsed="false">
      <c r="A223" s="3"/>
      <c r="B223" s="3"/>
      <c r="D223" s="6" t="s">
        <v>2</v>
      </c>
    </row>
    <row r="224" customFormat="false" ht="15" hidden="false" customHeight="false" outlineLevel="0" collapsed="false">
      <c r="A224" s="3"/>
      <c r="B224" s="3"/>
      <c r="D224" s="2"/>
    </row>
    <row r="225" customFormat="false" ht="27" hidden="false" customHeight="true" outlineLevel="0" collapsed="false">
      <c r="A225" s="8" t="s">
        <v>3</v>
      </c>
      <c r="B225" s="8" t="s">
        <v>4</v>
      </c>
      <c r="C225" s="52" t="s">
        <v>5</v>
      </c>
      <c r="D225" s="53" t="s">
        <v>6</v>
      </c>
      <c r="E225" s="54" t="s">
        <v>7</v>
      </c>
    </row>
    <row r="226" customFormat="false" ht="15" hidden="false" customHeight="false" outlineLevel="0" collapsed="false">
      <c r="A226" s="55" t="n">
        <v>1</v>
      </c>
      <c r="B226" s="56" t="s">
        <v>63</v>
      </c>
      <c r="C226" s="57" t="n">
        <v>416500</v>
      </c>
      <c r="D226" s="58" t="n">
        <f aca="false">216000</f>
        <v>216000</v>
      </c>
      <c r="E226" s="59" t="n">
        <f aca="false">C226-D226</f>
        <v>200500</v>
      </c>
    </row>
    <row r="227" customFormat="false" ht="34.5" hidden="false" customHeight="true" outlineLevel="0" collapsed="false">
      <c r="A227" s="60" t="n">
        <v>2</v>
      </c>
      <c r="B227" s="13" t="s">
        <v>64</v>
      </c>
      <c r="C227" s="14" t="n">
        <v>416500</v>
      </c>
      <c r="D227" s="61"/>
      <c r="E227" s="36" t="n">
        <f aca="false">C227-D227</f>
        <v>416500</v>
      </c>
    </row>
    <row r="228" customFormat="false" ht="15" hidden="false" customHeight="false" outlineLevel="0" collapsed="false">
      <c r="A228" s="60" t="n">
        <v>3</v>
      </c>
      <c r="B228" s="13" t="s">
        <v>65</v>
      </c>
      <c r="C228" s="14" t="n">
        <v>416500</v>
      </c>
      <c r="D228" s="61" t="n">
        <f aca="false">200000+216500</f>
        <v>416500</v>
      </c>
      <c r="E228" s="36" t="n">
        <f aca="false">C228-D228</f>
        <v>0</v>
      </c>
    </row>
    <row r="229" customFormat="false" ht="15" hidden="false" customHeight="false" outlineLevel="0" collapsed="false">
      <c r="A229" s="60" t="n">
        <v>4</v>
      </c>
      <c r="B229" s="13" t="s">
        <v>66</v>
      </c>
      <c r="C229" s="14" t="n">
        <v>416500</v>
      </c>
      <c r="D229" s="61" t="n">
        <f aca="false">100000</f>
        <v>100000</v>
      </c>
      <c r="E229" s="36" t="n">
        <f aca="false">C229-D229</f>
        <v>316500</v>
      </c>
    </row>
    <row r="230" customFormat="false" ht="15" hidden="false" customHeight="false" outlineLevel="0" collapsed="false">
      <c r="A230" s="60" t="n">
        <v>5</v>
      </c>
      <c r="B230" s="13" t="s">
        <v>67</v>
      </c>
      <c r="C230" s="14" t="n">
        <v>416500</v>
      </c>
      <c r="D230" s="61"/>
      <c r="E230" s="36" t="n">
        <f aca="false">C230-D230</f>
        <v>416500</v>
      </c>
    </row>
    <row r="231" customFormat="false" ht="25.35" hidden="false" customHeight="false" outlineLevel="0" collapsed="false">
      <c r="A231" s="60" t="n">
        <v>6</v>
      </c>
      <c r="B231" s="13" t="s">
        <v>68</v>
      </c>
      <c r="C231" s="14" t="s">
        <v>17</v>
      </c>
      <c r="D231" s="61" t="s">
        <v>17</v>
      </c>
      <c r="E231" s="36" t="s">
        <v>17</v>
      </c>
    </row>
    <row r="232" customFormat="false" ht="15" hidden="false" customHeight="false" outlineLevel="0" collapsed="false">
      <c r="A232" s="60" t="n">
        <v>7</v>
      </c>
      <c r="B232" s="17" t="s">
        <v>69</v>
      </c>
      <c r="C232" s="62" t="n">
        <v>416500</v>
      </c>
      <c r="D232" s="61" t="n">
        <f aca="false">300000+17000+100000</f>
        <v>417000</v>
      </c>
      <c r="E232" s="16" t="n">
        <f aca="false">C232-D232</f>
        <v>-500</v>
      </c>
    </row>
    <row r="233" customFormat="false" ht="15" hidden="false" customHeight="false" outlineLevel="0" collapsed="false">
      <c r="A233" s="60" t="n">
        <v>8</v>
      </c>
      <c r="B233" s="13" t="s">
        <v>70</v>
      </c>
      <c r="C233" s="14" t="n">
        <v>416500</v>
      </c>
      <c r="D233" s="61" t="n">
        <f aca="false">300000</f>
        <v>300000</v>
      </c>
      <c r="E233" s="36" t="n">
        <f aca="false">C233-D233</f>
        <v>116500</v>
      </c>
    </row>
    <row r="234" customFormat="false" ht="15" hidden="false" customHeight="false" outlineLevel="0" collapsed="false">
      <c r="A234" s="60" t="n">
        <v>9</v>
      </c>
      <c r="B234" s="13" t="s">
        <v>71</v>
      </c>
      <c r="C234" s="14" t="n">
        <v>416500</v>
      </c>
      <c r="D234" s="61" t="n">
        <f aca="false">80000</f>
        <v>80000</v>
      </c>
      <c r="E234" s="36" t="n">
        <f aca="false">C234-D234</f>
        <v>336500</v>
      </c>
    </row>
    <row r="235" customFormat="false" ht="15" hidden="false" customHeight="false" outlineLevel="0" collapsed="false">
      <c r="A235" s="60" t="n">
        <v>10</v>
      </c>
      <c r="B235" s="13" t="s">
        <v>72</v>
      </c>
      <c r="C235" s="14" t="n">
        <v>416500</v>
      </c>
      <c r="D235" s="61" t="n">
        <f aca="false">130000</f>
        <v>130000</v>
      </c>
      <c r="E235" s="36" t="n">
        <f aca="false">C235-D235</f>
        <v>286500</v>
      </c>
    </row>
    <row r="236" customFormat="false" ht="15" hidden="false" customHeight="false" outlineLevel="0" collapsed="false">
      <c r="A236" s="60" t="n">
        <v>11</v>
      </c>
      <c r="B236" s="13" t="s">
        <v>73</v>
      </c>
      <c r="C236" s="14" t="n">
        <v>416500</v>
      </c>
      <c r="D236" s="61"/>
      <c r="E236" s="36" t="n">
        <f aca="false">C236-D236</f>
        <v>416500</v>
      </c>
    </row>
    <row r="237" customFormat="false" ht="15" hidden="false" customHeight="false" outlineLevel="0" collapsed="false">
      <c r="A237" s="60" t="n">
        <v>12</v>
      </c>
      <c r="B237" s="13" t="s">
        <v>74</v>
      </c>
      <c r="C237" s="14" t="n">
        <v>416500</v>
      </c>
      <c r="D237" s="61" t="n">
        <f aca="false">200500+150000</f>
        <v>350500</v>
      </c>
      <c r="E237" s="36" t="n">
        <f aca="false">C237-D237</f>
        <v>66000</v>
      </c>
    </row>
    <row r="238" customFormat="false" ht="15" hidden="false" customHeight="false" outlineLevel="0" collapsed="false">
      <c r="A238" s="60" t="n">
        <v>13</v>
      </c>
      <c r="B238" s="13" t="s">
        <v>75</v>
      </c>
      <c r="C238" s="14" t="n">
        <v>416500</v>
      </c>
      <c r="D238" s="41"/>
      <c r="E238" s="36" t="n">
        <f aca="false">C238-D238</f>
        <v>416500</v>
      </c>
    </row>
    <row r="239" customFormat="false" ht="15" hidden="false" customHeight="false" outlineLevel="0" collapsed="false">
      <c r="A239" s="60" t="n">
        <v>14</v>
      </c>
      <c r="B239" s="13" t="s">
        <v>76</v>
      </c>
      <c r="C239" s="14" t="n">
        <v>416500</v>
      </c>
      <c r="D239" s="61" t="n">
        <f aca="false">10000+90000+110000+207000</f>
        <v>417000</v>
      </c>
      <c r="E239" s="36" t="n">
        <f aca="false">C239-D239</f>
        <v>-500</v>
      </c>
    </row>
    <row r="240" customFormat="false" ht="15" hidden="false" customHeight="false" outlineLevel="0" collapsed="false">
      <c r="A240" s="60" t="n">
        <v>15</v>
      </c>
      <c r="B240" s="13" t="s">
        <v>77</v>
      </c>
      <c r="C240" s="14" t="n">
        <v>416500</v>
      </c>
      <c r="D240" s="61"/>
      <c r="E240" s="36" t="n">
        <f aca="false">C240-D240</f>
        <v>416500</v>
      </c>
    </row>
    <row r="241" customFormat="false" ht="15" hidden="false" customHeight="false" outlineLevel="0" collapsed="false">
      <c r="A241" s="60" t="n">
        <v>16</v>
      </c>
      <c r="B241" s="13" t="s">
        <v>78</v>
      </c>
      <c r="C241" s="14" t="n">
        <v>416500</v>
      </c>
      <c r="D241" s="61" t="n">
        <f aca="false">120000+30000+265000+1500</f>
        <v>416500</v>
      </c>
      <c r="E241" s="36" t="n">
        <f aca="false">C241-D241</f>
        <v>0</v>
      </c>
    </row>
    <row r="242" customFormat="false" ht="15" hidden="false" customHeight="false" outlineLevel="0" collapsed="false">
      <c r="A242" s="60" t="n">
        <v>17</v>
      </c>
      <c r="B242" s="17" t="s">
        <v>79</v>
      </c>
      <c r="C242" s="14" t="s">
        <v>17</v>
      </c>
      <c r="D242" s="61" t="s">
        <v>17</v>
      </c>
      <c r="E242" s="36" t="s">
        <v>17</v>
      </c>
    </row>
    <row r="243" customFormat="false" ht="25.35" hidden="false" customHeight="false" outlineLevel="0" collapsed="false">
      <c r="A243" s="60" t="n">
        <v>18</v>
      </c>
      <c r="B243" s="63" t="s">
        <v>80</v>
      </c>
      <c r="C243" s="14" t="s">
        <v>17</v>
      </c>
      <c r="D243" s="61" t="s">
        <v>17</v>
      </c>
      <c r="E243" s="36" t="s">
        <v>17</v>
      </c>
    </row>
    <row r="244" customFormat="false" ht="15" hidden="false" customHeight="false" outlineLevel="0" collapsed="false">
      <c r="A244" s="60" t="n">
        <v>19</v>
      </c>
      <c r="B244" s="63" t="s">
        <v>81</v>
      </c>
      <c r="C244" s="14" t="n">
        <v>416500</v>
      </c>
      <c r="D244" s="41" t="n">
        <f aca="false">216000+200000</f>
        <v>416000</v>
      </c>
      <c r="E244" s="36" t="n">
        <f aca="false">C244-D244</f>
        <v>500</v>
      </c>
    </row>
    <row r="245" customFormat="false" ht="15" hidden="false" customHeight="false" outlineLevel="0" collapsed="false">
      <c r="A245" s="60" t="n">
        <v>20</v>
      </c>
      <c r="B245" s="63" t="s">
        <v>82</v>
      </c>
      <c r="C245" s="14" t="n">
        <v>416500</v>
      </c>
      <c r="D245" s="41"/>
      <c r="E245" s="36" t="n">
        <f aca="false">C245-D245</f>
        <v>416500</v>
      </c>
    </row>
    <row r="246" customFormat="false" ht="15" hidden="false" customHeight="false" outlineLevel="0" collapsed="false">
      <c r="A246" s="60" t="n">
        <v>21</v>
      </c>
      <c r="B246" s="63" t="s">
        <v>83</v>
      </c>
      <c r="C246" s="14" t="n">
        <v>416500</v>
      </c>
      <c r="D246" s="41" t="n">
        <f aca="false">180000</f>
        <v>180000</v>
      </c>
      <c r="E246" s="36" t="n">
        <f aca="false">C246-D246</f>
        <v>236500</v>
      </c>
    </row>
    <row r="247" customFormat="false" ht="15" hidden="false" customHeight="false" outlineLevel="0" collapsed="false">
      <c r="A247" s="60" t="n">
        <v>22</v>
      </c>
      <c r="B247" s="63" t="s">
        <v>84</v>
      </c>
      <c r="C247" s="14" t="n">
        <v>416500</v>
      </c>
      <c r="D247" s="41" t="n">
        <f aca="false">150000+200000+66500</f>
        <v>416500</v>
      </c>
      <c r="E247" s="36" t="n">
        <f aca="false">C247-D247</f>
        <v>0</v>
      </c>
    </row>
    <row r="248" customFormat="false" ht="15" hidden="false" customHeight="false" outlineLevel="0" collapsed="false">
      <c r="A248" s="60" t="n">
        <v>23</v>
      </c>
      <c r="B248" s="64" t="s">
        <v>85</v>
      </c>
      <c r="C248" s="14" t="s">
        <v>17</v>
      </c>
      <c r="D248" s="61" t="s">
        <v>17</v>
      </c>
      <c r="E248" s="36" t="s">
        <v>17</v>
      </c>
    </row>
    <row r="249" customFormat="false" ht="17.35" hidden="false" customHeight="false" outlineLevel="0" collapsed="false">
      <c r="A249" s="44"/>
      <c r="B249" s="65" t="s">
        <v>24</v>
      </c>
      <c r="C249" s="27" t="n">
        <f aca="false">SUM(C226:C248)</f>
        <v>7913500</v>
      </c>
      <c r="D249" s="28" t="n">
        <f aca="false">SUM(D226:D248)</f>
        <v>3856000</v>
      </c>
      <c r="E249" s="46" t="n">
        <f aca="false">SUM(E226:E248)</f>
        <v>4057500</v>
      </c>
    </row>
    <row r="250" customFormat="false" ht="19.7" hidden="false" customHeight="false" outlineLevel="0" collapsed="false">
      <c r="A250" s="47"/>
      <c r="B250" s="48"/>
      <c r="C250" s="49"/>
      <c r="D250" s="50"/>
    </row>
    <row r="251" customFormat="false" ht="17.35" hidden="false" customHeight="false" outlineLevel="0" collapsed="false">
      <c r="B251" s="30"/>
      <c r="C251" s="31"/>
      <c r="D251" s="32"/>
    </row>
    <row r="260" customFormat="false" ht="27.75" hidden="false" customHeight="true" outlineLevel="0" collapsed="false"/>
    <row r="314" customFormat="false" ht="24" hidden="false" customHeight="true" outlineLevel="0" collapsed="false">
      <c r="B314" s="33"/>
      <c r="C314" s="33"/>
      <c r="D314" s="33"/>
      <c r="E314" s="33"/>
    </row>
    <row r="315" customFormat="false" ht="17.35" hidden="false" customHeight="false" outlineLevel="0" collapsed="false">
      <c r="A315" s="3"/>
      <c r="B315" s="3"/>
      <c r="C315" s="4" t="s">
        <v>0</v>
      </c>
      <c r="D315" s="2"/>
    </row>
    <row r="316" customFormat="false" ht="17.55" hidden="false" customHeight="false" outlineLevel="0" collapsed="false">
      <c r="A316" s="3"/>
      <c r="B316" s="3"/>
      <c r="C316" s="5" t="s">
        <v>86</v>
      </c>
      <c r="D316" s="2"/>
    </row>
    <row r="317" customFormat="false" ht="15" hidden="false" customHeight="false" outlineLevel="0" collapsed="false">
      <c r="A317" s="3"/>
      <c r="B317" s="66"/>
      <c r="C317" s="66"/>
      <c r="D317" s="66"/>
      <c r="E317" s="66"/>
    </row>
    <row r="318" customFormat="false" ht="15" hidden="false" customHeight="false" outlineLevel="0" collapsed="false">
      <c r="A318" s="3"/>
      <c r="B318" s="3"/>
      <c r="D318" s="2"/>
      <c r="E318" s="67" t="s">
        <v>2</v>
      </c>
    </row>
    <row r="319" customFormat="false" ht="15" hidden="false" customHeight="false" outlineLevel="0" collapsed="false">
      <c r="A319" s="3"/>
      <c r="B319" s="3"/>
      <c r="D319" s="2"/>
    </row>
    <row r="320" customFormat="false" ht="15" hidden="false" customHeight="false" outlineLevel="0" collapsed="false">
      <c r="A320" s="7" t="s">
        <v>3</v>
      </c>
      <c r="B320" s="8" t="s">
        <v>4</v>
      </c>
      <c r="C320" s="9" t="s">
        <v>5</v>
      </c>
      <c r="D320" s="10" t="s">
        <v>6</v>
      </c>
      <c r="E320" s="11" t="s">
        <v>7</v>
      </c>
    </row>
    <row r="321" customFormat="false" ht="15" hidden="false" customHeight="false" outlineLevel="0" collapsed="false">
      <c r="A321" s="68" t="n">
        <v>1</v>
      </c>
      <c r="B321" s="69" t="s">
        <v>87</v>
      </c>
      <c r="C321" s="35" t="n">
        <v>416500</v>
      </c>
      <c r="D321" s="15" t="n">
        <f aca="false">33500+100000+167000</f>
        <v>300500</v>
      </c>
      <c r="E321" s="36" t="n">
        <f aca="false">C321-D321</f>
        <v>116000</v>
      </c>
    </row>
    <row r="322" customFormat="false" ht="15" hidden="false" customHeight="false" outlineLevel="0" collapsed="false">
      <c r="A322" s="68" t="n">
        <v>2</v>
      </c>
      <c r="B322" s="70" t="s">
        <v>88</v>
      </c>
      <c r="C322" s="35" t="n">
        <v>416500</v>
      </c>
      <c r="D322" s="15"/>
      <c r="E322" s="36" t="n">
        <f aca="false">C322-D322</f>
        <v>416500</v>
      </c>
    </row>
    <row r="323" customFormat="false" ht="15" hidden="false" customHeight="false" outlineLevel="0" collapsed="false">
      <c r="A323" s="68" t="n">
        <v>3</v>
      </c>
      <c r="B323" s="34" t="s">
        <v>89</v>
      </c>
      <c r="C323" s="35" t="n">
        <v>416500</v>
      </c>
      <c r="D323" s="15" t="n">
        <f aca="false">216000+200000</f>
        <v>416000</v>
      </c>
      <c r="E323" s="36" t="n">
        <f aca="false">C323-D323</f>
        <v>500</v>
      </c>
    </row>
    <row r="324" customFormat="false" ht="15" hidden="false" customHeight="false" outlineLevel="0" collapsed="false">
      <c r="A324" s="68" t="n">
        <v>4</v>
      </c>
      <c r="B324" s="71" t="s">
        <v>90</v>
      </c>
      <c r="C324" s="61" t="n">
        <v>416500</v>
      </c>
      <c r="D324" s="72" t="n">
        <f aca="false">416500</f>
        <v>416500</v>
      </c>
      <c r="E324" s="16" t="n">
        <f aca="false">C324-D324</f>
        <v>0</v>
      </c>
    </row>
    <row r="325" customFormat="false" ht="28.35" hidden="false" customHeight="false" outlineLevel="0" collapsed="false">
      <c r="A325" s="68" t="n">
        <v>5</v>
      </c>
      <c r="B325" s="71" t="s">
        <v>91</v>
      </c>
      <c r="C325" s="61" t="n">
        <v>416500</v>
      </c>
      <c r="D325" s="72" t="n">
        <f aca="false">316500+100000</f>
        <v>416500</v>
      </c>
      <c r="E325" s="16" t="n">
        <f aca="false">C325-D325</f>
        <v>0</v>
      </c>
    </row>
    <row r="326" customFormat="false" ht="15" hidden="false" customHeight="false" outlineLevel="0" collapsed="false">
      <c r="A326" s="68" t="n">
        <v>6</v>
      </c>
      <c r="B326" s="34" t="s">
        <v>92</v>
      </c>
      <c r="C326" s="35" t="n">
        <v>416500</v>
      </c>
      <c r="D326" s="15" t="n">
        <f aca="false">100000+216500</f>
        <v>316500</v>
      </c>
      <c r="E326" s="36" t="n">
        <f aca="false">C326-D326</f>
        <v>100000</v>
      </c>
    </row>
    <row r="327" customFormat="false" ht="25.35" hidden="false" customHeight="false" outlineLevel="0" collapsed="false">
      <c r="A327" s="68" t="n">
        <v>7</v>
      </c>
      <c r="B327" s="34" t="s">
        <v>93</v>
      </c>
      <c r="C327" s="35" t="n">
        <v>416500</v>
      </c>
      <c r="D327" s="15"/>
      <c r="E327" s="36" t="n">
        <f aca="false">C327-D327</f>
        <v>416500</v>
      </c>
    </row>
    <row r="328" customFormat="false" ht="15" hidden="false" customHeight="false" outlineLevel="0" collapsed="false">
      <c r="A328" s="68" t="n">
        <v>8</v>
      </c>
      <c r="B328" s="71" t="s">
        <v>94</v>
      </c>
      <c r="C328" s="61" t="n">
        <v>416500</v>
      </c>
      <c r="D328" s="72" t="n">
        <f aca="false">16000</f>
        <v>16000</v>
      </c>
      <c r="E328" s="16" t="n">
        <f aca="false">C328-D328</f>
        <v>400500</v>
      </c>
    </row>
    <row r="329" customFormat="false" ht="15" hidden="false" customHeight="false" outlineLevel="0" collapsed="false">
      <c r="A329" s="68" t="n">
        <v>9</v>
      </c>
      <c r="B329" s="34" t="s">
        <v>95</v>
      </c>
      <c r="C329" s="35" t="n">
        <v>416500</v>
      </c>
      <c r="D329" s="40"/>
      <c r="E329" s="36" t="n">
        <f aca="false">C329-D329</f>
        <v>416500</v>
      </c>
    </row>
    <row r="330" customFormat="false" ht="15" hidden="false" customHeight="false" outlineLevel="0" collapsed="false">
      <c r="A330" s="68" t="n">
        <v>10</v>
      </c>
      <c r="B330" s="71" t="s">
        <v>96</v>
      </c>
      <c r="C330" s="61" t="n">
        <v>416500</v>
      </c>
      <c r="D330" s="61" t="n">
        <f aca="false">216500+200000</f>
        <v>416500</v>
      </c>
      <c r="E330" s="16" t="n">
        <f aca="false">C330-D330</f>
        <v>0</v>
      </c>
    </row>
    <row r="331" customFormat="false" ht="15" hidden="false" customHeight="false" outlineLevel="0" collapsed="false">
      <c r="A331" s="68" t="n">
        <v>11</v>
      </c>
      <c r="B331" s="34" t="s">
        <v>97</v>
      </c>
      <c r="C331" s="35" t="n">
        <v>416500</v>
      </c>
      <c r="D331" s="40" t="n">
        <f aca="false">216500+200000</f>
        <v>416500</v>
      </c>
      <c r="E331" s="36" t="n">
        <f aca="false">C331-D331</f>
        <v>0</v>
      </c>
    </row>
    <row r="332" customFormat="false" ht="15" hidden="false" customHeight="false" outlineLevel="0" collapsed="false">
      <c r="A332" s="68" t="n">
        <v>12</v>
      </c>
      <c r="B332" s="71" t="s">
        <v>98</v>
      </c>
      <c r="C332" s="61" t="n">
        <v>416500</v>
      </c>
      <c r="D332" s="61" t="n">
        <f aca="false">199500+217000</f>
        <v>416500</v>
      </c>
      <c r="E332" s="16" t="n">
        <f aca="false">C332-D332</f>
        <v>0</v>
      </c>
    </row>
    <row r="333" customFormat="false" ht="15" hidden="false" customHeight="false" outlineLevel="0" collapsed="false">
      <c r="A333" s="68" t="n">
        <v>13</v>
      </c>
      <c r="B333" s="34" t="s">
        <v>99</v>
      </c>
      <c r="C333" s="35" t="n">
        <v>416500</v>
      </c>
      <c r="D333" s="40" t="n">
        <f aca="false">415000+1500</f>
        <v>416500</v>
      </c>
      <c r="E333" s="36" t="n">
        <f aca="false">C333-D333</f>
        <v>0</v>
      </c>
    </row>
    <row r="334" customFormat="false" ht="15" hidden="false" customHeight="false" outlineLevel="0" collapsed="false">
      <c r="A334" s="68" t="n">
        <v>14</v>
      </c>
      <c r="B334" s="71" t="s">
        <v>100</v>
      </c>
      <c r="C334" s="61" t="n">
        <v>416500</v>
      </c>
      <c r="D334" s="61"/>
      <c r="E334" s="16" t="n">
        <f aca="false">C334-D334</f>
        <v>416500</v>
      </c>
    </row>
    <row r="335" customFormat="false" ht="25.35" hidden="false" customHeight="false" outlineLevel="0" collapsed="false">
      <c r="A335" s="68" t="n">
        <v>15</v>
      </c>
      <c r="B335" s="34" t="s">
        <v>101</v>
      </c>
      <c r="C335" s="35" t="n">
        <v>416500</v>
      </c>
      <c r="D335" s="41"/>
      <c r="E335" s="36" t="n">
        <f aca="false">C335-D335</f>
        <v>416500</v>
      </c>
    </row>
    <row r="336" customFormat="false" ht="15" hidden="false" customHeight="false" outlineLevel="0" collapsed="false">
      <c r="A336" s="68" t="n">
        <v>16</v>
      </c>
      <c r="B336" s="34" t="s">
        <v>102</v>
      </c>
      <c r="C336" s="35" t="n">
        <v>416500</v>
      </c>
      <c r="D336" s="41" t="n">
        <f aca="false">200000</f>
        <v>200000</v>
      </c>
      <c r="E336" s="36" t="n">
        <f aca="false">C336-D336</f>
        <v>216500</v>
      </c>
    </row>
    <row r="337" customFormat="false" ht="15" hidden="false" customHeight="false" outlineLevel="0" collapsed="false">
      <c r="A337" s="68" t="n">
        <v>17</v>
      </c>
      <c r="B337" s="71" t="s">
        <v>103</v>
      </c>
      <c r="C337" s="61" t="n">
        <v>416500</v>
      </c>
      <c r="D337" s="61" t="n">
        <f aca="false">33000+183500+200000</f>
        <v>416500</v>
      </c>
      <c r="E337" s="16" t="n">
        <f aca="false">C337-D337</f>
        <v>0</v>
      </c>
    </row>
    <row r="338" customFormat="false" ht="15" hidden="false" customHeight="false" outlineLevel="0" collapsed="false">
      <c r="A338" s="68" t="n">
        <v>18</v>
      </c>
      <c r="B338" s="34" t="s">
        <v>104</v>
      </c>
      <c r="C338" s="35" t="n">
        <v>416500</v>
      </c>
      <c r="D338" s="41" t="n">
        <f aca="false">415500+1000</f>
        <v>416500</v>
      </c>
      <c r="E338" s="36" t="n">
        <f aca="false">C338-D338</f>
        <v>0</v>
      </c>
    </row>
    <row r="339" customFormat="false" ht="15" hidden="false" customHeight="false" outlineLevel="0" collapsed="false">
      <c r="A339" s="68" t="n">
        <v>19</v>
      </c>
      <c r="B339" s="34" t="s">
        <v>105</v>
      </c>
      <c r="C339" s="35" t="n">
        <v>416500</v>
      </c>
      <c r="D339" s="41"/>
      <c r="E339" s="36" t="n">
        <f aca="false">C339-D339</f>
        <v>416500</v>
      </c>
    </row>
    <row r="340" customFormat="false" ht="25.35" hidden="false" customHeight="false" outlineLevel="0" collapsed="false">
      <c r="A340" s="68" t="n">
        <v>20</v>
      </c>
      <c r="B340" s="43" t="s">
        <v>106</v>
      </c>
      <c r="C340" s="61" t="n">
        <v>416500</v>
      </c>
      <c r="D340" s="41"/>
      <c r="E340" s="16" t="n">
        <f aca="false">C340-D340</f>
        <v>416500</v>
      </c>
    </row>
    <row r="341" customFormat="false" ht="15" hidden="false" customHeight="false" outlineLevel="0" collapsed="false">
      <c r="A341" s="68" t="n">
        <v>21</v>
      </c>
      <c r="B341" s="73" t="s">
        <v>107</v>
      </c>
      <c r="C341" s="61" t="n">
        <v>416500</v>
      </c>
      <c r="D341" s="61" t="n">
        <f aca="false">199500+217000</f>
        <v>416500</v>
      </c>
      <c r="E341" s="16" t="n">
        <f aca="false">C341-D341</f>
        <v>0</v>
      </c>
    </row>
    <row r="342" customFormat="false" ht="17.35" hidden="false" customHeight="false" outlineLevel="0" collapsed="false">
      <c r="A342" s="44"/>
      <c r="B342" s="74" t="s">
        <v>24</v>
      </c>
      <c r="C342" s="27" t="n">
        <f aca="false">SUM(C321:C341)</f>
        <v>8746500</v>
      </c>
      <c r="D342" s="28" t="n">
        <f aca="false">SUM(D321:D341)</f>
        <v>4997500</v>
      </c>
      <c r="E342" s="46" t="n">
        <f aca="false">C342-D342</f>
        <v>3749000</v>
      </c>
    </row>
    <row r="343" customFormat="false" ht="17.35" hidden="false" customHeight="false" outlineLevel="0" collapsed="false">
      <c r="B343" s="75"/>
      <c r="C343" s="49"/>
      <c r="D343" s="50"/>
    </row>
    <row r="344" customFormat="false" ht="17.35" hidden="false" customHeight="false" outlineLevel="0" collapsed="false">
      <c r="B344" s="75"/>
      <c r="C344" s="49"/>
      <c r="D344" s="50"/>
    </row>
    <row r="345" customFormat="false" ht="17.35" hidden="false" customHeight="false" outlineLevel="0" collapsed="false">
      <c r="B345" s="30"/>
      <c r="C345" s="31"/>
      <c r="D345" s="32"/>
    </row>
    <row r="346" customFormat="false" ht="17.35" hidden="false" customHeight="false" outlineLevel="0" collapsed="false">
      <c r="B346" s="30"/>
      <c r="C346" s="31"/>
      <c r="D346" s="32"/>
    </row>
    <row r="419" customFormat="false" ht="15" hidden="false" customHeight="false" outlineLevel="0" collapsed="false">
      <c r="A419" s="47"/>
      <c r="C419" s="2"/>
      <c r="D419" s="2"/>
    </row>
    <row r="486" customFormat="false" ht="30.75" hidden="false" customHeight="true" outlineLevel="0" collapsed="false"/>
    <row r="504" customFormat="false" ht="15" hidden="false" customHeight="false" outlineLevel="0" collapsed="false">
      <c r="J504" s="1" t="s">
        <v>108</v>
      </c>
      <c r="K504" s="1" t="n">
        <v>30</v>
      </c>
    </row>
    <row r="505" customFormat="false" ht="15" hidden="false" customHeight="false" outlineLevel="0" collapsed="false">
      <c r="J505" s="1" t="s">
        <v>109</v>
      </c>
      <c r="K505" s="1" t="n">
        <v>20</v>
      </c>
    </row>
    <row r="506" customFormat="false" ht="15" hidden="false" customHeight="false" outlineLevel="0" collapsed="false">
      <c r="J506" s="1" t="s">
        <v>110</v>
      </c>
      <c r="K506" s="1" t="n">
        <v>40</v>
      </c>
    </row>
    <row r="507" customFormat="false" ht="15" hidden="false" customHeight="false" outlineLevel="0" collapsed="false">
      <c r="J507" s="1" t="s">
        <v>111</v>
      </c>
      <c r="K507" s="1" t="n">
        <v>75</v>
      </c>
    </row>
    <row r="508" customFormat="false" ht="15" hidden="false" customHeight="false" outlineLevel="0" collapsed="false">
      <c r="J508" s="1" t="n">
        <v>30</v>
      </c>
      <c r="K508" s="1" t="n">
        <v>30</v>
      </c>
    </row>
    <row r="509" customFormat="false" ht="15" hidden="false" customHeight="false" outlineLevel="0" collapsed="false">
      <c r="J509" s="1" t="n">
        <v>20</v>
      </c>
      <c r="K509" s="1" t="n">
        <v>20</v>
      </c>
    </row>
    <row r="510" customFormat="false" ht="15" hidden="false" customHeight="false" outlineLevel="0" collapsed="false">
      <c r="J510" s="1" t="n">
        <v>20</v>
      </c>
      <c r="K510" s="1" t="n">
        <v>20</v>
      </c>
    </row>
    <row r="511" customFormat="false" ht="15" hidden="false" customHeight="false" outlineLevel="0" collapsed="false">
      <c r="J511" s="1" t="n">
        <v>20</v>
      </c>
      <c r="K511" s="1" t="n">
        <v>20</v>
      </c>
    </row>
    <row r="512" customFormat="false" ht="15" hidden="false" customHeight="false" outlineLevel="0" collapsed="false">
      <c r="J512" s="1" t="n">
        <v>20</v>
      </c>
      <c r="K512" s="1" t="n">
        <v>20</v>
      </c>
    </row>
    <row r="513" customFormat="false" ht="15" hidden="false" customHeight="false" outlineLevel="0" collapsed="false">
      <c r="J513" s="1" t="n">
        <v>20</v>
      </c>
      <c r="K513" s="1" t="n">
        <v>20</v>
      </c>
    </row>
    <row r="514" customFormat="false" ht="15" hidden="false" customHeight="false" outlineLevel="0" collapsed="false">
      <c r="J514" s="1" t="n">
        <v>20</v>
      </c>
      <c r="K514" s="1" t="n">
        <v>20</v>
      </c>
    </row>
    <row r="515" customFormat="false" ht="15" hidden="false" customHeight="false" outlineLevel="0" collapsed="false">
      <c r="K515" s="1" t="n">
        <v>15</v>
      </c>
    </row>
    <row r="516" customFormat="false" ht="15" hidden="false" customHeight="false" outlineLevel="0" collapsed="false">
      <c r="J516" s="1" t="s">
        <v>112</v>
      </c>
      <c r="K516" s="1" t="n">
        <v>20</v>
      </c>
    </row>
    <row r="517" customFormat="false" ht="15" hidden="false" customHeight="false" outlineLevel="0" collapsed="false">
      <c r="J517" s="1" t="s">
        <v>109</v>
      </c>
      <c r="K517" s="1" t="n">
        <v>20</v>
      </c>
    </row>
    <row r="518" customFormat="false" ht="15" hidden="false" customHeight="false" outlineLevel="0" collapsed="false">
      <c r="K518" s="1" t="n">
        <v>15</v>
      </c>
    </row>
    <row r="519" customFormat="false" ht="15" hidden="false" customHeight="false" outlineLevel="0" collapsed="false">
      <c r="J519" s="1" t="s">
        <v>109</v>
      </c>
      <c r="K519" s="1" t="n">
        <f aca="false">SUM(K504:K518)</f>
        <v>385</v>
      </c>
    </row>
    <row r="521" customFormat="false" ht="15" hidden="false" customHeight="false" outlineLevel="0" collapsed="false">
      <c r="J521" s="1" t="s">
        <v>112</v>
      </c>
    </row>
    <row r="533" customFormat="false" ht="15" hidden="false" customHeight="false" outlineLevel="0" collapsed="false">
      <c r="A533" s="47"/>
    </row>
    <row r="534" customFormat="false" ht="15" hidden="false" customHeight="false" outlineLevel="0" collapsed="false">
      <c r="A534" s="47"/>
    </row>
    <row r="535" customFormat="false" ht="15" hidden="false" customHeight="false" outlineLevel="0" collapsed="false">
      <c r="A535" s="47"/>
      <c r="C535" s="2"/>
      <c r="D535" s="2"/>
    </row>
    <row r="536" customFormat="false" ht="17.35" hidden="false" customHeight="false" outlineLevel="0" collapsed="false">
      <c r="A536" s="3"/>
      <c r="B536" s="76"/>
      <c r="C536" s="2"/>
      <c r="D536" s="2"/>
    </row>
    <row r="537" customFormat="false" ht="17.35" hidden="false" customHeight="false" outlineLevel="0" collapsed="false">
      <c r="A537" s="51"/>
      <c r="C537" s="2"/>
      <c r="D537" s="2"/>
      <c r="E537" s="4" t="s">
        <v>0</v>
      </c>
    </row>
    <row r="538" customFormat="false" ht="15" hidden="false" customHeight="false" outlineLevel="0" collapsed="false">
      <c r="A538" s="3"/>
      <c r="C538" s="2"/>
      <c r="D538" s="2"/>
    </row>
    <row r="539" customFormat="false" ht="17.35" hidden="false" customHeight="false" outlineLevel="0" collapsed="false">
      <c r="A539" s="3"/>
      <c r="B539" s="77"/>
      <c r="C539" s="2"/>
      <c r="D539" s="2"/>
      <c r="E539" s="78" t="s">
        <v>113</v>
      </c>
    </row>
    <row r="540" customFormat="false" ht="15" hidden="false" customHeight="false" outlineLevel="0" collapsed="false">
      <c r="A540" s="3"/>
      <c r="C540" s="6" t="s">
        <v>2</v>
      </c>
      <c r="D540" s="2"/>
    </row>
    <row r="541" customFormat="false" ht="15" hidden="false" customHeight="false" outlineLevel="0" collapsed="false">
      <c r="A541" s="3"/>
      <c r="C541" s="6"/>
      <c r="D541" s="2"/>
    </row>
    <row r="542" customFormat="false" ht="15" hidden="false" customHeight="false" outlineLevel="0" collapsed="false">
      <c r="A542" s="7" t="s">
        <v>3</v>
      </c>
      <c r="B542" s="8" t="s">
        <v>4</v>
      </c>
      <c r="C542" s="9" t="s">
        <v>5</v>
      </c>
      <c r="D542" s="10" t="s">
        <v>6</v>
      </c>
      <c r="E542" s="11" t="s">
        <v>7</v>
      </c>
    </row>
    <row r="543" customFormat="false" ht="19.5" hidden="false" customHeight="true" outlineLevel="0" collapsed="false">
      <c r="A543" s="79" t="n">
        <v>1</v>
      </c>
      <c r="B543" s="80" t="s">
        <v>114</v>
      </c>
      <c r="C543" s="35" t="n">
        <v>416500</v>
      </c>
      <c r="D543" s="61" t="n">
        <f aca="false">216500+200000</f>
        <v>416500</v>
      </c>
      <c r="E543" s="36" t="n">
        <f aca="false">C543-D543</f>
        <v>0</v>
      </c>
    </row>
    <row r="544" customFormat="false" ht="24" hidden="false" customHeight="true" outlineLevel="0" collapsed="false">
      <c r="A544" s="81" t="n">
        <v>2</v>
      </c>
      <c r="B544" s="82" t="s">
        <v>115</v>
      </c>
      <c r="C544" s="35" t="n">
        <v>416500</v>
      </c>
      <c r="D544" s="61" t="n">
        <f aca="false">216500+200000</f>
        <v>416500</v>
      </c>
      <c r="E544" s="36" t="n">
        <f aca="false">C544-D544</f>
        <v>0</v>
      </c>
    </row>
    <row r="545" customFormat="false" ht="24.75" hidden="false" customHeight="true" outlineLevel="0" collapsed="false">
      <c r="A545" s="81" t="n">
        <v>3</v>
      </c>
      <c r="B545" s="82" t="s">
        <v>116</v>
      </c>
      <c r="C545" s="35" t="n">
        <v>416500</v>
      </c>
      <c r="D545" s="61" t="n">
        <v>416500</v>
      </c>
      <c r="E545" s="36" t="n">
        <f aca="false">C545-D545</f>
        <v>0</v>
      </c>
    </row>
    <row r="546" customFormat="false" ht="19.5" hidden="false" customHeight="true" outlineLevel="0" collapsed="false">
      <c r="A546" s="79" t="n">
        <v>4</v>
      </c>
      <c r="B546" s="82" t="s">
        <v>117</v>
      </c>
      <c r="C546" s="35" t="n">
        <v>416500</v>
      </c>
      <c r="D546" s="61" t="n">
        <f aca="false">316500+100000</f>
        <v>416500</v>
      </c>
      <c r="E546" s="36" t="n">
        <f aca="false">C546-D546</f>
        <v>0</v>
      </c>
    </row>
    <row r="547" customFormat="false" ht="24.75" hidden="false" customHeight="true" outlineLevel="0" collapsed="false">
      <c r="A547" s="81" t="n">
        <v>5</v>
      </c>
      <c r="B547" s="82" t="s">
        <v>118</v>
      </c>
      <c r="C547" s="35" t="n">
        <v>416500</v>
      </c>
      <c r="D547" s="61" t="n">
        <f aca="false">216500+200000</f>
        <v>416500</v>
      </c>
      <c r="E547" s="36" t="n">
        <f aca="false">C547-D547</f>
        <v>0</v>
      </c>
    </row>
    <row r="548" customFormat="false" ht="24" hidden="false" customHeight="true" outlineLevel="0" collapsed="false">
      <c r="A548" s="81" t="n">
        <v>6</v>
      </c>
      <c r="B548" s="82" t="s">
        <v>119</v>
      </c>
      <c r="C548" s="35" t="n">
        <v>416500</v>
      </c>
      <c r="D548" s="61" t="n">
        <f aca="false">216500</f>
        <v>216500</v>
      </c>
      <c r="E548" s="36" t="n">
        <f aca="false">C548-D548</f>
        <v>200000</v>
      </c>
    </row>
    <row r="549" customFormat="false" ht="19.5" hidden="false" customHeight="true" outlineLevel="0" collapsed="false">
      <c r="A549" s="79" t="n">
        <v>7</v>
      </c>
      <c r="B549" s="82" t="s">
        <v>120</v>
      </c>
      <c r="C549" s="35" t="n">
        <v>416500</v>
      </c>
      <c r="D549" s="61" t="n">
        <f aca="false">416500</f>
        <v>416500</v>
      </c>
      <c r="E549" s="36" t="n">
        <f aca="false">C549-D549</f>
        <v>0</v>
      </c>
    </row>
    <row r="550" customFormat="false" ht="24" hidden="false" customHeight="true" outlineLevel="0" collapsed="false">
      <c r="A550" s="81" t="n">
        <v>8</v>
      </c>
      <c r="B550" s="82" t="s">
        <v>121</v>
      </c>
      <c r="C550" s="35" t="n">
        <v>416500</v>
      </c>
      <c r="D550" s="61" t="n">
        <f aca="false">316000+100500</f>
        <v>416500</v>
      </c>
      <c r="E550" s="36" t="n">
        <f aca="false">C550-D550</f>
        <v>0</v>
      </c>
    </row>
    <row r="551" customFormat="false" ht="25.5" hidden="false" customHeight="true" outlineLevel="0" collapsed="false">
      <c r="A551" s="81" t="n">
        <v>9</v>
      </c>
      <c r="B551" s="82" t="s">
        <v>122</v>
      </c>
      <c r="C551" s="35" t="n">
        <v>416500</v>
      </c>
      <c r="D551" s="61" t="n">
        <f aca="false">200000+216500</f>
        <v>416500</v>
      </c>
      <c r="E551" s="36" t="n">
        <f aca="false">C551-D551</f>
        <v>0</v>
      </c>
    </row>
    <row r="552" customFormat="false" ht="24.75" hidden="false" customHeight="true" outlineLevel="0" collapsed="false">
      <c r="A552" s="79" t="n">
        <v>10</v>
      </c>
      <c r="B552" s="82" t="s">
        <v>123</v>
      </c>
      <c r="C552" s="35" t="n">
        <v>416500</v>
      </c>
      <c r="D552" s="61" t="n">
        <f aca="false">116500+250000+50000</f>
        <v>416500</v>
      </c>
      <c r="E552" s="36" t="n">
        <f aca="false">C552-D552</f>
        <v>0</v>
      </c>
    </row>
    <row r="553" customFormat="false" ht="19.5" hidden="false" customHeight="true" outlineLevel="0" collapsed="false">
      <c r="A553" s="81" t="n">
        <v>11</v>
      </c>
      <c r="B553" s="82" t="s">
        <v>124</v>
      </c>
      <c r="C553" s="35" t="n">
        <v>416500</v>
      </c>
      <c r="D553" s="61" t="n">
        <f aca="false">199500+217000</f>
        <v>416500</v>
      </c>
      <c r="E553" s="36" t="n">
        <f aca="false">C553-D553</f>
        <v>0</v>
      </c>
    </row>
    <row r="554" customFormat="false" ht="26.25" hidden="false" customHeight="true" outlineLevel="0" collapsed="false">
      <c r="A554" s="81" t="n">
        <v>12</v>
      </c>
      <c r="B554" s="82" t="s">
        <v>125</v>
      </c>
      <c r="C554" s="35" t="n">
        <v>416500</v>
      </c>
      <c r="D554" s="61" t="n">
        <f aca="false">150000+266500</f>
        <v>416500</v>
      </c>
      <c r="E554" s="36" t="n">
        <f aca="false">C554-D554</f>
        <v>0</v>
      </c>
    </row>
    <row r="555" customFormat="false" ht="19.5" hidden="false" customHeight="true" outlineLevel="0" collapsed="false">
      <c r="A555" s="79" t="n">
        <v>13</v>
      </c>
      <c r="B555" s="82" t="s">
        <v>126</v>
      </c>
      <c r="C555" s="35" t="n">
        <v>416500</v>
      </c>
      <c r="D555" s="61" t="n">
        <v>416500</v>
      </c>
      <c r="E555" s="36" t="n">
        <f aca="false">C555-D555</f>
        <v>0</v>
      </c>
    </row>
    <row r="556" customFormat="false" ht="19.5" hidden="false" customHeight="true" outlineLevel="0" collapsed="false">
      <c r="A556" s="81" t="n">
        <v>14</v>
      </c>
      <c r="B556" s="82" t="s">
        <v>127</v>
      </c>
      <c r="C556" s="35" t="n">
        <v>416500</v>
      </c>
      <c r="D556" s="61" t="n">
        <f aca="false">316000+116500</f>
        <v>432500</v>
      </c>
      <c r="E556" s="36" t="n">
        <f aca="false">C556-D556</f>
        <v>-16000</v>
      </c>
    </row>
    <row r="557" customFormat="false" ht="24.75" hidden="false" customHeight="true" outlineLevel="0" collapsed="false">
      <c r="A557" s="81" t="n">
        <v>15</v>
      </c>
      <c r="B557" s="82" t="s">
        <v>128</v>
      </c>
      <c r="C557" s="35" t="n">
        <v>416500</v>
      </c>
      <c r="D557" s="61" t="n">
        <f aca="false">451000-34500</f>
        <v>416500</v>
      </c>
      <c r="E557" s="36" t="n">
        <f aca="false">C557-D557</f>
        <v>0</v>
      </c>
    </row>
    <row r="558" customFormat="false" ht="19.5" hidden="false" customHeight="true" outlineLevel="0" collapsed="false">
      <c r="A558" s="79" t="n">
        <v>16</v>
      </c>
      <c r="B558" s="82" t="s">
        <v>129</v>
      </c>
      <c r="C558" s="35" t="n">
        <v>416500</v>
      </c>
      <c r="D558" s="61" t="n">
        <v>416500</v>
      </c>
      <c r="E558" s="36" t="n">
        <f aca="false">C558-D558</f>
        <v>0</v>
      </c>
    </row>
    <row r="559" customFormat="false" ht="19.5" hidden="false" customHeight="true" outlineLevel="0" collapsed="false">
      <c r="A559" s="81" t="n">
        <v>17</v>
      </c>
      <c r="B559" s="82" t="s">
        <v>130</v>
      </c>
      <c r="C559" s="35" t="n">
        <v>416500</v>
      </c>
      <c r="D559" s="61" t="n">
        <f aca="false">316500+100000</f>
        <v>416500</v>
      </c>
      <c r="E559" s="36" t="n">
        <f aca="false">C559-D559</f>
        <v>0</v>
      </c>
    </row>
    <row r="560" customFormat="false" ht="19.5" hidden="false" customHeight="true" outlineLevel="0" collapsed="false">
      <c r="A560" s="81" t="n">
        <v>18</v>
      </c>
      <c r="B560" s="82" t="s">
        <v>131</v>
      </c>
      <c r="C560" s="35" t="s">
        <v>17</v>
      </c>
      <c r="D560" s="61"/>
      <c r="E560" s="36" t="s">
        <v>17</v>
      </c>
    </row>
    <row r="561" customFormat="false" ht="24" hidden="false" customHeight="true" outlineLevel="0" collapsed="false">
      <c r="A561" s="79" t="n">
        <v>19</v>
      </c>
      <c r="B561" s="82" t="s">
        <v>132</v>
      </c>
      <c r="C561" s="35" t="n">
        <v>416500</v>
      </c>
      <c r="D561" s="61" t="n">
        <f aca="false">200500+216000</f>
        <v>416500</v>
      </c>
      <c r="E561" s="36" t="n">
        <f aca="false">C561-D561</f>
        <v>0</v>
      </c>
    </row>
    <row r="562" customFormat="false" ht="19.5" hidden="false" customHeight="true" outlineLevel="0" collapsed="false">
      <c r="A562" s="81" t="n">
        <v>20</v>
      </c>
      <c r="B562" s="82" t="s">
        <v>133</v>
      </c>
      <c r="C562" s="35" t="n">
        <v>416500</v>
      </c>
      <c r="D562" s="61" t="n">
        <f aca="false">150000+266500</f>
        <v>416500</v>
      </c>
      <c r="E562" s="36" t="n">
        <f aca="false">C562-D562</f>
        <v>0</v>
      </c>
    </row>
    <row r="563" customFormat="false" ht="23.25" hidden="false" customHeight="true" outlineLevel="0" collapsed="false">
      <c r="A563" s="81" t="n">
        <v>21</v>
      </c>
      <c r="B563" s="82" t="s">
        <v>134</v>
      </c>
      <c r="C563" s="35" t="n">
        <v>416500</v>
      </c>
      <c r="D563" s="61" t="n">
        <f aca="false">116000+500+300000</f>
        <v>416500</v>
      </c>
      <c r="E563" s="36" t="n">
        <f aca="false">C563-D563</f>
        <v>0</v>
      </c>
    </row>
    <row r="564" customFormat="false" ht="24.75" hidden="false" customHeight="true" outlineLevel="0" collapsed="false">
      <c r="A564" s="79" t="n">
        <v>22</v>
      </c>
      <c r="B564" s="82" t="s">
        <v>135</v>
      </c>
      <c r="C564" s="35" t="n">
        <v>416500</v>
      </c>
      <c r="D564" s="61" t="n">
        <f aca="false">316500+100000</f>
        <v>416500</v>
      </c>
      <c r="E564" s="36" t="n">
        <f aca="false">C564-D564</f>
        <v>0</v>
      </c>
    </row>
    <row r="565" customFormat="false" ht="27" hidden="false" customHeight="true" outlineLevel="0" collapsed="false">
      <c r="A565" s="81" t="n">
        <v>23</v>
      </c>
      <c r="B565" s="82" t="s">
        <v>136</v>
      </c>
      <c r="C565" s="35" t="n">
        <v>416500</v>
      </c>
      <c r="D565" s="61" t="n">
        <f aca="false">216500+200000</f>
        <v>416500</v>
      </c>
      <c r="E565" s="36" t="n">
        <f aca="false">C565-D565</f>
        <v>0</v>
      </c>
    </row>
    <row r="566" customFormat="false" ht="19.5" hidden="false" customHeight="true" outlineLevel="0" collapsed="false">
      <c r="A566" s="81" t="n">
        <v>24</v>
      </c>
      <c r="B566" s="82" t="s">
        <v>137</v>
      </c>
      <c r="C566" s="35" t="n">
        <v>416500</v>
      </c>
      <c r="D566" s="61" t="n">
        <f aca="false">116500+200000+100000</f>
        <v>416500</v>
      </c>
      <c r="E566" s="36" t="n">
        <f aca="false">C566-D566</f>
        <v>0</v>
      </c>
    </row>
    <row r="567" customFormat="false" ht="24.75" hidden="false" customHeight="true" outlineLevel="0" collapsed="false">
      <c r="A567" s="79" t="n">
        <v>25</v>
      </c>
      <c r="B567" s="82" t="s">
        <v>138</v>
      </c>
      <c r="C567" s="35" t="n">
        <v>416500</v>
      </c>
      <c r="D567" s="61" t="n">
        <f aca="false">319500+7000+90000</f>
        <v>416500</v>
      </c>
      <c r="E567" s="36" t="n">
        <f aca="false">C567-D567</f>
        <v>0</v>
      </c>
    </row>
    <row r="568" customFormat="false" ht="26.25" hidden="false" customHeight="true" outlineLevel="0" collapsed="false">
      <c r="A568" s="81" t="n">
        <v>26</v>
      </c>
      <c r="B568" s="82" t="s">
        <v>139</v>
      </c>
      <c r="C568" s="35" t="n">
        <v>416500</v>
      </c>
      <c r="D568" s="61" t="n">
        <f aca="false">316500+100000</f>
        <v>416500</v>
      </c>
      <c r="E568" s="36" t="n">
        <f aca="false">C568-D568</f>
        <v>0</v>
      </c>
    </row>
    <row r="569" customFormat="false" ht="19.5" hidden="false" customHeight="true" outlineLevel="0" collapsed="false">
      <c r="A569" s="81" t="n">
        <v>27</v>
      </c>
      <c r="B569" s="82" t="s">
        <v>140</v>
      </c>
      <c r="C569" s="35" t="n">
        <v>416500</v>
      </c>
      <c r="D569" s="61" t="n">
        <f aca="false">316500+100000</f>
        <v>416500</v>
      </c>
      <c r="E569" s="36" t="n">
        <f aca="false">C569-D569</f>
        <v>0</v>
      </c>
    </row>
    <row r="570" customFormat="false" ht="28.5" hidden="false" customHeight="true" outlineLevel="0" collapsed="false">
      <c r="A570" s="79" t="n">
        <v>28</v>
      </c>
      <c r="B570" s="82" t="s">
        <v>141</v>
      </c>
      <c r="C570" s="35" t="n">
        <v>416500</v>
      </c>
      <c r="D570" s="61" t="n">
        <f aca="false">215500</f>
        <v>215500</v>
      </c>
      <c r="E570" s="36" t="n">
        <f aca="false">C570-D570</f>
        <v>201000</v>
      </c>
    </row>
    <row r="571" customFormat="false" ht="33.75" hidden="false" customHeight="true" outlineLevel="0" collapsed="false">
      <c r="A571" s="81" t="n">
        <v>29</v>
      </c>
      <c r="B571" s="83" t="s">
        <v>142</v>
      </c>
      <c r="C571" s="61" t="n">
        <v>416500</v>
      </c>
      <c r="D571" s="40" t="n">
        <f aca="false">333000+83500</f>
        <v>416500</v>
      </c>
      <c r="E571" s="16" t="n">
        <f aca="false">C571-D571</f>
        <v>0</v>
      </c>
    </row>
    <row r="572" customFormat="false" ht="27.75" hidden="false" customHeight="true" outlineLevel="0" collapsed="false">
      <c r="A572" s="81" t="n">
        <v>30</v>
      </c>
      <c r="B572" s="82" t="s">
        <v>143</v>
      </c>
      <c r="C572" s="35" t="n">
        <v>416500</v>
      </c>
      <c r="D572" s="61" t="n">
        <f aca="false">316500+100000</f>
        <v>416500</v>
      </c>
      <c r="E572" s="36" t="n">
        <f aca="false">C572-D572</f>
        <v>0</v>
      </c>
    </row>
    <row r="573" customFormat="false" ht="19.5" hidden="false" customHeight="true" outlineLevel="0" collapsed="false">
      <c r="A573" s="79" t="n">
        <v>31</v>
      </c>
      <c r="B573" s="82" t="s">
        <v>144</v>
      </c>
      <c r="C573" s="35" t="n">
        <v>416500</v>
      </c>
      <c r="D573" s="61" t="n">
        <f aca="false">316500+100000</f>
        <v>416500</v>
      </c>
      <c r="E573" s="36" t="n">
        <f aca="false">C573-D573</f>
        <v>0</v>
      </c>
    </row>
    <row r="574" customFormat="false" ht="19.5" hidden="false" customHeight="true" outlineLevel="0" collapsed="false">
      <c r="A574" s="81" t="n">
        <v>32</v>
      </c>
      <c r="B574" s="82" t="s">
        <v>145</v>
      </c>
      <c r="C574" s="35" t="n">
        <v>416500</v>
      </c>
      <c r="D574" s="61" t="n">
        <f aca="false">115500+200000+101000</f>
        <v>416500</v>
      </c>
      <c r="E574" s="36" t="n">
        <f aca="false">C574-D574</f>
        <v>0</v>
      </c>
    </row>
    <row r="575" customFormat="false" ht="25.5" hidden="false" customHeight="true" outlineLevel="0" collapsed="false">
      <c r="A575" s="81" t="n">
        <v>33</v>
      </c>
      <c r="B575" s="82" t="s">
        <v>146</v>
      </c>
      <c r="C575" s="35" t="n">
        <v>416500</v>
      </c>
      <c r="D575" s="61" t="n">
        <f aca="false">316500+100000</f>
        <v>416500</v>
      </c>
      <c r="E575" s="36" t="n">
        <f aca="false">C575-D575</f>
        <v>0</v>
      </c>
    </row>
    <row r="576" customFormat="false" ht="25.5" hidden="false" customHeight="true" outlineLevel="0" collapsed="false">
      <c r="A576" s="79" t="n">
        <v>34</v>
      </c>
      <c r="B576" s="84" t="s">
        <v>147</v>
      </c>
      <c r="C576" s="85" t="n">
        <v>416500</v>
      </c>
      <c r="D576" s="85" t="n">
        <v>416500</v>
      </c>
      <c r="E576" s="23" t="n">
        <f aca="false">C576-D576</f>
        <v>0</v>
      </c>
    </row>
    <row r="577" customFormat="false" ht="24" hidden="false" customHeight="true" outlineLevel="0" collapsed="false">
      <c r="A577" s="81" t="n">
        <v>35</v>
      </c>
      <c r="B577" s="82" t="s">
        <v>148</v>
      </c>
      <c r="C577" s="35" t="n">
        <v>416500</v>
      </c>
      <c r="D577" s="61" t="n">
        <f aca="false">216500+200000</f>
        <v>416500</v>
      </c>
      <c r="E577" s="36" t="n">
        <f aca="false">C577-D577</f>
        <v>0</v>
      </c>
    </row>
    <row r="578" customFormat="false" ht="22.5" hidden="false" customHeight="true" outlineLevel="0" collapsed="false">
      <c r="A578" s="81" t="n">
        <v>36</v>
      </c>
      <c r="B578" s="82" t="s">
        <v>149</v>
      </c>
      <c r="C578" s="35" t="n">
        <v>416500</v>
      </c>
      <c r="D578" s="61" t="n">
        <f aca="false">216500+200000</f>
        <v>416500</v>
      </c>
      <c r="E578" s="36" t="n">
        <f aca="false">C578-D578</f>
        <v>0</v>
      </c>
    </row>
    <row r="579" customFormat="false" ht="19.5" hidden="false" customHeight="true" outlineLevel="0" collapsed="false">
      <c r="A579" s="79" t="n">
        <v>37</v>
      </c>
      <c r="B579" s="82" t="s">
        <v>150</v>
      </c>
      <c r="C579" s="35" t="n">
        <v>416500</v>
      </c>
      <c r="D579" s="61" t="n">
        <f aca="false">416500</f>
        <v>416500</v>
      </c>
      <c r="E579" s="36" t="n">
        <f aca="false">C579-D579</f>
        <v>0</v>
      </c>
    </row>
    <row r="580" customFormat="false" ht="19.5" hidden="false" customHeight="true" outlineLevel="0" collapsed="false">
      <c r="A580" s="81" t="n">
        <v>38</v>
      </c>
      <c r="B580" s="82" t="s">
        <v>151</v>
      </c>
      <c r="C580" s="35" t="n">
        <v>416500</v>
      </c>
      <c r="D580" s="61" t="n">
        <f aca="false">300000+116500</f>
        <v>416500</v>
      </c>
      <c r="E580" s="36" t="n">
        <f aca="false">C580-D580</f>
        <v>0</v>
      </c>
    </row>
    <row r="581" customFormat="false" ht="19.5" hidden="false" customHeight="true" outlineLevel="0" collapsed="false">
      <c r="A581" s="81" t="n">
        <v>39</v>
      </c>
      <c r="B581" s="82" t="s">
        <v>152</v>
      </c>
      <c r="C581" s="35" t="n">
        <v>416500</v>
      </c>
      <c r="D581" s="61" t="n">
        <f aca="false">200000+216000</f>
        <v>416000</v>
      </c>
      <c r="E581" s="36" t="n">
        <f aca="false">C581-D581</f>
        <v>500</v>
      </c>
    </row>
    <row r="582" customFormat="false" ht="23.25" hidden="false" customHeight="true" outlineLevel="0" collapsed="false">
      <c r="A582" s="79" t="n">
        <v>40</v>
      </c>
      <c r="B582" s="82" t="s">
        <v>153</v>
      </c>
      <c r="C582" s="35" t="n">
        <v>416500</v>
      </c>
      <c r="D582" s="61" t="n">
        <f aca="false">500+416000</f>
        <v>416500</v>
      </c>
      <c r="E582" s="36" t="n">
        <f aca="false">C582-D582</f>
        <v>0</v>
      </c>
    </row>
    <row r="583" customFormat="false" ht="27" hidden="false" customHeight="true" outlineLevel="0" collapsed="false">
      <c r="A583" s="81" t="n">
        <v>41</v>
      </c>
      <c r="B583" s="82" t="s">
        <v>154</v>
      </c>
      <c r="C583" s="35" t="n">
        <v>416500</v>
      </c>
      <c r="D583" s="61" t="n">
        <f aca="false">316500+100000</f>
        <v>416500</v>
      </c>
      <c r="E583" s="36" t="n">
        <f aca="false">C583-D583</f>
        <v>0</v>
      </c>
    </row>
    <row r="584" customFormat="false" ht="24" hidden="false" customHeight="true" outlineLevel="0" collapsed="false">
      <c r="A584" s="81" t="n">
        <v>42</v>
      </c>
      <c r="B584" s="82" t="s">
        <v>155</v>
      </c>
      <c r="C584" s="35" t="n">
        <v>416500</v>
      </c>
      <c r="D584" s="61" t="n">
        <f aca="false">216000+200500</f>
        <v>416500</v>
      </c>
      <c r="E584" s="36" t="n">
        <f aca="false">C584-D584</f>
        <v>0</v>
      </c>
    </row>
    <row r="585" customFormat="false" ht="19.5" hidden="false" customHeight="true" outlineLevel="0" collapsed="false">
      <c r="A585" s="79" t="n">
        <v>43</v>
      </c>
      <c r="B585" s="82" t="s">
        <v>156</v>
      </c>
      <c r="C585" s="35" t="n">
        <v>416500</v>
      </c>
      <c r="D585" s="61"/>
      <c r="E585" s="36" t="n">
        <f aca="false">C585-D585</f>
        <v>416500</v>
      </c>
    </row>
    <row r="586" customFormat="false" ht="19.5" hidden="false" customHeight="true" outlineLevel="0" collapsed="false">
      <c r="A586" s="81" t="n">
        <v>44</v>
      </c>
      <c r="B586" s="82" t="s">
        <v>157</v>
      </c>
      <c r="C586" s="35" t="n">
        <v>416500</v>
      </c>
      <c r="D586" s="61" t="n">
        <f aca="false">216500+200000</f>
        <v>416500</v>
      </c>
      <c r="E586" s="36" t="n">
        <f aca="false">C586-D586</f>
        <v>0</v>
      </c>
    </row>
    <row r="587" customFormat="false" ht="25.5" hidden="false" customHeight="true" outlineLevel="0" collapsed="false">
      <c r="A587" s="81" t="n">
        <v>45</v>
      </c>
      <c r="B587" s="82" t="s">
        <v>158</v>
      </c>
      <c r="C587" s="35" t="n">
        <v>416500</v>
      </c>
      <c r="D587" s="61"/>
      <c r="E587" s="36" t="n">
        <f aca="false">C587-D587</f>
        <v>416500</v>
      </c>
    </row>
    <row r="588" customFormat="false" ht="25.5" hidden="false" customHeight="true" outlineLevel="0" collapsed="false">
      <c r="A588" s="79" t="n">
        <v>46</v>
      </c>
      <c r="B588" s="82" t="s">
        <v>159</v>
      </c>
      <c r="C588" s="35" t="n">
        <v>416500</v>
      </c>
      <c r="D588" s="61"/>
      <c r="E588" s="36" t="n">
        <f aca="false">C588-D588</f>
        <v>416500</v>
      </c>
    </row>
    <row r="589" customFormat="false" ht="25.5" hidden="false" customHeight="true" outlineLevel="0" collapsed="false">
      <c r="A589" s="81" t="n">
        <v>47</v>
      </c>
      <c r="B589" s="82" t="s">
        <v>160</v>
      </c>
      <c r="C589" s="35" t="n">
        <v>416500</v>
      </c>
      <c r="D589" s="61" t="n">
        <f aca="false">216500+100000+100000</f>
        <v>416500</v>
      </c>
      <c r="E589" s="36" t="n">
        <f aca="false">C589-D589</f>
        <v>0</v>
      </c>
    </row>
    <row r="590" customFormat="false" ht="24.75" hidden="false" customHeight="true" outlineLevel="0" collapsed="false">
      <c r="A590" s="81" t="n">
        <v>48</v>
      </c>
      <c r="B590" s="82" t="s">
        <v>161</v>
      </c>
      <c r="C590" s="35" t="n">
        <v>416500</v>
      </c>
      <c r="D590" s="41" t="n">
        <f aca="false">316000+100000+500</f>
        <v>416500</v>
      </c>
      <c r="E590" s="36" t="n">
        <f aca="false">C590-D590</f>
        <v>0</v>
      </c>
    </row>
    <row r="591" customFormat="false" ht="19.5" hidden="false" customHeight="true" outlineLevel="0" collapsed="false">
      <c r="A591" s="79" t="n">
        <v>49</v>
      </c>
      <c r="B591" s="43" t="s">
        <v>162</v>
      </c>
      <c r="C591" s="61" t="n">
        <v>416500</v>
      </c>
      <c r="D591" s="41" t="n">
        <f aca="false">200000+100000+116500</f>
        <v>416500</v>
      </c>
      <c r="E591" s="16" t="n">
        <f aca="false">C591-D591</f>
        <v>0</v>
      </c>
    </row>
    <row r="592" customFormat="false" ht="27" hidden="false" customHeight="true" outlineLevel="0" collapsed="false">
      <c r="A592" s="81" t="n">
        <v>50</v>
      </c>
      <c r="B592" s="82" t="s">
        <v>163</v>
      </c>
      <c r="C592" s="35" t="n">
        <v>416500</v>
      </c>
      <c r="D592" s="61" t="n">
        <f aca="false">300000+116500</f>
        <v>416500</v>
      </c>
      <c r="E592" s="36" t="n">
        <f aca="false">C592-D592</f>
        <v>0</v>
      </c>
    </row>
    <row r="593" customFormat="false" ht="24" hidden="false" customHeight="true" outlineLevel="0" collapsed="false">
      <c r="A593" s="81" t="n">
        <v>51</v>
      </c>
      <c r="B593" s="82" t="s">
        <v>164</v>
      </c>
      <c r="C593" s="35" t="n">
        <v>416500</v>
      </c>
      <c r="D593" s="61" t="n">
        <f aca="false">316000+100500</f>
        <v>416500</v>
      </c>
      <c r="E593" s="36" t="n">
        <f aca="false">C593-D593</f>
        <v>0</v>
      </c>
    </row>
    <row r="594" customFormat="false" ht="27" hidden="false" customHeight="true" outlineLevel="0" collapsed="false">
      <c r="A594" s="79" t="n">
        <v>52</v>
      </c>
      <c r="B594" s="82" t="s">
        <v>165</v>
      </c>
      <c r="C594" s="35" t="n">
        <v>416500</v>
      </c>
      <c r="D594" s="61" t="n">
        <f aca="false">100000+100000+116500+100000</f>
        <v>416500</v>
      </c>
      <c r="E594" s="36" t="n">
        <f aca="false">C594-D594</f>
        <v>0</v>
      </c>
    </row>
    <row r="595" customFormat="false" ht="24" hidden="false" customHeight="true" outlineLevel="0" collapsed="false">
      <c r="A595" s="81" t="n">
        <v>53</v>
      </c>
      <c r="B595" s="82" t="s">
        <v>166</v>
      </c>
      <c r="C595" s="35" t="n">
        <v>416500</v>
      </c>
      <c r="D595" s="61" t="n">
        <f aca="false">200000+200000+16500</f>
        <v>416500</v>
      </c>
      <c r="E595" s="36" t="n">
        <f aca="false">C595-D595</f>
        <v>0</v>
      </c>
    </row>
    <row r="596" customFormat="false" ht="19.5" hidden="false" customHeight="true" outlineLevel="0" collapsed="false">
      <c r="A596" s="81" t="n">
        <v>54</v>
      </c>
      <c r="B596" s="83" t="s">
        <v>167</v>
      </c>
      <c r="C596" s="61" t="n">
        <v>416500</v>
      </c>
      <c r="D596" s="58" t="n">
        <f aca="false">416500</f>
        <v>416500</v>
      </c>
      <c r="E596" s="16" t="n">
        <f aca="false">C596-D596</f>
        <v>0</v>
      </c>
    </row>
    <row r="597" customFormat="false" ht="19.5" hidden="false" customHeight="true" outlineLevel="0" collapsed="false">
      <c r="A597" s="79" t="n">
        <v>55</v>
      </c>
      <c r="B597" s="82" t="s">
        <v>168</v>
      </c>
      <c r="C597" s="35" t="n">
        <v>416500</v>
      </c>
      <c r="D597" s="61" t="n">
        <f aca="false">100000+100000+216500</f>
        <v>416500</v>
      </c>
      <c r="E597" s="36" t="n">
        <f aca="false">C597-D597</f>
        <v>0</v>
      </c>
    </row>
    <row r="598" customFormat="false" ht="24.75" hidden="false" customHeight="true" outlineLevel="0" collapsed="false">
      <c r="A598" s="81" t="n">
        <v>56</v>
      </c>
      <c r="B598" s="82" t="s">
        <v>169</v>
      </c>
      <c r="C598" s="35" t="n">
        <v>416500</v>
      </c>
      <c r="D598" s="61"/>
      <c r="E598" s="36" t="n">
        <f aca="false">C598-D598</f>
        <v>416500</v>
      </c>
    </row>
    <row r="599" customFormat="false" ht="24.75" hidden="false" customHeight="true" outlineLevel="0" collapsed="false">
      <c r="A599" s="81" t="n">
        <v>57</v>
      </c>
      <c r="B599" s="82" t="s">
        <v>170</v>
      </c>
      <c r="C599" s="35" t="n">
        <v>416500</v>
      </c>
      <c r="D599" s="61" t="n">
        <f aca="false">216500+200000</f>
        <v>416500</v>
      </c>
      <c r="E599" s="36" t="n">
        <f aca="false">C599-D599</f>
        <v>0</v>
      </c>
    </row>
    <row r="600" customFormat="false" ht="17.35" hidden="false" customHeight="false" outlineLevel="0" collapsed="false">
      <c r="A600" s="44"/>
      <c r="B600" s="86" t="s">
        <v>24</v>
      </c>
      <c r="C600" s="27" t="n">
        <f aca="false">SUM(C543:C599)</f>
        <v>23324000</v>
      </c>
      <c r="D600" s="87" t="n">
        <f aca="false">SUM(D543:D599)</f>
        <v>21272500</v>
      </c>
      <c r="E600" s="46" t="n">
        <f aca="false">SUM(E543:E599)</f>
        <v>2051500</v>
      </c>
    </row>
    <row r="601" customFormat="false" ht="15" hidden="false" customHeight="false" outlineLevel="0" collapsed="false">
      <c r="A601" s="3"/>
      <c r="C601" s="2"/>
      <c r="D601" s="2"/>
    </row>
    <row r="602" customFormat="false" ht="15" hidden="false" customHeight="false" outlineLevel="0" collapsed="false">
      <c r="A602" s="3"/>
      <c r="C602" s="2"/>
      <c r="D602" s="2"/>
    </row>
    <row r="603" customFormat="false" ht="15" hidden="false" customHeight="false" outlineLevel="0" collapsed="false">
      <c r="A603" s="3"/>
      <c r="C603" s="2"/>
      <c r="D603" s="2"/>
    </row>
    <row r="604" customFormat="false" ht="17.35" hidden="false" customHeight="false" outlineLevel="0" collapsed="false">
      <c r="A604" s="88"/>
      <c r="B604" s="30"/>
      <c r="C604" s="31"/>
      <c r="D604" s="32"/>
    </row>
    <row r="621" customFormat="false" ht="17.35" hidden="false" customHeight="false" outlineLevel="0" collapsed="false">
      <c r="A621" s="88"/>
      <c r="B621" s="30"/>
      <c r="C621" s="31"/>
      <c r="D621" s="32"/>
    </row>
    <row r="622" customFormat="false" ht="17.35" hidden="false" customHeight="false" outlineLevel="0" collapsed="false">
      <c r="A622" s="88"/>
      <c r="B622" s="30"/>
      <c r="C622" s="31"/>
      <c r="D622" s="32"/>
    </row>
    <row r="623" customFormat="false" ht="25.5" hidden="false" customHeight="true" outlineLevel="0" collapsed="false">
      <c r="A623" s="3"/>
      <c r="B623" s="33"/>
      <c r="C623" s="33"/>
      <c r="D623" s="33"/>
      <c r="E623" s="33"/>
    </row>
    <row r="624" customFormat="false" ht="17.35" hidden="false" customHeight="false" outlineLevel="0" collapsed="false">
      <c r="A624" s="51"/>
      <c r="B624" s="51"/>
      <c r="D624" s="89" t="s">
        <v>0</v>
      </c>
    </row>
    <row r="625" customFormat="false" ht="15" hidden="false" customHeight="false" outlineLevel="0" collapsed="false">
      <c r="A625" s="3"/>
      <c r="B625" s="3"/>
      <c r="D625" s="2"/>
    </row>
    <row r="626" customFormat="false" ht="17.9" hidden="false" customHeight="false" outlineLevel="0" collapsed="false">
      <c r="A626" s="3"/>
      <c r="B626" s="3"/>
      <c r="D626" s="90" t="s">
        <v>171</v>
      </c>
    </row>
    <row r="627" customFormat="false" ht="15" hidden="false" customHeight="false" outlineLevel="0" collapsed="false">
      <c r="A627" s="3"/>
      <c r="B627" s="3"/>
      <c r="D627" s="6" t="s">
        <v>2</v>
      </c>
    </row>
    <row r="628" customFormat="false" ht="15" hidden="false" customHeight="false" outlineLevel="0" collapsed="false">
      <c r="A628" s="3"/>
      <c r="B628" s="3"/>
      <c r="D628" s="2"/>
    </row>
    <row r="629" customFormat="false" ht="15" hidden="false" customHeight="false" outlineLevel="0" collapsed="false">
      <c r="A629" s="7" t="s">
        <v>3</v>
      </c>
      <c r="B629" s="8" t="s">
        <v>4</v>
      </c>
      <c r="C629" s="9" t="s">
        <v>5</v>
      </c>
      <c r="D629" s="10" t="s">
        <v>6</v>
      </c>
      <c r="E629" s="11" t="s">
        <v>7</v>
      </c>
    </row>
    <row r="630" customFormat="false" ht="15" hidden="false" customHeight="false" outlineLevel="0" collapsed="false">
      <c r="A630" s="68" t="n">
        <v>1</v>
      </c>
      <c r="B630" s="91" t="s">
        <v>172</v>
      </c>
      <c r="C630" s="14" t="n">
        <v>416500</v>
      </c>
      <c r="D630" s="92"/>
      <c r="E630" s="36" t="n">
        <f aca="false">C630-D630</f>
        <v>416500</v>
      </c>
    </row>
    <row r="631" customFormat="false" ht="39.75" hidden="false" customHeight="true" outlineLevel="0" collapsed="false">
      <c r="A631" s="68" t="n">
        <v>2</v>
      </c>
      <c r="B631" s="93" t="s">
        <v>173</v>
      </c>
      <c r="C631" s="14" t="n">
        <v>416500</v>
      </c>
      <c r="D631" s="92"/>
      <c r="E631" s="36" t="n">
        <f aca="false">C631-D631</f>
        <v>416500</v>
      </c>
    </row>
    <row r="632" customFormat="false" ht="15" hidden="false" customHeight="false" outlineLevel="0" collapsed="false">
      <c r="A632" s="68" t="n">
        <v>3</v>
      </c>
      <c r="B632" s="94" t="s">
        <v>174</v>
      </c>
      <c r="C632" s="14" t="n">
        <v>416500</v>
      </c>
      <c r="D632" s="95"/>
      <c r="E632" s="36" t="n">
        <f aca="false">C632-D632</f>
        <v>416500</v>
      </c>
    </row>
    <row r="633" customFormat="false" ht="18.75" hidden="false" customHeight="true" outlineLevel="0" collapsed="false">
      <c r="A633" s="68" t="n">
        <v>4</v>
      </c>
      <c r="B633" s="93" t="s">
        <v>175</v>
      </c>
      <c r="C633" s="14" t="n">
        <v>416500</v>
      </c>
      <c r="D633" s="92"/>
      <c r="E633" s="36" t="n">
        <f aca="false">C633-D633</f>
        <v>416500</v>
      </c>
    </row>
    <row r="634" customFormat="false" ht="15" hidden="false" customHeight="false" outlineLevel="0" collapsed="false">
      <c r="A634" s="68" t="n">
        <v>5</v>
      </c>
      <c r="B634" s="96" t="s">
        <v>176</v>
      </c>
      <c r="C634" s="35" t="n">
        <v>416500</v>
      </c>
      <c r="D634" s="97" t="n">
        <v>83500</v>
      </c>
      <c r="E634" s="36" t="n">
        <f aca="false">C634-D634</f>
        <v>333000</v>
      </c>
    </row>
    <row r="635" customFormat="false" ht="15" hidden="false" customHeight="false" outlineLevel="0" collapsed="false">
      <c r="A635" s="68" t="n">
        <v>6</v>
      </c>
      <c r="B635" s="96" t="s">
        <v>177</v>
      </c>
      <c r="C635" s="35" t="n">
        <v>416500</v>
      </c>
      <c r="D635" s="97"/>
      <c r="E635" s="36" t="n">
        <f aca="false">C635-D635</f>
        <v>416500</v>
      </c>
    </row>
    <row r="636" customFormat="false" ht="15" hidden="false" customHeight="false" outlineLevel="0" collapsed="false">
      <c r="A636" s="68" t="n">
        <v>7</v>
      </c>
      <c r="B636" s="98" t="s">
        <v>178</v>
      </c>
      <c r="C636" s="35" t="n">
        <v>416500</v>
      </c>
      <c r="D636" s="61" t="n">
        <f aca="false">116500+200000+100000</f>
        <v>416500</v>
      </c>
      <c r="E636" s="36" t="n">
        <f aca="false">C636-D636</f>
        <v>0</v>
      </c>
    </row>
    <row r="637" customFormat="false" ht="15" hidden="false" customHeight="false" outlineLevel="0" collapsed="false">
      <c r="A637" s="68" t="n">
        <v>8</v>
      </c>
      <c r="B637" s="99" t="s">
        <v>179</v>
      </c>
      <c r="C637" s="35" t="n">
        <v>416500</v>
      </c>
      <c r="D637" s="61" t="n">
        <f aca="false">103500+50000+50000+213000</f>
        <v>416500</v>
      </c>
      <c r="E637" s="36" t="n">
        <f aca="false">C637-D637</f>
        <v>0</v>
      </c>
    </row>
    <row r="638" customFormat="false" ht="15" hidden="false" customHeight="false" outlineLevel="0" collapsed="false">
      <c r="A638" s="68" t="n">
        <v>9</v>
      </c>
      <c r="B638" s="99" t="s">
        <v>180</v>
      </c>
      <c r="C638" s="35" t="n">
        <v>416500</v>
      </c>
      <c r="D638" s="61" t="n">
        <f aca="false">200000+90000+120000+6500</f>
        <v>416500</v>
      </c>
      <c r="E638" s="36" t="n">
        <f aca="false">C638-D638</f>
        <v>0</v>
      </c>
    </row>
    <row r="639" customFormat="false" ht="15" hidden="false" customHeight="false" outlineLevel="0" collapsed="false">
      <c r="A639" s="68" t="n">
        <v>10</v>
      </c>
      <c r="B639" s="99" t="s">
        <v>181</v>
      </c>
      <c r="C639" s="35" t="n">
        <v>416500</v>
      </c>
      <c r="D639" s="61" t="n">
        <f aca="false">216500+100000+100000</f>
        <v>416500</v>
      </c>
      <c r="E639" s="36" t="n">
        <f aca="false">C639-D639</f>
        <v>0</v>
      </c>
    </row>
    <row r="640" customFormat="false" ht="15" hidden="false" customHeight="false" outlineLevel="0" collapsed="false">
      <c r="A640" s="68" t="n">
        <v>11</v>
      </c>
      <c r="B640" s="99" t="s">
        <v>182</v>
      </c>
      <c r="C640" s="35" t="n">
        <v>416500</v>
      </c>
      <c r="D640" s="61"/>
      <c r="E640" s="36" t="n">
        <f aca="false">C640-D640</f>
        <v>416500</v>
      </c>
    </row>
    <row r="641" customFormat="false" ht="15" hidden="false" customHeight="false" outlineLevel="0" collapsed="false">
      <c r="A641" s="68" t="n">
        <v>12</v>
      </c>
      <c r="B641" s="99" t="s">
        <v>183</v>
      </c>
      <c r="C641" s="35" t="n">
        <v>416500</v>
      </c>
      <c r="D641" s="61" t="n">
        <f aca="false">195000+16500+180000+25000</f>
        <v>416500</v>
      </c>
      <c r="E641" s="36" t="n">
        <f aca="false">C641-D641</f>
        <v>0</v>
      </c>
    </row>
    <row r="642" customFormat="false" ht="17.35" hidden="false" customHeight="false" outlineLevel="0" collapsed="false">
      <c r="A642" s="44"/>
      <c r="B642" s="65" t="s">
        <v>24</v>
      </c>
      <c r="C642" s="27" t="n">
        <f aca="false">SUM(C630:C641)</f>
        <v>4998000</v>
      </c>
      <c r="D642" s="28" t="n">
        <f aca="false">SUM(D630:D641)</f>
        <v>2166000</v>
      </c>
      <c r="E642" s="46" t="n">
        <f aca="false">SUM(E630:E641)</f>
        <v>2832000</v>
      </c>
    </row>
    <row r="643" customFormat="false" ht="17.35" hidden="false" customHeight="false" outlineLevel="0" collapsed="false">
      <c r="A643" s="88"/>
      <c r="B643" s="30"/>
      <c r="C643" s="31"/>
      <c r="D643" s="32"/>
    </row>
    <row r="644" customFormat="false" ht="15" hidden="false" customHeight="false" outlineLevel="0" collapsed="false">
      <c r="C644" s="2"/>
      <c r="D644" s="2"/>
    </row>
    <row r="664" customFormat="false" ht="15" hidden="false" customHeight="false" outlineLevel="0" collapsed="false">
      <c r="C664" s="2"/>
      <c r="D664" s="2"/>
    </row>
    <row r="665" customFormat="false" ht="15" hidden="false" customHeight="false" outlineLevel="0" collapsed="false">
      <c r="C665" s="2"/>
      <c r="D665" s="2"/>
    </row>
    <row r="669" customFormat="false" ht="15" hidden="false" customHeight="false" outlineLevel="0" collapsed="false">
      <c r="B669" s="100" t="s">
        <v>184</v>
      </c>
      <c r="C669" s="101" t="s">
        <v>6</v>
      </c>
      <c r="D669" s="102" t="s">
        <v>185</v>
      </c>
    </row>
    <row r="670" customFormat="false" ht="16.15" hidden="false" customHeight="false" outlineLevel="0" collapsed="false">
      <c r="B670" s="100"/>
      <c r="C670" s="103" t="n">
        <f aca="false">Feuille11!D451+D642+Feuille11!D431+D600+C532+C463+C417+C392+C364+D342+C310+C278+D249+C216+C183+D149+C102+C71+D49+C23</f>
        <v>46616500</v>
      </c>
      <c r="D670" s="104" t="e">
        <f aca="false">#REF!-C670</f>
        <v>#REF!</v>
      </c>
    </row>
    <row r="673" customFormat="false" ht="15" hidden="false" customHeight="false" outlineLevel="0" collapsed="false">
      <c r="E673" s="105" t="n">
        <f aca="false">C670+'LICENCE PRO. 1ère ANNEE'!D268</f>
        <v>97264700</v>
      </c>
    </row>
    <row r="675" customFormat="false" ht="15" hidden="false" customHeight="false" outlineLevel="0" collapsed="false">
      <c r="D675" s="1" t="s">
        <v>186</v>
      </c>
    </row>
  </sheetData>
  <mergeCells count="6">
    <mergeCell ref="B107:E107"/>
    <mergeCell ref="B219:E219"/>
    <mergeCell ref="B314:E314"/>
    <mergeCell ref="B317:E317"/>
    <mergeCell ref="B623:E623"/>
    <mergeCell ref="B669:B6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268"/>
  <sheetViews>
    <sheetView showFormulas="false" showGridLines="true" showRowColHeaders="true" showZeros="true" rightToLeft="false" tabSelected="false" showOutlineSymbols="true" defaultGridColor="true" view="normal" topLeftCell="A157" colorId="64" zoomScale="123" zoomScaleNormal="123" zoomScalePageLayoutView="100" workbookViewId="0">
      <selection pane="topLeft" activeCell="F10" activeCellId="0" sqref="F10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16"/>
    <col collapsed="false" customWidth="true" hidden="false" outlineLevel="0" max="3" min="3" style="1" width="13.43"/>
    <col collapsed="false" customWidth="true" hidden="false" outlineLevel="0" max="4" min="4" style="1" width="12.43"/>
    <col collapsed="false" customWidth="true" hidden="false" outlineLevel="0" max="5" min="5" style="1" width="12.71"/>
    <col collapsed="false" customWidth="true" hidden="false" outlineLevel="0" max="16383" min="16373" style="0" width="11.53"/>
    <col collapsed="false" customWidth="true" hidden="false" outlineLevel="0" max="16384" min="16384" style="1" width="11.53"/>
  </cols>
  <sheetData>
    <row r="3" customFormat="false" ht="15" hidden="false" customHeight="false" outlineLevel="0" collapsed="false">
      <c r="D3" s="2"/>
    </row>
    <row r="4" customFormat="false" ht="15" hidden="false" customHeight="false" outlineLevel="0" collapsed="false">
      <c r="D4" s="2"/>
    </row>
    <row r="5" customFormat="false" ht="15" hidden="false" customHeight="false" outlineLevel="0" collapsed="false">
      <c r="D5" s="2"/>
    </row>
    <row r="6" customFormat="false" ht="15" hidden="false" customHeight="false" outlineLevel="0" collapsed="false">
      <c r="D6" s="2"/>
    </row>
    <row r="7" customFormat="false" ht="24" hidden="false" customHeight="true" outlineLevel="0" collapsed="false">
      <c r="A7" s="3"/>
      <c r="B7" s="33"/>
      <c r="C7" s="33"/>
      <c r="D7" s="33"/>
      <c r="E7" s="33"/>
    </row>
    <row r="8" customFormat="false" ht="17.35" hidden="false" customHeight="false" outlineLevel="0" collapsed="false">
      <c r="A8" s="3"/>
      <c r="B8" s="3"/>
      <c r="C8" s="4" t="s">
        <v>0</v>
      </c>
      <c r="D8" s="2"/>
    </row>
    <row r="9" customFormat="false" ht="17.55" hidden="false" customHeight="false" outlineLevel="0" collapsed="false">
      <c r="A9" s="3"/>
      <c r="B9" s="3"/>
      <c r="C9" s="5" t="s">
        <v>1</v>
      </c>
      <c r="D9" s="2"/>
    </row>
    <row r="10" customFormat="false" ht="15" hidden="false" customHeight="false" outlineLevel="0" collapsed="false">
      <c r="A10" s="3"/>
      <c r="B10" s="3"/>
      <c r="D10" s="6" t="s">
        <v>187</v>
      </c>
    </row>
    <row r="11" customFormat="false" ht="15" hidden="false" customHeight="false" outlineLevel="0" collapsed="false">
      <c r="A11" s="3"/>
      <c r="B11" s="3"/>
      <c r="D11" s="2"/>
    </row>
    <row r="12" customFormat="false" ht="15" hidden="false" customHeight="false" outlineLevel="0" collapsed="false">
      <c r="A12" s="7" t="s">
        <v>3</v>
      </c>
      <c r="B12" s="8" t="s">
        <v>4</v>
      </c>
      <c r="C12" s="9" t="s">
        <v>5</v>
      </c>
      <c r="D12" s="10" t="s">
        <v>6</v>
      </c>
      <c r="E12" s="11" t="s">
        <v>7</v>
      </c>
    </row>
    <row r="13" customFormat="false" ht="15" hidden="false" customHeight="false" outlineLevel="0" collapsed="false">
      <c r="A13" s="68" t="n">
        <v>1</v>
      </c>
      <c r="B13" s="106" t="s">
        <v>188</v>
      </c>
      <c r="C13" s="14" t="n">
        <v>416500</v>
      </c>
      <c r="D13" s="15" t="n">
        <f aca="false">300000</f>
        <v>300000</v>
      </c>
      <c r="E13" s="16" t="n">
        <f aca="false">C13-D13</f>
        <v>116500</v>
      </c>
    </row>
    <row r="14" customFormat="false" ht="15" hidden="false" customHeight="false" outlineLevel="0" collapsed="false">
      <c r="A14" s="68" t="n">
        <v>2</v>
      </c>
      <c r="B14" s="106" t="s">
        <v>189</v>
      </c>
      <c r="C14" s="14" t="n">
        <v>416500</v>
      </c>
      <c r="D14" s="15" t="n">
        <f aca="false">216500+200000</f>
        <v>416500</v>
      </c>
      <c r="E14" s="16" t="n">
        <f aca="false">C14-D14</f>
        <v>0</v>
      </c>
    </row>
    <row r="15" customFormat="false" ht="30" hidden="false" customHeight="true" outlineLevel="0" collapsed="false">
      <c r="A15" s="68" t="n">
        <v>3</v>
      </c>
      <c r="B15" s="106" t="s">
        <v>190</v>
      </c>
      <c r="C15" s="14" t="n">
        <v>416500</v>
      </c>
      <c r="D15" s="15" t="n">
        <f aca="false">416500</f>
        <v>416500</v>
      </c>
      <c r="E15" s="36" t="n">
        <f aca="false">C15-D15</f>
        <v>0</v>
      </c>
    </row>
    <row r="16" customFormat="false" ht="28.5" hidden="false" customHeight="true" outlineLevel="0" collapsed="false">
      <c r="A16" s="68" t="n">
        <v>4</v>
      </c>
      <c r="B16" s="107" t="s">
        <v>191</v>
      </c>
      <c r="C16" s="62" t="n">
        <v>416500</v>
      </c>
      <c r="D16" s="15"/>
      <c r="E16" s="16" t="n">
        <f aca="false">C16-D16</f>
        <v>416500</v>
      </c>
    </row>
    <row r="17" customFormat="false" ht="23.85" hidden="false" customHeight="false" outlineLevel="0" collapsed="false">
      <c r="A17" s="68" t="n">
        <v>5</v>
      </c>
      <c r="B17" s="106" t="s">
        <v>192</v>
      </c>
      <c r="C17" s="14" t="n">
        <v>416500</v>
      </c>
      <c r="D17" s="15" t="n">
        <f aca="false">316000+100500</f>
        <v>416500</v>
      </c>
      <c r="E17" s="16" t="n">
        <f aca="false">C17-D17</f>
        <v>0</v>
      </c>
    </row>
    <row r="18" customFormat="false" ht="23.85" hidden="false" customHeight="false" outlineLevel="0" collapsed="false">
      <c r="A18" s="68" t="n">
        <v>6</v>
      </c>
      <c r="B18" s="106" t="s">
        <v>193</v>
      </c>
      <c r="C18" s="14" t="n">
        <v>416500</v>
      </c>
      <c r="D18" s="15" t="n">
        <f aca="false">416500</f>
        <v>416500</v>
      </c>
      <c r="E18" s="16" t="n">
        <f aca="false">C18-D18</f>
        <v>0</v>
      </c>
    </row>
    <row r="19" customFormat="false" ht="23.85" hidden="false" customHeight="false" outlineLevel="0" collapsed="false">
      <c r="A19" s="68" t="n">
        <v>7</v>
      </c>
      <c r="B19" s="106" t="s">
        <v>194</v>
      </c>
      <c r="C19" s="14" t="n">
        <v>416500</v>
      </c>
      <c r="D19" s="15" t="n">
        <f aca="false">216500+200000</f>
        <v>416500</v>
      </c>
      <c r="E19" s="16" t="n">
        <f aca="false">C19-D19</f>
        <v>0</v>
      </c>
    </row>
    <row r="20" customFormat="false" ht="15" hidden="false" customHeight="false" outlineLevel="0" collapsed="false">
      <c r="A20" s="68" t="n">
        <v>8</v>
      </c>
      <c r="B20" s="106" t="s">
        <v>195</v>
      </c>
      <c r="C20" s="14" t="n">
        <v>416500</v>
      </c>
      <c r="D20" s="15" t="n">
        <f aca="false">250000+166500</f>
        <v>416500</v>
      </c>
      <c r="E20" s="16" t="n">
        <f aca="false">C20-D20</f>
        <v>0</v>
      </c>
    </row>
    <row r="21" customFormat="false" ht="15" hidden="false" customHeight="false" outlineLevel="0" collapsed="false">
      <c r="A21" s="68" t="n">
        <v>9</v>
      </c>
      <c r="B21" s="106" t="s">
        <v>196</v>
      </c>
      <c r="C21" s="14" t="n">
        <v>416500</v>
      </c>
      <c r="D21" s="15" t="n">
        <f aca="false">216500+200000</f>
        <v>416500</v>
      </c>
      <c r="E21" s="16" t="n">
        <f aca="false">C21-D21</f>
        <v>0</v>
      </c>
    </row>
    <row r="22" customFormat="false" ht="21.75" hidden="false" customHeight="true" outlineLevel="0" collapsed="false">
      <c r="A22" s="68" t="n">
        <v>10</v>
      </c>
      <c r="B22" s="107" t="s">
        <v>197</v>
      </c>
      <c r="C22" s="14" t="n">
        <v>416500</v>
      </c>
      <c r="D22" s="15" t="n">
        <f aca="false">250000+65000+51500+50000</f>
        <v>416500</v>
      </c>
      <c r="E22" s="16" t="n">
        <f aca="false">C22-D22</f>
        <v>0</v>
      </c>
    </row>
    <row r="23" customFormat="false" ht="35.05" hidden="false" customHeight="false" outlineLevel="0" collapsed="false">
      <c r="A23" s="68" t="n">
        <v>11</v>
      </c>
      <c r="B23" s="106" t="s">
        <v>198</v>
      </c>
      <c r="C23" s="14" t="n">
        <v>416500</v>
      </c>
      <c r="D23" s="15" t="n">
        <f aca="false">200000+216500</f>
        <v>416500</v>
      </c>
      <c r="E23" s="16" t="n">
        <f aca="false">C23-D23</f>
        <v>0</v>
      </c>
    </row>
    <row r="24" customFormat="false" ht="23.85" hidden="false" customHeight="false" outlineLevel="0" collapsed="false">
      <c r="A24" s="68" t="n">
        <v>12</v>
      </c>
      <c r="B24" s="106" t="s">
        <v>199</v>
      </c>
      <c r="C24" s="14" t="n">
        <v>416500</v>
      </c>
      <c r="D24" s="15" t="n">
        <f aca="false">315000+101000</f>
        <v>416000</v>
      </c>
      <c r="E24" s="16" t="n">
        <f aca="false">C24-D24</f>
        <v>500</v>
      </c>
    </row>
    <row r="25" customFormat="false" ht="24" hidden="false" customHeight="true" outlineLevel="0" collapsed="false">
      <c r="A25" s="68" t="n">
        <v>13</v>
      </c>
      <c r="B25" s="106" t="s">
        <v>200</v>
      </c>
      <c r="C25" s="14" t="n">
        <v>416500</v>
      </c>
      <c r="D25" s="15" t="n">
        <f aca="false">210000</f>
        <v>210000</v>
      </c>
      <c r="E25" s="16" t="n">
        <f aca="false">C25-D25</f>
        <v>206500</v>
      </c>
    </row>
    <row r="26" customFormat="false" ht="17.35" hidden="false" customHeight="false" outlineLevel="0" collapsed="false">
      <c r="A26" s="25"/>
      <c r="B26" s="26" t="s">
        <v>24</v>
      </c>
      <c r="C26" s="27" t="n">
        <f aca="false">SUM(C13:C25)</f>
        <v>5414500</v>
      </c>
      <c r="D26" s="28" t="n">
        <f aca="false">SUM(D13:D25)</f>
        <v>4674500</v>
      </c>
      <c r="E26" s="29" t="n">
        <f aca="false">C26-D26</f>
        <v>740000</v>
      </c>
    </row>
    <row r="27" customFormat="false" ht="15" hidden="false" customHeight="false" outlineLevel="0" collapsed="false">
      <c r="D27" s="2"/>
    </row>
    <row r="28" customFormat="false" ht="17.35" hidden="false" customHeight="false" outlineLevel="0" collapsed="false">
      <c r="C28" s="4" t="s">
        <v>0</v>
      </c>
      <c r="D28" s="2"/>
    </row>
    <row r="29" customFormat="false" ht="17.35" hidden="false" customHeight="false" outlineLevel="0" collapsed="false">
      <c r="B29" s="33"/>
      <c r="C29" s="33"/>
      <c r="D29" s="33"/>
      <c r="E29" s="33"/>
    </row>
    <row r="30" customFormat="false" ht="17.55" hidden="false" customHeight="false" outlineLevel="0" collapsed="false">
      <c r="C30" s="5" t="s">
        <v>25</v>
      </c>
      <c r="D30" s="2"/>
    </row>
    <row r="31" customFormat="false" ht="15" hidden="false" customHeight="false" outlineLevel="0" collapsed="false">
      <c r="A31" s="3"/>
      <c r="B31" s="3"/>
      <c r="D31" s="2"/>
    </row>
    <row r="32" customFormat="false" ht="15" hidden="false" customHeight="false" outlineLevel="0" collapsed="false">
      <c r="A32" s="3"/>
      <c r="B32" s="3"/>
      <c r="D32" s="6" t="s">
        <v>187</v>
      </c>
    </row>
    <row r="33" customFormat="false" ht="15" hidden="false" customHeight="false" outlineLevel="0" collapsed="false">
      <c r="A33" s="3"/>
      <c r="B33" s="3"/>
      <c r="D33" s="2"/>
    </row>
    <row r="34" customFormat="false" ht="15" hidden="false" customHeight="false" outlineLevel="0" collapsed="false">
      <c r="A34" s="7" t="s">
        <v>3</v>
      </c>
      <c r="B34" s="8" t="s">
        <v>4</v>
      </c>
      <c r="C34" s="9" t="s">
        <v>5</v>
      </c>
      <c r="D34" s="10" t="s">
        <v>6</v>
      </c>
      <c r="E34" s="11" t="s">
        <v>7</v>
      </c>
    </row>
    <row r="35" customFormat="false" ht="23.85" hidden="false" customHeight="false" outlineLevel="0" collapsed="false">
      <c r="A35" s="68" t="n">
        <v>1</v>
      </c>
      <c r="B35" s="106" t="s">
        <v>201</v>
      </c>
      <c r="C35" s="35" t="n">
        <v>416500</v>
      </c>
      <c r="D35" s="15" t="n">
        <f aca="false">416500</f>
        <v>416500</v>
      </c>
      <c r="E35" s="36" t="n">
        <f aca="false">C35-D35</f>
        <v>0</v>
      </c>
    </row>
    <row r="36" customFormat="false" ht="15" hidden="false" customHeight="false" outlineLevel="0" collapsed="false">
      <c r="A36" s="68" t="n">
        <v>2</v>
      </c>
      <c r="B36" s="107" t="s">
        <v>202</v>
      </c>
      <c r="C36" s="61" t="s">
        <v>17</v>
      </c>
      <c r="D36" s="38" t="s">
        <v>17</v>
      </c>
      <c r="E36" s="36" t="s">
        <v>17</v>
      </c>
    </row>
    <row r="37" customFormat="false" ht="23.85" hidden="false" customHeight="false" outlineLevel="0" collapsed="false">
      <c r="A37" s="68" t="n">
        <v>3</v>
      </c>
      <c r="B37" s="106" t="s">
        <v>203</v>
      </c>
      <c r="C37" s="35" t="n">
        <v>416500</v>
      </c>
      <c r="D37" s="38" t="n">
        <f aca="false">216500+150000+50000</f>
        <v>416500</v>
      </c>
      <c r="E37" s="36" t="n">
        <f aca="false">C37-D37</f>
        <v>0</v>
      </c>
    </row>
    <row r="38" customFormat="false" ht="23.85" hidden="false" customHeight="false" outlineLevel="0" collapsed="false">
      <c r="A38" s="68" t="n">
        <v>4</v>
      </c>
      <c r="B38" s="106" t="s">
        <v>204</v>
      </c>
      <c r="C38" s="35" t="n">
        <v>416500</v>
      </c>
      <c r="D38" s="15" t="n">
        <f aca="false">316000</f>
        <v>316000</v>
      </c>
      <c r="E38" s="36" t="n">
        <f aca="false">C38-D38</f>
        <v>100500</v>
      </c>
    </row>
    <row r="39" customFormat="false" ht="35.05" hidden="false" customHeight="false" outlineLevel="0" collapsed="false">
      <c r="A39" s="68" t="n">
        <v>5</v>
      </c>
      <c r="B39" s="106" t="s">
        <v>205</v>
      </c>
      <c r="C39" s="35" t="n">
        <v>416500</v>
      </c>
      <c r="D39" s="15" t="n">
        <f aca="false">266000+40000+65000+45500</f>
        <v>416500</v>
      </c>
      <c r="E39" s="36" t="n">
        <f aca="false">C39-D39</f>
        <v>0</v>
      </c>
    </row>
    <row r="40" customFormat="false" ht="23.85" hidden="false" customHeight="false" outlineLevel="0" collapsed="false">
      <c r="A40" s="68" t="n">
        <v>6</v>
      </c>
      <c r="B40" s="106" t="s">
        <v>206</v>
      </c>
      <c r="C40" s="35" t="n">
        <v>416500</v>
      </c>
      <c r="D40" s="38" t="n">
        <f aca="false">316500+40000+60000</f>
        <v>416500</v>
      </c>
      <c r="E40" s="36" t="n">
        <f aca="false">C40-D40</f>
        <v>0</v>
      </c>
    </row>
    <row r="41" customFormat="false" ht="15" hidden="false" customHeight="false" outlineLevel="0" collapsed="false">
      <c r="A41" s="68" t="n">
        <v>7</v>
      </c>
      <c r="B41" s="106" t="s">
        <v>207</v>
      </c>
      <c r="C41" s="35" t="n">
        <v>416500</v>
      </c>
      <c r="D41" s="38"/>
      <c r="E41" s="36" t="n">
        <f aca="false">C41-D41</f>
        <v>416500</v>
      </c>
    </row>
    <row r="42" customFormat="false" ht="35.05" hidden="false" customHeight="false" outlineLevel="0" collapsed="false">
      <c r="A42" s="68" t="n">
        <v>8</v>
      </c>
      <c r="B42" s="106" t="s">
        <v>208</v>
      </c>
      <c r="C42" s="35" t="n">
        <v>416500</v>
      </c>
      <c r="D42" s="38" t="n">
        <f aca="false">300000+85000+31500</f>
        <v>416500</v>
      </c>
      <c r="E42" s="36" t="n">
        <f aca="false">C42-D42</f>
        <v>0</v>
      </c>
    </row>
    <row r="43" customFormat="false" ht="35.05" hidden="false" customHeight="false" outlineLevel="0" collapsed="false">
      <c r="A43" s="68" t="n">
        <v>9</v>
      </c>
      <c r="B43" s="107" t="s">
        <v>209</v>
      </c>
      <c r="C43" s="35" t="n">
        <v>416500</v>
      </c>
      <c r="D43" s="38"/>
      <c r="E43" s="36" t="n">
        <f aca="false">C43-D43</f>
        <v>416500</v>
      </c>
    </row>
    <row r="44" customFormat="false" ht="23.85" hidden="false" customHeight="false" outlineLevel="0" collapsed="false">
      <c r="A44" s="68" t="n">
        <v>10</v>
      </c>
      <c r="B44" s="106" t="s">
        <v>210</v>
      </c>
      <c r="C44" s="35" t="n">
        <v>416500</v>
      </c>
      <c r="D44" s="41" t="n">
        <f aca="false">216000+200000</f>
        <v>416000</v>
      </c>
      <c r="E44" s="36" t="n">
        <f aca="false">C44-D44</f>
        <v>500</v>
      </c>
    </row>
    <row r="45" customFormat="false" ht="23.85" hidden="false" customHeight="false" outlineLevel="0" collapsed="false">
      <c r="A45" s="68" t="n">
        <v>11</v>
      </c>
      <c r="B45" s="106" t="s">
        <v>211</v>
      </c>
      <c r="C45" s="35" t="s">
        <v>17</v>
      </c>
      <c r="D45" s="41" t="n">
        <f aca="false">50000</f>
        <v>50000</v>
      </c>
      <c r="E45" s="36" t="s">
        <v>17</v>
      </c>
    </row>
    <row r="46" customFormat="false" ht="21.75" hidden="false" customHeight="true" outlineLevel="0" collapsed="false">
      <c r="A46" s="68" t="n">
        <v>12</v>
      </c>
      <c r="B46" s="106" t="s">
        <v>212</v>
      </c>
      <c r="C46" s="35" t="n">
        <v>416500</v>
      </c>
      <c r="D46" s="41" t="n">
        <f aca="false">250000+50000+116500</f>
        <v>416500</v>
      </c>
      <c r="E46" s="36" t="n">
        <f aca="false">C46-D46</f>
        <v>0</v>
      </c>
    </row>
    <row r="47" customFormat="false" ht="21.75" hidden="false" customHeight="true" outlineLevel="0" collapsed="false">
      <c r="A47" s="68" t="n">
        <v>13</v>
      </c>
      <c r="B47" s="106" t="s">
        <v>213</v>
      </c>
      <c r="C47" s="35" t="n">
        <v>416500</v>
      </c>
      <c r="D47" s="41" t="n">
        <f aca="false">200000+216000+500</f>
        <v>416500</v>
      </c>
      <c r="E47" s="36" t="n">
        <f aca="false">C47-D47</f>
        <v>0</v>
      </c>
    </row>
    <row r="48" customFormat="false" ht="21.75" hidden="false" customHeight="true" outlineLevel="0" collapsed="false">
      <c r="A48" s="68" t="n">
        <v>14</v>
      </c>
      <c r="B48" s="106" t="s">
        <v>214</v>
      </c>
      <c r="C48" s="35" t="n">
        <v>416500</v>
      </c>
      <c r="D48" s="41" t="n">
        <f aca="false">100000+120000+130000+50000</f>
        <v>400000</v>
      </c>
      <c r="E48" s="36" t="n">
        <f aca="false">C48-D48</f>
        <v>16500</v>
      </c>
    </row>
    <row r="49" customFormat="false" ht="21.75" hidden="false" customHeight="true" outlineLevel="0" collapsed="false">
      <c r="A49" s="68" t="n">
        <v>15</v>
      </c>
      <c r="B49" s="106" t="s">
        <v>215</v>
      </c>
      <c r="C49" s="35" t="n">
        <v>416500</v>
      </c>
      <c r="D49" s="41" t="n">
        <f aca="false">300000+60000+55000+1500</f>
        <v>416500</v>
      </c>
      <c r="E49" s="36" t="n">
        <f aca="false">C49-D49</f>
        <v>0</v>
      </c>
    </row>
    <row r="50" customFormat="false" ht="21.75" hidden="false" customHeight="true" outlineLevel="0" collapsed="false">
      <c r="A50" s="68" t="n">
        <v>16</v>
      </c>
      <c r="B50" s="106" t="s">
        <v>216</v>
      </c>
      <c r="C50" s="35" t="n">
        <v>416500</v>
      </c>
      <c r="D50" s="41" t="n">
        <f aca="false">200000+50000+166500</f>
        <v>416500</v>
      </c>
      <c r="E50" s="36" t="n">
        <f aca="false">C50-D50</f>
        <v>0</v>
      </c>
    </row>
    <row r="51" customFormat="false" ht="21.75" hidden="false" customHeight="true" outlineLevel="0" collapsed="false">
      <c r="A51" s="68" t="n">
        <v>17</v>
      </c>
      <c r="B51" s="106" t="s">
        <v>217</v>
      </c>
      <c r="C51" s="35" t="n">
        <v>416500</v>
      </c>
      <c r="D51" s="41" t="n">
        <f aca="false">216500+200000</f>
        <v>416500</v>
      </c>
      <c r="E51" s="36" t="n">
        <f aca="false">C51-D51</f>
        <v>0</v>
      </c>
    </row>
    <row r="52" customFormat="false" ht="23.85" hidden="false" customHeight="false" outlineLevel="0" collapsed="false">
      <c r="A52" s="68" t="n">
        <v>18</v>
      </c>
      <c r="B52" s="106" t="s">
        <v>218</v>
      </c>
      <c r="C52" s="35" t="n">
        <v>416500</v>
      </c>
      <c r="D52" s="41"/>
      <c r="E52" s="36" t="n">
        <f aca="false">C52-D52</f>
        <v>416500</v>
      </c>
    </row>
    <row r="53" customFormat="false" ht="46.25" hidden="false" customHeight="false" outlineLevel="0" collapsed="false">
      <c r="A53" s="68" t="n">
        <v>19</v>
      </c>
      <c r="B53" s="106" t="s">
        <v>219</v>
      </c>
      <c r="C53" s="35" t="n">
        <v>416500</v>
      </c>
      <c r="D53" s="41" t="n">
        <f aca="false">220000+50000+50000+96500</f>
        <v>416500</v>
      </c>
      <c r="E53" s="36" t="n">
        <f aca="false">C53-D53</f>
        <v>0</v>
      </c>
    </row>
    <row r="54" customFormat="false" ht="23.85" hidden="false" customHeight="false" outlineLevel="0" collapsed="false">
      <c r="A54" s="68" t="n">
        <v>20</v>
      </c>
      <c r="B54" s="106" t="s">
        <v>220</v>
      </c>
      <c r="C54" s="35" t="n">
        <v>416500</v>
      </c>
      <c r="D54" s="41" t="n">
        <f aca="false">230000+156500+30000</f>
        <v>416500</v>
      </c>
      <c r="E54" s="36" t="n">
        <f aca="false">C54-D54</f>
        <v>0</v>
      </c>
    </row>
    <row r="55" customFormat="false" ht="15" hidden="false" customHeight="false" outlineLevel="0" collapsed="false">
      <c r="A55" s="68" t="n">
        <v>21</v>
      </c>
      <c r="B55" s="106" t="s">
        <v>221</v>
      </c>
      <c r="C55" s="35" t="n">
        <v>416500</v>
      </c>
      <c r="D55" s="41" t="n">
        <f aca="false">256000+80000+80500</f>
        <v>416500</v>
      </c>
      <c r="E55" s="36" t="n">
        <f aca="false">C55-D55</f>
        <v>0</v>
      </c>
    </row>
    <row r="56" customFormat="false" ht="23.85" hidden="false" customHeight="false" outlineLevel="0" collapsed="false">
      <c r="A56" s="68" t="n">
        <v>22</v>
      </c>
      <c r="B56" s="106" t="s">
        <v>222</v>
      </c>
      <c r="C56" s="61" t="n">
        <v>416500</v>
      </c>
      <c r="D56" s="41" t="n">
        <f aca="false">215000</f>
        <v>215000</v>
      </c>
      <c r="E56" s="16" t="n">
        <f aca="false">C56-D56</f>
        <v>201500</v>
      </c>
    </row>
    <row r="57" customFormat="false" ht="17.35" hidden="false" customHeight="false" outlineLevel="0" collapsed="false">
      <c r="A57" s="44"/>
      <c r="B57" s="45" t="s">
        <v>24</v>
      </c>
      <c r="C57" s="27" t="n">
        <f aca="false">SUM(C35:C56)</f>
        <v>8330000</v>
      </c>
      <c r="D57" s="28" t="n">
        <f aca="false">SUM(D35:D56)</f>
        <v>6811500</v>
      </c>
      <c r="E57" s="46" t="n">
        <f aca="false">C57-D57</f>
        <v>1518500</v>
      </c>
    </row>
    <row r="58" customFormat="false" ht="15" hidden="false" customHeight="false" outlineLevel="0" collapsed="false">
      <c r="C58" s="108"/>
      <c r="D58" s="31"/>
      <c r="E58" s="109"/>
    </row>
    <row r="59" customFormat="false" ht="15" hidden="false" customHeight="false" outlineLevel="0" collapsed="false">
      <c r="C59" s="108"/>
      <c r="D59" s="31"/>
      <c r="E59" s="109"/>
    </row>
    <row r="60" customFormat="false" ht="15" hidden="false" customHeight="false" outlineLevel="0" collapsed="false">
      <c r="A60" s="88"/>
      <c r="B60" s="88"/>
      <c r="D60" s="2"/>
    </row>
    <row r="61" customFormat="false" ht="27" hidden="false" customHeight="true" outlineLevel="0" collapsed="false">
      <c r="A61" s="3"/>
      <c r="B61" s="33"/>
      <c r="C61" s="33"/>
      <c r="D61" s="33"/>
      <c r="E61" s="33"/>
    </row>
    <row r="62" customFormat="false" ht="17.35" hidden="false" customHeight="false" outlineLevel="0" collapsed="false">
      <c r="A62" s="51"/>
      <c r="B62" s="51"/>
      <c r="C62" s="4" t="s">
        <v>0</v>
      </c>
      <c r="D62" s="2"/>
    </row>
    <row r="63" customFormat="false" ht="15" hidden="false" customHeight="false" outlineLevel="0" collapsed="false">
      <c r="A63" s="3"/>
      <c r="B63" s="3"/>
      <c r="D63" s="2"/>
    </row>
    <row r="64" customFormat="false" ht="17.25" hidden="false" customHeight="false" outlineLevel="0" collapsed="false">
      <c r="A64" s="3"/>
      <c r="B64" s="3"/>
      <c r="C64" s="5" t="s">
        <v>62</v>
      </c>
      <c r="D64" s="2"/>
    </row>
    <row r="65" customFormat="false" ht="15" hidden="false" customHeight="false" outlineLevel="0" collapsed="false">
      <c r="A65" s="3"/>
      <c r="B65" s="3"/>
      <c r="D65" s="6" t="s">
        <v>187</v>
      </c>
    </row>
    <row r="66" customFormat="false" ht="15" hidden="false" customHeight="false" outlineLevel="0" collapsed="false">
      <c r="A66" s="3"/>
      <c r="B66" s="3"/>
      <c r="D66" s="2"/>
    </row>
    <row r="67" customFormat="false" ht="29.25" hidden="false" customHeight="true" outlineLevel="0" collapsed="false">
      <c r="A67" s="8" t="s">
        <v>3</v>
      </c>
      <c r="B67" s="8" t="s">
        <v>4</v>
      </c>
      <c r="C67" s="9" t="s">
        <v>5</v>
      </c>
      <c r="D67" s="10" t="s">
        <v>6</v>
      </c>
      <c r="E67" s="11" t="s">
        <v>7</v>
      </c>
    </row>
    <row r="68" customFormat="false" ht="15" hidden="false" customHeight="false" outlineLevel="0" collapsed="false">
      <c r="A68" s="110" t="n">
        <v>1</v>
      </c>
      <c r="B68" s="106" t="s">
        <v>223</v>
      </c>
      <c r="C68" s="14" t="n">
        <v>416500</v>
      </c>
      <c r="D68" s="61" t="n">
        <f aca="false">416500</f>
        <v>416500</v>
      </c>
      <c r="E68" s="36" t="n">
        <f aca="false">C68-D68</f>
        <v>0</v>
      </c>
    </row>
    <row r="69" customFormat="false" ht="41.25" hidden="false" customHeight="true" outlineLevel="0" collapsed="false">
      <c r="A69" s="79" t="n">
        <v>2</v>
      </c>
      <c r="B69" s="106" t="s">
        <v>224</v>
      </c>
      <c r="C69" s="14" t="n">
        <v>416500</v>
      </c>
      <c r="D69" s="61" t="n">
        <f aca="false">250000+166000</f>
        <v>416000</v>
      </c>
      <c r="E69" s="36" t="n">
        <f aca="false">C69-D69</f>
        <v>500</v>
      </c>
    </row>
    <row r="70" customFormat="false" ht="25.5" hidden="false" customHeight="true" outlineLevel="0" collapsed="false">
      <c r="A70" s="79" t="n">
        <v>3</v>
      </c>
      <c r="B70" s="106" t="s">
        <v>225</v>
      </c>
      <c r="C70" s="14" t="n">
        <v>416500</v>
      </c>
      <c r="D70" s="61" t="n">
        <f aca="false">50000+366500</f>
        <v>416500</v>
      </c>
      <c r="E70" s="36" t="n">
        <f aca="false">C70-D70</f>
        <v>0</v>
      </c>
    </row>
    <row r="71" customFormat="false" ht="46.25" hidden="false" customHeight="false" outlineLevel="0" collapsed="false">
      <c r="A71" s="110" t="n">
        <v>4</v>
      </c>
      <c r="B71" s="106" t="s">
        <v>226</v>
      </c>
      <c r="C71" s="14" t="n">
        <v>416500</v>
      </c>
      <c r="D71" s="61" t="n">
        <f aca="false">80000+50000+170000+116500</f>
        <v>416500</v>
      </c>
      <c r="E71" s="36" t="n">
        <f aca="false">C71-D71</f>
        <v>0</v>
      </c>
    </row>
    <row r="72" customFormat="false" ht="23.85" hidden="false" customHeight="false" outlineLevel="0" collapsed="false">
      <c r="A72" s="79" t="n">
        <v>5</v>
      </c>
      <c r="B72" s="106" t="s">
        <v>227</v>
      </c>
      <c r="C72" s="14" t="n">
        <v>416500</v>
      </c>
      <c r="D72" s="61" t="n">
        <f aca="false">316500+100000</f>
        <v>416500</v>
      </c>
      <c r="E72" s="36" t="n">
        <f aca="false">C72-D72</f>
        <v>0</v>
      </c>
    </row>
    <row r="73" customFormat="false" ht="23.85" hidden="false" customHeight="false" outlineLevel="0" collapsed="false">
      <c r="A73" s="79" t="n">
        <v>6</v>
      </c>
      <c r="B73" s="106" t="s">
        <v>228</v>
      </c>
      <c r="C73" s="14" t="n">
        <v>416500</v>
      </c>
      <c r="D73" s="61" t="n">
        <f aca="false">416000+500</f>
        <v>416500</v>
      </c>
      <c r="E73" s="36" t="n">
        <f aca="false">C73-D73</f>
        <v>0</v>
      </c>
    </row>
    <row r="74" customFormat="false" ht="46.25" hidden="false" customHeight="false" outlineLevel="0" collapsed="false">
      <c r="A74" s="110" t="n">
        <v>7</v>
      </c>
      <c r="B74" s="106" t="s">
        <v>229</v>
      </c>
      <c r="C74" s="14" t="n">
        <v>416500</v>
      </c>
      <c r="D74" s="61" t="n">
        <f aca="false">300000+116500</f>
        <v>416500</v>
      </c>
      <c r="E74" s="36" t="n">
        <f aca="false">C74-D74</f>
        <v>0</v>
      </c>
    </row>
    <row r="75" customFormat="false" ht="23.85" hidden="false" customHeight="false" outlineLevel="0" collapsed="false">
      <c r="A75" s="79" t="n">
        <v>8</v>
      </c>
      <c r="B75" s="106" t="s">
        <v>230</v>
      </c>
      <c r="C75" s="14" t="n">
        <v>416500</v>
      </c>
      <c r="D75" s="61" t="n">
        <f aca="false">150000+50000</f>
        <v>200000</v>
      </c>
      <c r="E75" s="36" t="n">
        <f aca="false">C75-D75</f>
        <v>216500</v>
      </c>
    </row>
    <row r="76" customFormat="false" ht="23.85" hidden="false" customHeight="false" outlineLevel="0" collapsed="false">
      <c r="A76" s="79" t="n">
        <v>9</v>
      </c>
      <c r="B76" s="106" t="s">
        <v>231</v>
      </c>
      <c r="C76" s="14" t="n">
        <v>416500</v>
      </c>
      <c r="D76" s="61" t="n">
        <f aca="false">216500+200000</f>
        <v>416500</v>
      </c>
      <c r="E76" s="36" t="n">
        <f aca="false">C76-D76</f>
        <v>0</v>
      </c>
    </row>
    <row r="77" customFormat="false" ht="15" hidden="false" customHeight="false" outlineLevel="0" collapsed="false">
      <c r="A77" s="110" t="n">
        <v>10</v>
      </c>
      <c r="B77" s="106" t="s">
        <v>232</v>
      </c>
      <c r="C77" s="14" t="n">
        <v>416500</v>
      </c>
      <c r="D77" s="61" t="n">
        <f aca="false">416500</f>
        <v>416500</v>
      </c>
      <c r="E77" s="36" t="n">
        <f aca="false">C77-D77</f>
        <v>0</v>
      </c>
    </row>
    <row r="78" customFormat="false" ht="23.85" hidden="false" customHeight="false" outlineLevel="0" collapsed="false">
      <c r="A78" s="79" t="n">
        <v>11</v>
      </c>
      <c r="B78" s="106" t="s">
        <v>233</v>
      </c>
      <c r="C78" s="14" t="n">
        <v>416500</v>
      </c>
      <c r="D78" s="61" t="n">
        <f aca="false">300000</f>
        <v>300000</v>
      </c>
      <c r="E78" s="36" t="n">
        <f aca="false">C78-D78</f>
        <v>116500</v>
      </c>
    </row>
    <row r="79" customFormat="false" ht="35.05" hidden="false" customHeight="false" outlineLevel="0" collapsed="false">
      <c r="A79" s="79" t="n">
        <v>12</v>
      </c>
      <c r="B79" s="106" t="s">
        <v>234</v>
      </c>
      <c r="C79" s="14" t="n">
        <v>416500</v>
      </c>
      <c r="D79" s="61" t="n">
        <f aca="false">250000</f>
        <v>250000</v>
      </c>
      <c r="E79" s="36" t="n">
        <f aca="false">C79-D79</f>
        <v>166500</v>
      </c>
    </row>
    <row r="80" customFormat="false" ht="35.05" hidden="false" customHeight="false" outlineLevel="0" collapsed="false">
      <c r="A80" s="110" t="n">
        <v>13</v>
      </c>
      <c r="B80" s="106" t="s">
        <v>235</v>
      </c>
      <c r="C80" s="14" t="n">
        <v>416500</v>
      </c>
      <c r="D80" s="61"/>
      <c r="E80" s="36" t="n">
        <f aca="false">C80-D80</f>
        <v>416500</v>
      </c>
    </row>
    <row r="81" customFormat="false" ht="46.25" hidden="false" customHeight="false" outlineLevel="0" collapsed="false">
      <c r="A81" s="79" t="n">
        <v>14</v>
      </c>
      <c r="B81" s="106" t="s">
        <v>236</v>
      </c>
      <c r="C81" s="14" t="n">
        <v>416500</v>
      </c>
      <c r="D81" s="61" t="n">
        <f aca="false">100000+100000+100000+116000+500</f>
        <v>416500</v>
      </c>
      <c r="E81" s="36" t="n">
        <f aca="false">C81-D81</f>
        <v>0</v>
      </c>
    </row>
    <row r="82" customFormat="false" ht="35.05" hidden="false" customHeight="false" outlineLevel="0" collapsed="false">
      <c r="A82" s="79" t="n">
        <v>15</v>
      </c>
      <c r="B82" s="106" t="s">
        <v>237</v>
      </c>
      <c r="C82" s="14" t="n">
        <v>416500</v>
      </c>
      <c r="D82" s="41" t="n">
        <f aca="false">416000+500</f>
        <v>416500</v>
      </c>
      <c r="E82" s="36" t="n">
        <f aca="false">C82-D82</f>
        <v>0</v>
      </c>
    </row>
    <row r="83" customFormat="false" ht="23.85" hidden="false" customHeight="false" outlineLevel="0" collapsed="false">
      <c r="A83" s="110" t="n">
        <v>16</v>
      </c>
      <c r="B83" s="106" t="s">
        <v>238</v>
      </c>
      <c r="C83" s="14" t="n">
        <v>416500</v>
      </c>
      <c r="D83" s="61" t="n">
        <f aca="false">300000+116000</f>
        <v>416000</v>
      </c>
      <c r="E83" s="36" t="n">
        <f aca="false">C83-D83</f>
        <v>500</v>
      </c>
    </row>
    <row r="84" customFormat="false" ht="23.85" hidden="false" customHeight="false" outlineLevel="0" collapsed="false">
      <c r="A84" s="79" t="n">
        <v>17</v>
      </c>
      <c r="B84" s="106" t="s">
        <v>239</v>
      </c>
      <c r="C84" s="14" t="n">
        <v>416500</v>
      </c>
      <c r="D84" s="61" t="n">
        <f aca="false">100000+150000+166500</f>
        <v>416500</v>
      </c>
      <c r="E84" s="36" t="n">
        <f aca="false">C84-D84</f>
        <v>0</v>
      </c>
    </row>
    <row r="85" customFormat="false" ht="23.85" hidden="false" customHeight="false" outlineLevel="0" collapsed="false">
      <c r="A85" s="79" t="n">
        <v>18</v>
      </c>
      <c r="B85" s="106" t="s">
        <v>240</v>
      </c>
      <c r="C85" s="14" t="n">
        <v>416500</v>
      </c>
      <c r="D85" s="61" t="n">
        <f aca="false">210000+140000+66500</f>
        <v>416500</v>
      </c>
      <c r="E85" s="36" t="n">
        <f aca="false">C85-D85</f>
        <v>0</v>
      </c>
    </row>
    <row r="86" customFormat="false" ht="15" hidden="false" customHeight="false" outlineLevel="0" collapsed="false">
      <c r="A86" s="44"/>
      <c r="B86" s="111"/>
      <c r="C86" s="27" t="n">
        <f aca="false">SUM(C68:C85)</f>
        <v>7497000</v>
      </c>
      <c r="D86" s="28" t="n">
        <f aca="false">SUM(D68:D85)</f>
        <v>6580000</v>
      </c>
      <c r="E86" s="46" t="n">
        <f aca="false">SUM(E68:E85)</f>
        <v>917000</v>
      </c>
    </row>
    <row r="87" customFormat="false" ht="15" hidden="false" customHeight="false" outlineLevel="0" collapsed="false">
      <c r="C87" s="108"/>
      <c r="D87" s="31"/>
      <c r="E87" s="109"/>
    </row>
    <row r="88" customFormat="false" ht="15" hidden="false" customHeight="false" outlineLevel="0" collapsed="false">
      <c r="C88" s="108"/>
      <c r="D88" s="31"/>
      <c r="E88" s="109"/>
    </row>
    <row r="89" customFormat="false" ht="15" hidden="false" customHeight="false" outlineLevel="0" collapsed="false">
      <c r="C89" s="108"/>
      <c r="D89" s="31"/>
      <c r="E89" s="109"/>
    </row>
    <row r="90" customFormat="false" ht="15" hidden="false" customHeight="false" outlineLevel="0" collapsed="false">
      <c r="D90" s="2"/>
    </row>
    <row r="91" customFormat="false" ht="15" hidden="false" customHeight="false" outlineLevel="0" collapsed="false">
      <c r="D91" s="2"/>
    </row>
    <row r="92" customFormat="false" ht="15" hidden="false" customHeight="false" outlineLevel="0" collapsed="false">
      <c r="A92" s="3"/>
      <c r="B92" s="3"/>
      <c r="D92" s="2"/>
    </row>
    <row r="93" customFormat="false" ht="15" hidden="false" customHeight="false" outlineLevel="0" collapsed="false">
      <c r="A93" s="3"/>
      <c r="B93" s="3"/>
      <c r="D93" s="2"/>
    </row>
    <row r="94" customFormat="false" ht="17.25" hidden="false" customHeight="false" outlineLevel="0" collapsed="false">
      <c r="A94" s="3"/>
      <c r="B94" s="66" t="s">
        <v>241</v>
      </c>
      <c r="C94" s="66"/>
      <c r="D94" s="66"/>
      <c r="E94" s="66"/>
    </row>
    <row r="95" customFormat="false" ht="15" hidden="false" customHeight="false" outlineLevel="0" collapsed="false">
      <c r="A95" s="3"/>
      <c r="B95" s="3"/>
      <c r="D95" s="2"/>
      <c r="E95" s="67" t="s">
        <v>187</v>
      </c>
    </row>
    <row r="96" customFormat="false" ht="15" hidden="false" customHeight="false" outlineLevel="0" collapsed="false">
      <c r="A96" s="3"/>
      <c r="B96" s="3"/>
      <c r="D96" s="2"/>
    </row>
    <row r="97" customFormat="false" ht="15" hidden="false" customHeight="false" outlineLevel="0" collapsed="false">
      <c r="A97" s="7" t="s">
        <v>3</v>
      </c>
      <c r="B97" s="8" t="s">
        <v>4</v>
      </c>
      <c r="C97" s="9" t="s">
        <v>5</v>
      </c>
      <c r="D97" s="10" t="s">
        <v>6</v>
      </c>
      <c r="E97" s="11" t="s">
        <v>7</v>
      </c>
    </row>
    <row r="98" customFormat="false" ht="15" hidden="false" customHeight="false" outlineLevel="0" collapsed="false">
      <c r="A98" s="68" t="n">
        <v>1</v>
      </c>
      <c r="B98" s="106" t="s">
        <v>242</v>
      </c>
      <c r="C98" s="35" t="n">
        <v>416500</v>
      </c>
      <c r="D98" s="15" t="n">
        <f aca="false">216500</f>
        <v>216500</v>
      </c>
      <c r="E98" s="36" t="n">
        <f aca="false">C98-D98</f>
        <v>200000</v>
      </c>
    </row>
    <row r="99" customFormat="false" ht="15" hidden="false" customHeight="false" outlineLevel="0" collapsed="false">
      <c r="A99" s="68" t="n">
        <v>2</v>
      </c>
      <c r="B99" s="106" t="s">
        <v>243</v>
      </c>
      <c r="C99" s="61" t="n">
        <v>416500</v>
      </c>
      <c r="D99" s="72" t="n">
        <f aca="false">200000+216500</f>
        <v>416500</v>
      </c>
      <c r="E99" s="16" t="n">
        <f aca="false">C99-D99</f>
        <v>0</v>
      </c>
    </row>
    <row r="100" customFormat="false" ht="15" hidden="false" customHeight="false" outlineLevel="0" collapsed="false">
      <c r="A100" s="68" t="n">
        <v>3</v>
      </c>
      <c r="B100" s="106" t="s">
        <v>244</v>
      </c>
      <c r="C100" s="35" t="n">
        <v>416500</v>
      </c>
      <c r="D100" s="15" t="n">
        <f aca="false">250000+166000</f>
        <v>416000</v>
      </c>
      <c r="E100" s="36" t="n">
        <f aca="false">C100-D100</f>
        <v>500</v>
      </c>
    </row>
    <row r="101" customFormat="false" ht="15" hidden="false" customHeight="false" outlineLevel="0" collapsed="false">
      <c r="A101" s="68" t="n">
        <v>4</v>
      </c>
      <c r="B101" s="106" t="s">
        <v>245</v>
      </c>
      <c r="C101" s="61" t="n">
        <v>416500</v>
      </c>
      <c r="D101" s="61" t="n">
        <f aca="false">116000+100000+200500</f>
        <v>416500</v>
      </c>
      <c r="E101" s="16" t="n">
        <f aca="false">C101-D101</f>
        <v>0</v>
      </c>
    </row>
    <row r="102" customFormat="false" ht="15" hidden="false" customHeight="false" outlineLevel="0" collapsed="false">
      <c r="A102" s="68" t="n">
        <v>5</v>
      </c>
      <c r="B102" s="106" t="s">
        <v>246</v>
      </c>
      <c r="C102" s="35" t="n">
        <v>416500</v>
      </c>
      <c r="D102" s="40" t="n">
        <f aca="false">200000+216500</f>
        <v>416500</v>
      </c>
      <c r="E102" s="36" t="n">
        <f aca="false">C102-D102</f>
        <v>0</v>
      </c>
    </row>
    <row r="103" customFormat="false" ht="15" hidden="false" customHeight="false" outlineLevel="0" collapsed="false">
      <c r="A103" s="68" t="n">
        <v>6</v>
      </c>
      <c r="B103" s="106" t="s">
        <v>247</v>
      </c>
      <c r="C103" s="35" t="n">
        <v>416500</v>
      </c>
      <c r="D103" s="41" t="n">
        <f aca="false">416000+500</f>
        <v>416500</v>
      </c>
      <c r="E103" s="36" t="n">
        <f aca="false">C103-D103</f>
        <v>0</v>
      </c>
    </row>
    <row r="104" customFormat="false" ht="32.25" hidden="false" customHeight="true" outlineLevel="0" collapsed="false">
      <c r="A104" s="68" t="n">
        <v>7</v>
      </c>
      <c r="B104" s="106" t="s">
        <v>248</v>
      </c>
      <c r="C104" s="35" t="n">
        <v>416500</v>
      </c>
      <c r="D104" s="41"/>
      <c r="E104" s="36" t="n">
        <f aca="false">C104-D104</f>
        <v>416500</v>
      </c>
    </row>
    <row r="105" customFormat="false" ht="15" hidden="false" customHeight="false" outlineLevel="0" collapsed="false">
      <c r="A105" s="68" t="n">
        <v>8</v>
      </c>
      <c r="B105" s="106" t="s">
        <v>249</v>
      </c>
      <c r="C105" s="35" t="n">
        <v>416500</v>
      </c>
      <c r="D105" s="41" t="n">
        <f aca="false">100000+116000+200500</f>
        <v>416500</v>
      </c>
      <c r="E105" s="36" t="n">
        <f aca="false">C105-D105</f>
        <v>0</v>
      </c>
    </row>
    <row r="106" customFormat="false" ht="15" hidden="false" customHeight="false" outlineLevel="0" collapsed="false">
      <c r="A106" s="68" t="n">
        <v>9</v>
      </c>
      <c r="B106" s="106" t="s">
        <v>250</v>
      </c>
      <c r="C106" s="61" t="n">
        <v>416500</v>
      </c>
      <c r="D106" s="61" t="n">
        <f aca="false">208000+208000+500</f>
        <v>416500</v>
      </c>
      <c r="E106" s="16" t="n">
        <f aca="false">C106-D106</f>
        <v>0</v>
      </c>
    </row>
    <row r="107" customFormat="false" ht="15" hidden="false" customHeight="false" outlineLevel="0" collapsed="false">
      <c r="A107" s="68" t="n">
        <v>10</v>
      </c>
      <c r="B107" s="106" t="s">
        <v>251</v>
      </c>
      <c r="C107" s="35" t="n">
        <v>416500</v>
      </c>
      <c r="D107" s="41" t="n">
        <f aca="false">216500+100000</f>
        <v>316500</v>
      </c>
      <c r="E107" s="36" t="n">
        <f aca="false">C107-D107</f>
        <v>100000</v>
      </c>
    </row>
    <row r="108" customFormat="false" ht="15" hidden="false" customHeight="false" outlineLevel="0" collapsed="false">
      <c r="A108" s="68" t="n">
        <v>11</v>
      </c>
      <c r="B108" s="106" t="s">
        <v>252</v>
      </c>
      <c r="C108" s="35" t="n">
        <v>416500</v>
      </c>
      <c r="D108" s="41" t="n">
        <f aca="false">216000+200000</f>
        <v>416000</v>
      </c>
      <c r="E108" s="36" t="n">
        <f aca="false">C108-D108</f>
        <v>500</v>
      </c>
    </row>
    <row r="109" customFormat="false" ht="15" hidden="false" customHeight="false" outlineLevel="0" collapsed="false">
      <c r="A109" s="68" t="n">
        <v>12</v>
      </c>
      <c r="B109" s="106" t="s">
        <v>253</v>
      </c>
      <c r="C109" s="61" t="n">
        <v>416500</v>
      </c>
      <c r="D109" s="41"/>
      <c r="E109" s="16" t="n">
        <f aca="false">C109-D109</f>
        <v>416500</v>
      </c>
    </row>
    <row r="110" customFormat="false" ht="15" hidden="false" customHeight="false" outlineLevel="0" collapsed="false">
      <c r="A110" s="44"/>
      <c r="B110" s="112"/>
      <c r="C110" s="27" t="n">
        <f aca="false">SUM(C98:C109)</f>
        <v>4998000</v>
      </c>
      <c r="D110" s="28" t="n">
        <f aca="false">SUM(D98:D109)</f>
        <v>3864000</v>
      </c>
      <c r="E110" s="46" t="n">
        <f aca="false">C110-D110</f>
        <v>1134000</v>
      </c>
    </row>
    <row r="111" customFormat="false" ht="15" hidden="false" customHeight="false" outlineLevel="0" collapsed="false">
      <c r="C111" s="108"/>
      <c r="D111" s="31"/>
      <c r="E111" s="109"/>
    </row>
    <row r="112" customFormat="false" ht="15" hidden="false" customHeight="false" outlineLevel="0" collapsed="false">
      <c r="C112" s="108"/>
      <c r="D112" s="31"/>
      <c r="E112" s="109"/>
    </row>
    <row r="113" customFormat="false" ht="15" hidden="false" customHeight="false" outlineLevel="0" collapsed="false">
      <c r="C113" s="108"/>
      <c r="D113" s="31"/>
      <c r="E113" s="109"/>
    </row>
    <row r="114" customFormat="false" ht="24" hidden="false" customHeight="true" outlineLevel="0" collapsed="false">
      <c r="A114" s="3"/>
      <c r="B114" s="33" t="s">
        <v>0</v>
      </c>
      <c r="C114" s="33"/>
      <c r="D114" s="33"/>
      <c r="E114" s="33"/>
    </row>
    <row r="115" customFormat="false" ht="17.25" hidden="false" customHeight="false" outlineLevel="0" collapsed="false">
      <c r="A115" s="3"/>
      <c r="B115" s="3"/>
      <c r="C115" s="5" t="s">
        <v>254</v>
      </c>
      <c r="D115" s="2"/>
    </row>
    <row r="116" customFormat="false" ht="15" hidden="false" customHeight="false" outlineLevel="0" collapsed="false">
      <c r="A116" s="3"/>
      <c r="B116" s="3"/>
      <c r="D116" s="6" t="s">
        <v>187</v>
      </c>
    </row>
    <row r="117" customFormat="false" ht="15" hidden="false" customHeight="false" outlineLevel="0" collapsed="false">
      <c r="A117" s="3"/>
      <c r="B117" s="3"/>
      <c r="D117" s="2"/>
    </row>
    <row r="118" customFormat="false" ht="15" hidden="false" customHeight="false" outlineLevel="0" collapsed="false">
      <c r="A118" s="8" t="s">
        <v>3</v>
      </c>
      <c r="B118" s="8" t="s">
        <v>4</v>
      </c>
      <c r="C118" s="9" t="s">
        <v>5</v>
      </c>
      <c r="D118" s="10" t="s">
        <v>6</v>
      </c>
      <c r="E118" s="11" t="s">
        <v>7</v>
      </c>
    </row>
    <row r="119" customFormat="false" ht="15" hidden="false" customHeight="false" outlineLevel="0" collapsed="false">
      <c r="A119" s="113" t="n">
        <v>1</v>
      </c>
      <c r="B119" s="106" t="s">
        <v>255</v>
      </c>
      <c r="C119" s="14" t="n">
        <v>416500</v>
      </c>
      <c r="D119" s="41" t="n">
        <f aca="false">416700</f>
        <v>416700</v>
      </c>
      <c r="E119" s="36" t="n">
        <f aca="false">C119-D119</f>
        <v>-200</v>
      </c>
    </row>
    <row r="120" customFormat="false" ht="15" hidden="false" customHeight="false" outlineLevel="0" collapsed="false">
      <c r="A120" s="79" t="n">
        <v>2</v>
      </c>
      <c r="B120" s="106" t="s">
        <v>256</v>
      </c>
      <c r="C120" s="14" t="n">
        <v>416500</v>
      </c>
      <c r="D120" s="61" t="n">
        <f aca="false">316500+100000</f>
        <v>416500</v>
      </c>
      <c r="E120" s="36" t="n">
        <f aca="false">C120-D120</f>
        <v>0</v>
      </c>
    </row>
    <row r="121" customFormat="false" ht="15" hidden="false" customHeight="false" outlineLevel="0" collapsed="false">
      <c r="A121" s="79" t="n">
        <v>3</v>
      </c>
      <c r="B121" s="106" t="s">
        <v>257</v>
      </c>
      <c r="C121" s="14" t="n">
        <v>416500</v>
      </c>
      <c r="D121" s="61" t="n">
        <f aca="false">416500</f>
        <v>416500</v>
      </c>
      <c r="E121" s="36" t="n">
        <f aca="false">C121-D121</f>
        <v>0</v>
      </c>
    </row>
    <row r="122" customFormat="false" ht="23.85" hidden="false" customHeight="false" outlineLevel="0" collapsed="false">
      <c r="A122" s="113" t="n">
        <v>4</v>
      </c>
      <c r="B122" s="106" t="s">
        <v>258</v>
      </c>
      <c r="C122" s="14" t="n">
        <v>416500</v>
      </c>
      <c r="D122" s="61" t="n">
        <f aca="false">190000+10000+16500+170000+30000</f>
        <v>416500</v>
      </c>
      <c r="E122" s="36" t="n">
        <f aca="false">C122-D122</f>
        <v>0</v>
      </c>
    </row>
    <row r="123" customFormat="false" ht="35.05" hidden="false" customHeight="false" outlineLevel="0" collapsed="false">
      <c r="A123" s="79" t="n">
        <v>5</v>
      </c>
      <c r="B123" s="106" t="s">
        <v>259</v>
      </c>
      <c r="C123" s="14" t="n">
        <v>416500</v>
      </c>
      <c r="D123" s="61" t="n">
        <f aca="false">216000+180500+20000</f>
        <v>416500</v>
      </c>
      <c r="E123" s="36" t="n">
        <f aca="false">C123-D123</f>
        <v>0</v>
      </c>
    </row>
    <row r="124" customFormat="false" ht="23.85" hidden="false" customHeight="false" outlineLevel="0" collapsed="false">
      <c r="A124" s="79" t="n">
        <v>6</v>
      </c>
      <c r="B124" s="106" t="s">
        <v>260</v>
      </c>
      <c r="C124" s="14" t="n">
        <v>416500</v>
      </c>
      <c r="D124" s="61" t="n">
        <f aca="false">316500+100000</f>
        <v>416500</v>
      </c>
      <c r="E124" s="36" t="n">
        <f aca="false">C124-D124</f>
        <v>0</v>
      </c>
    </row>
    <row r="125" customFormat="false" ht="46.25" hidden="false" customHeight="false" outlineLevel="0" collapsed="false">
      <c r="A125" s="113" t="n">
        <v>7</v>
      </c>
      <c r="B125" s="106" t="s">
        <v>261</v>
      </c>
      <c r="C125" s="14" t="n">
        <v>416500</v>
      </c>
      <c r="D125" s="61" t="n">
        <f aca="false">330000+86500</f>
        <v>416500</v>
      </c>
      <c r="E125" s="36" t="n">
        <f aca="false">C125-D125</f>
        <v>0</v>
      </c>
    </row>
    <row r="126" customFormat="false" ht="35.05" hidden="false" customHeight="false" outlineLevel="0" collapsed="false">
      <c r="A126" s="79" t="n">
        <v>8</v>
      </c>
      <c r="B126" s="106" t="s">
        <v>262</v>
      </c>
      <c r="C126" s="14" t="n">
        <v>416500</v>
      </c>
      <c r="D126" s="41" t="n">
        <f aca="false">316500+100000</f>
        <v>416500</v>
      </c>
      <c r="E126" s="36" t="n">
        <f aca="false">C126-D126</f>
        <v>0</v>
      </c>
    </row>
    <row r="127" customFormat="false" ht="23.85" hidden="false" customHeight="false" outlineLevel="0" collapsed="false">
      <c r="A127" s="79" t="n">
        <v>9</v>
      </c>
      <c r="B127" s="106" t="s">
        <v>263</v>
      </c>
      <c r="C127" s="14" t="n">
        <v>416500</v>
      </c>
      <c r="D127" s="61" t="n">
        <f aca="false">210000+186500+20000</f>
        <v>416500</v>
      </c>
      <c r="E127" s="36" t="n">
        <f aca="false">C127-D127</f>
        <v>0</v>
      </c>
    </row>
    <row r="128" customFormat="false" ht="23.85" hidden="false" customHeight="false" outlineLevel="0" collapsed="false">
      <c r="A128" s="113" t="n">
        <v>10</v>
      </c>
      <c r="B128" s="106" t="s">
        <v>264</v>
      </c>
      <c r="C128" s="14" t="n">
        <v>416500</v>
      </c>
      <c r="D128" s="61" t="n">
        <f aca="false">320000+96500</f>
        <v>416500</v>
      </c>
      <c r="E128" s="36" t="n">
        <f aca="false">C128-D128</f>
        <v>0</v>
      </c>
    </row>
    <row r="129" customFormat="false" ht="46.25" hidden="false" customHeight="false" outlineLevel="0" collapsed="false">
      <c r="A129" s="79" t="n">
        <v>11</v>
      </c>
      <c r="B129" s="106" t="s">
        <v>265</v>
      </c>
      <c r="C129" s="14" t="n">
        <v>416500</v>
      </c>
      <c r="D129" s="61" t="n">
        <f aca="false">416500</f>
        <v>416500</v>
      </c>
      <c r="E129" s="36" t="n">
        <f aca="false">C129-D129</f>
        <v>0</v>
      </c>
    </row>
    <row r="130" customFormat="false" ht="23.85" hidden="false" customHeight="false" outlineLevel="0" collapsed="false">
      <c r="A130" s="79" t="n">
        <v>12</v>
      </c>
      <c r="B130" s="106" t="s">
        <v>266</v>
      </c>
      <c r="C130" s="14" t="n">
        <v>416500</v>
      </c>
      <c r="D130" s="61" t="n">
        <f aca="false">316500+100000</f>
        <v>416500</v>
      </c>
      <c r="E130" s="36" t="n">
        <f aca="false">C130-D130</f>
        <v>0</v>
      </c>
    </row>
    <row r="131" customFormat="false" ht="23.85" hidden="false" customHeight="false" outlineLevel="0" collapsed="false">
      <c r="A131" s="113" t="n">
        <v>13</v>
      </c>
      <c r="B131" s="106" t="s">
        <v>267</v>
      </c>
      <c r="C131" s="35" t="n">
        <v>416500</v>
      </c>
      <c r="D131" s="41" t="n">
        <f aca="false">316500+100000</f>
        <v>416500</v>
      </c>
      <c r="E131" s="36" t="n">
        <f aca="false">C131-D131</f>
        <v>0</v>
      </c>
    </row>
    <row r="132" customFormat="false" ht="15" hidden="false" customHeight="false" outlineLevel="0" collapsed="false">
      <c r="A132" s="79" t="n">
        <v>14</v>
      </c>
      <c r="B132" s="106" t="s">
        <v>268</v>
      </c>
      <c r="C132" s="14" t="n">
        <v>416500</v>
      </c>
      <c r="D132" s="61" t="n">
        <f aca="false">300000+96500+20000</f>
        <v>416500</v>
      </c>
      <c r="E132" s="36" t="n">
        <f aca="false">C132-D132</f>
        <v>0</v>
      </c>
    </row>
    <row r="133" customFormat="false" ht="15" hidden="false" customHeight="false" outlineLevel="0" collapsed="false">
      <c r="A133" s="44"/>
      <c r="B133" s="111"/>
      <c r="C133" s="27" t="n">
        <f aca="false">SUM(C119:C132)</f>
        <v>5831000</v>
      </c>
      <c r="D133" s="28" t="n">
        <f aca="false">SUM(D119:D132)</f>
        <v>5831200</v>
      </c>
      <c r="E133" s="46" t="n">
        <f aca="false">SUM(E119:E132)</f>
        <v>-200</v>
      </c>
    </row>
    <row r="134" customFormat="false" ht="15" hidden="false" customHeight="false" outlineLevel="0" collapsed="false">
      <c r="C134" s="108"/>
      <c r="D134" s="31"/>
      <c r="E134" s="109"/>
    </row>
    <row r="135" customFormat="false" ht="15" hidden="false" customHeight="false" outlineLevel="0" collapsed="false">
      <c r="C135" s="108"/>
      <c r="D135" s="31"/>
      <c r="E135" s="109"/>
    </row>
    <row r="136" customFormat="false" ht="15" hidden="false" customHeight="false" outlineLevel="0" collapsed="false">
      <c r="C136" s="108"/>
      <c r="D136" s="31"/>
      <c r="E136" s="109"/>
    </row>
    <row r="137" customFormat="false" ht="15" hidden="false" customHeight="false" outlineLevel="0" collapsed="false">
      <c r="D137" s="2"/>
    </row>
    <row r="138" customFormat="false" ht="15" hidden="false" customHeight="false" outlineLevel="0" collapsed="false">
      <c r="D138" s="2"/>
    </row>
    <row r="139" customFormat="false" ht="15" hidden="false" customHeight="false" outlineLevel="0" collapsed="false">
      <c r="A139" s="3"/>
      <c r="B139" s="3"/>
      <c r="D139" s="2"/>
    </row>
    <row r="140" customFormat="false" ht="15" hidden="false" customHeight="false" outlineLevel="0" collapsed="false">
      <c r="A140" s="3"/>
      <c r="B140" s="3"/>
      <c r="D140" s="2"/>
    </row>
    <row r="141" customFormat="false" ht="15" hidden="false" customHeight="false" outlineLevel="0" collapsed="false">
      <c r="A141" s="3"/>
      <c r="B141" s="66"/>
      <c r="C141" s="66"/>
      <c r="D141" s="66"/>
      <c r="E141" s="66"/>
    </row>
    <row r="142" customFormat="false" ht="17.55" hidden="false" customHeight="false" outlineLevel="0" collapsed="false">
      <c r="A142" s="3"/>
      <c r="B142" s="3"/>
      <c r="C142" s="5" t="s">
        <v>269</v>
      </c>
      <c r="D142" s="2"/>
      <c r="E142" s="67" t="s">
        <v>187</v>
      </c>
    </row>
    <row r="143" customFormat="false" ht="15" hidden="false" customHeight="false" outlineLevel="0" collapsed="false">
      <c r="A143" s="3"/>
      <c r="B143" s="3"/>
      <c r="D143" s="2"/>
    </row>
    <row r="144" customFormat="false" ht="15" hidden="false" customHeight="false" outlineLevel="0" collapsed="false">
      <c r="A144" s="7" t="s">
        <v>3</v>
      </c>
      <c r="B144" s="8" t="s">
        <v>4</v>
      </c>
      <c r="C144" s="9" t="s">
        <v>5</v>
      </c>
      <c r="D144" s="10" t="s">
        <v>6</v>
      </c>
      <c r="E144" s="11" t="s">
        <v>7</v>
      </c>
    </row>
    <row r="145" customFormat="false" ht="35.05" hidden="false" customHeight="false" outlineLevel="0" collapsed="false">
      <c r="A145" s="68" t="n">
        <v>1</v>
      </c>
      <c r="B145" s="106" t="s">
        <v>270</v>
      </c>
      <c r="C145" s="35" t="n">
        <v>416500</v>
      </c>
      <c r="D145" s="15" t="n">
        <f aca="false">70000+150000+163000+33500</f>
        <v>416500</v>
      </c>
      <c r="E145" s="36" t="n">
        <f aca="false">C145-D145</f>
        <v>0</v>
      </c>
    </row>
    <row r="146" customFormat="false" ht="15" hidden="false" customHeight="false" outlineLevel="0" collapsed="false">
      <c r="A146" s="68" t="n">
        <v>2</v>
      </c>
      <c r="B146" s="106" t="s">
        <v>271</v>
      </c>
      <c r="C146" s="35" t="n">
        <v>416500</v>
      </c>
      <c r="D146" s="15" t="n">
        <f aca="false">255000+161000</f>
        <v>416000</v>
      </c>
      <c r="E146" s="36" t="n">
        <f aca="false">C146-D146</f>
        <v>500</v>
      </c>
    </row>
    <row r="147" customFormat="false" ht="23.85" hidden="false" customHeight="false" outlineLevel="0" collapsed="false">
      <c r="A147" s="68" t="n">
        <v>3</v>
      </c>
      <c r="B147" s="106" t="s">
        <v>272</v>
      </c>
      <c r="C147" s="35" t="n">
        <v>416500</v>
      </c>
      <c r="D147" s="40"/>
      <c r="E147" s="36" t="n">
        <f aca="false">C147-D147</f>
        <v>416500</v>
      </c>
    </row>
    <row r="148" customFormat="false" ht="23.85" hidden="false" customHeight="false" outlineLevel="0" collapsed="false">
      <c r="A148" s="68" t="n">
        <v>4</v>
      </c>
      <c r="B148" s="106" t="s">
        <v>273</v>
      </c>
      <c r="C148" s="61" t="n">
        <v>416500</v>
      </c>
      <c r="D148" s="61" t="n">
        <f aca="false">150000+70000</f>
        <v>220000</v>
      </c>
      <c r="E148" s="16" t="n">
        <f aca="false">C148-D148</f>
        <v>196500</v>
      </c>
    </row>
    <row r="149" customFormat="false" ht="35.05" hidden="false" customHeight="false" outlineLevel="0" collapsed="false">
      <c r="A149" s="68" t="n">
        <v>5</v>
      </c>
      <c r="B149" s="106" t="s">
        <v>274</v>
      </c>
      <c r="C149" s="35" t="n">
        <v>416500</v>
      </c>
      <c r="D149" s="41" t="n">
        <f aca="false">216000+100500+100000</f>
        <v>416500</v>
      </c>
      <c r="E149" s="36" t="n">
        <f aca="false">C149-D149</f>
        <v>0</v>
      </c>
    </row>
    <row r="150" customFormat="false" ht="23.85" hidden="false" customHeight="false" outlineLevel="0" collapsed="false">
      <c r="A150" s="68" t="n">
        <v>6</v>
      </c>
      <c r="B150" s="106" t="s">
        <v>275</v>
      </c>
      <c r="C150" s="35" t="n">
        <v>416500</v>
      </c>
      <c r="D150" s="41" t="n">
        <f aca="false">216500+200000</f>
        <v>416500</v>
      </c>
      <c r="E150" s="36" t="n">
        <f aca="false">C150-D150</f>
        <v>0</v>
      </c>
    </row>
    <row r="151" customFormat="false" ht="23.85" hidden="false" customHeight="false" outlineLevel="0" collapsed="false">
      <c r="A151" s="68" t="n">
        <v>7</v>
      </c>
      <c r="B151" s="106" t="s">
        <v>276</v>
      </c>
      <c r="C151" s="61" t="n">
        <v>416500</v>
      </c>
      <c r="D151" s="61" t="n">
        <f aca="false">315000+101500</f>
        <v>416500</v>
      </c>
      <c r="E151" s="16" t="n">
        <f aca="false">C151-D151</f>
        <v>0</v>
      </c>
    </row>
    <row r="152" customFormat="false" ht="15" hidden="false" customHeight="false" outlineLevel="0" collapsed="false">
      <c r="A152" s="68" t="n">
        <v>8</v>
      </c>
      <c r="B152" s="106" t="s">
        <v>277</v>
      </c>
      <c r="C152" s="35" t="n">
        <v>416500</v>
      </c>
      <c r="D152" s="41" t="n">
        <f aca="false">200000+1500</f>
        <v>201500</v>
      </c>
      <c r="E152" s="36" t="n">
        <f aca="false">C152-D152</f>
        <v>215000</v>
      </c>
    </row>
    <row r="153" customFormat="false" ht="23.85" hidden="false" customHeight="false" outlineLevel="0" collapsed="false">
      <c r="A153" s="68" t="n">
        <v>9</v>
      </c>
      <c r="B153" s="106" t="s">
        <v>278</v>
      </c>
      <c r="C153" s="35" t="n">
        <v>416500</v>
      </c>
      <c r="D153" s="41"/>
      <c r="E153" s="36" t="n">
        <f aca="false">C153-D153</f>
        <v>416500</v>
      </c>
    </row>
    <row r="154" customFormat="false" ht="15" hidden="false" customHeight="false" outlineLevel="0" collapsed="false">
      <c r="A154" s="44"/>
      <c r="B154" s="112"/>
      <c r="C154" s="27" t="n">
        <f aca="false">SUM(C145:C153)</f>
        <v>3748500</v>
      </c>
      <c r="D154" s="28" t="n">
        <f aca="false">SUM(D145:D153)</f>
        <v>2503500</v>
      </c>
      <c r="E154" s="46" t="n">
        <f aca="false">C154-D154</f>
        <v>1245000</v>
      </c>
    </row>
    <row r="155" customFormat="false" ht="15" hidden="false" customHeight="false" outlineLevel="0" collapsed="false">
      <c r="C155" s="108"/>
      <c r="D155" s="31"/>
      <c r="E155" s="109"/>
    </row>
    <row r="156" customFormat="false" ht="15" hidden="false" customHeight="false" outlineLevel="0" collapsed="false">
      <c r="C156" s="108"/>
      <c r="D156" s="31"/>
      <c r="E156" s="109"/>
    </row>
    <row r="157" customFormat="false" ht="15" hidden="false" customHeight="false" outlineLevel="0" collapsed="false">
      <c r="C157" s="108"/>
      <c r="D157" s="31"/>
      <c r="E157" s="109"/>
    </row>
    <row r="158" customFormat="false" ht="15" hidden="false" customHeight="false" outlineLevel="0" collapsed="false">
      <c r="C158" s="108"/>
      <c r="D158" s="31"/>
      <c r="E158" s="109"/>
    </row>
    <row r="159" customFormat="false" ht="17.35" hidden="false" customHeight="false" outlineLevel="0" collapsed="false">
      <c r="C159" s="4" t="s">
        <v>0</v>
      </c>
      <c r="D159" s="2"/>
    </row>
    <row r="160" customFormat="false" ht="15" hidden="false" customHeight="false" outlineLevel="0" collapsed="false">
      <c r="A160" s="3"/>
      <c r="B160" s="3"/>
      <c r="D160" s="2"/>
    </row>
    <row r="161" customFormat="false" ht="17.55" hidden="false" customHeight="false" outlineLevel="0" collapsed="false">
      <c r="A161" s="3"/>
      <c r="B161" s="3"/>
      <c r="C161" s="5" t="s">
        <v>279</v>
      </c>
      <c r="D161" s="2"/>
    </row>
    <row r="162" customFormat="false" ht="15" hidden="false" customHeight="false" outlineLevel="0" collapsed="false">
      <c r="A162" s="3"/>
      <c r="B162" s="66"/>
      <c r="C162" s="66"/>
      <c r="D162" s="66"/>
      <c r="E162" s="66"/>
    </row>
    <row r="163" customFormat="false" ht="15" hidden="false" customHeight="false" outlineLevel="0" collapsed="false">
      <c r="A163" s="3"/>
      <c r="B163" s="3"/>
      <c r="D163" s="2"/>
      <c r="E163" s="67" t="s">
        <v>187</v>
      </c>
    </row>
    <row r="164" customFormat="false" ht="15" hidden="false" customHeight="false" outlineLevel="0" collapsed="false">
      <c r="A164" s="3"/>
      <c r="B164" s="3"/>
      <c r="D164" s="2"/>
    </row>
    <row r="165" customFormat="false" ht="15" hidden="false" customHeight="false" outlineLevel="0" collapsed="false">
      <c r="A165" s="7" t="s">
        <v>3</v>
      </c>
      <c r="B165" s="8" t="s">
        <v>4</v>
      </c>
      <c r="C165" s="9" t="s">
        <v>5</v>
      </c>
      <c r="D165" s="10" t="s">
        <v>6</v>
      </c>
      <c r="E165" s="11" t="s">
        <v>7</v>
      </c>
    </row>
    <row r="166" customFormat="false" ht="15" hidden="false" customHeight="false" outlineLevel="0" collapsed="false">
      <c r="A166" s="12" t="n">
        <v>1</v>
      </c>
      <c r="B166" s="106" t="s">
        <v>280</v>
      </c>
      <c r="C166" s="35" t="n">
        <v>416500</v>
      </c>
      <c r="D166" s="15" t="n">
        <f aca="false">216500+200000</f>
        <v>416500</v>
      </c>
      <c r="E166" s="36" t="n">
        <f aca="false">C166-D166</f>
        <v>0</v>
      </c>
    </row>
    <row r="167" customFormat="false" ht="23.85" hidden="false" customHeight="false" outlineLevel="0" collapsed="false">
      <c r="A167" s="12" t="n">
        <v>2</v>
      </c>
      <c r="B167" s="106" t="s">
        <v>281</v>
      </c>
      <c r="C167" s="35" t="n">
        <v>416500</v>
      </c>
      <c r="D167" s="15" t="n">
        <f aca="false">316500+100000</f>
        <v>416500</v>
      </c>
      <c r="E167" s="36" t="n">
        <f aca="false">C167-D167</f>
        <v>0</v>
      </c>
    </row>
    <row r="168" customFormat="false" ht="35.05" hidden="false" customHeight="false" outlineLevel="0" collapsed="false">
      <c r="A168" s="12" t="n">
        <v>3</v>
      </c>
      <c r="B168" s="107" t="s">
        <v>282</v>
      </c>
      <c r="C168" s="61" t="n">
        <v>416500</v>
      </c>
      <c r="D168" s="72" t="n">
        <f aca="false">266500+150000</f>
        <v>416500</v>
      </c>
      <c r="E168" s="16" t="n">
        <f aca="false">C168-D168</f>
        <v>0</v>
      </c>
    </row>
    <row r="169" customFormat="false" ht="23.25" hidden="false" customHeight="true" outlineLevel="0" collapsed="false">
      <c r="A169" s="12" t="n">
        <v>4</v>
      </c>
      <c r="B169" s="107" t="s">
        <v>283</v>
      </c>
      <c r="C169" s="61" t="n">
        <v>416500</v>
      </c>
      <c r="D169" s="72" t="n">
        <f aca="false">216500+200000</f>
        <v>416500</v>
      </c>
      <c r="E169" s="16" t="n">
        <f aca="false">C169-D169</f>
        <v>0</v>
      </c>
    </row>
    <row r="170" customFormat="false" ht="23.85" hidden="false" customHeight="false" outlineLevel="0" collapsed="false">
      <c r="A170" s="12" t="n">
        <v>5</v>
      </c>
      <c r="B170" s="106" t="s">
        <v>284</v>
      </c>
      <c r="C170" s="35" t="n">
        <v>416500</v>
      </c>
      <c r="D170" s="15" t="n">
        <f aca="false">216500+100000+100000</f>
        <v>416500</v>
      </c>
      <c r="E170" s="36" t="n">
        <f aca="false">C170-D170</f>
        <v>0</v>
      </c>
    </row>
    <row r="171" customFormat="false" ht="23.85" hidden="false" customHeight="false" outlineLevel="0" collapsed="false">
      <c r="A171" s="12" t="n">
        <v>6</v>
      </c>
      <c r="B171" s="106" t="s">
        <v>285</v>
      </c>
      <c r="C171" s="61" t="n">
        <v>416500</v>
      </c>
      <c r="D171" s="72" t="n">
        <f aca="false">316500+100000</f>
        <v>416500</v>
      </c>
      <c r="E171" s="16" t="n">
        <f aca="false">C171-D171</f>
        <v>0</v>
      </c>
    </row>
    <row r="172" customFormat="false" ht="35.05" hidden="false" customHeight="false" outlineLevel="0" collapsed="false">
      <c r="A172" s="12" t="n">
        <v>7</v>
      </c>
      <c r="B172" s="106" t="s">
        <v>286</v>
      </c>
      <c r="C172" s="35" t="n">
        <v>416500</v>
      </c>
      <c r="D172" s="40" t="n">
        <f aca="false">416500</f>
        <v>416500</v>
      </c>
      <c r="E172" s="36" t="n">
        <f aca="false">C172-D172</f>
        <v>0</v>
      </c>
    </row>
    <row r="173" customFormat="false" ht="23.85" hidden="false" customHeight="false" outlineLevel="0" collapsed="false">
      <c r="A173" s="12" t="n">
        <v>8</v>
      </c>
      <c r="B173" s="106" t="s">
        <v>287</v>
      </c>
      <c r="C173" s="61" t="n">
        <v>416500</v>
      </c>
      <c r="D173" s="61" t="n">
        <f aca="false">316500+100000</f>
        <v>416500</v>
      </c>
      <c r="E173" s="16" t="n">
        <f aca="false">C173-D173</f>
        <v>0</v>
      </c>
    </row>
    <row r="174" customFormat="false" ht="23.85" hidden="false" customHeight="false" outlineLevel="0" collapsed="false">
      <c r="A174" s="12" t="n">
        <v>9</v>
      </c>
      <c r="B174" s="106" t="s">
        <v>288</v>
      </c>
      <c r="C174" s="35" t="n">
        <v>416500</v>
      </c>
      <c r="D174" s="40" t="n">
        <f aca="false">50000+66000+200000</f>
        <v>316000</v>
      </c>
      <c r="E174" s="36" t="n">
        <f aca="false">C174-D174</f>
        <v>100500</v>
      </c>
    </row>
    <row r="175" customFormat="false" ht="23.85" hidden="false" customHeight="false" outlineLevel="0" collapsed="false">
      <c r="A175" s="12" t="n">
        <v>10</v>
      </c>
      <c r="B175" s="106" t="s">
        <v>289</v>
      </c>
      <c r="C175" s="35" t="n">
        <v>416500</v>
      </c>
      <c r="D175" s="40" t="n">
        <f aca="false">100000+316500</f>
        <v>416500</v>
      </c>
      <c r="E175" s="36" t="n">
        <f aca="false">C175-D175</f>
        <v>0</v>
      </c>
    </row>
    <row r="176" customFormat="false" ht="46.25" hidden="false" customHeight="false" outlineLevel="0" collapsed="false">
      <c r="A176" s="12" t="n">
        <v>11</v>
      </c>
      <c r="B176" s="106" t="s">
        <v>290</v>
      </c>
      <c r="C176" s="35" t="n">
        <v>416500</v>
      </c>
      <c r="D176" s="41" t="n">
        <f aca="false">216500</f>
        <v>216500</v>
      </c>
      <c r="E176" s="36" t="n">
        <f aca="false">C176-D176</f>
        <v>200000</v>
      </c>
    </row>
    <row r="177" customFormat="false" ht="15" hidden="false" customHeight="false" outlineLevel="0" collapsed="false">
      <c r="A177" s="12" t="n">
        <v>12</v>
      </c>
      <c r="B177" s="106" t="s">
        <v>291</v>
      </c>
      <c r="C177" s="61" t="n">
        <v>416500</v>
      </c>
      <c r="D177" s="61" t="n">
        <f aca="false">416500</f>
        <v>416500</v>
      </c>
      <c r="E177" s="16" t="n">
        <f aca="false">C177-D177</f>
        <v>0</v>
      </c>
    </row>
    <row r="178" customFormat="false" ht="17.35" hidden="false" customHeight="false" outlineLevel="0" collapsed="false">
      <c r="A178" s="44"/>
      <c r="B178" s="74" t="s">
        <v>24</v>
      </c>
      <c r="C178" s="27" t="n">
        <f aca="false">SUM(C166:C177)</f>
        <v>4998000</v>
      </c>
      <c r="D178" s="28" t="n">
        <f aca="false">SUM(D166:D177)</f>
        <v>4697500</v>
      </c>
      <c r="E178" s="46" t="n">
        <f aca="false">C178-D178</f>
        <v>300500</v>
      </c>
    </row>
    <row r="179" customFormat="false" ht="15" hidden="false" customHeight="false" outlineLevel="0" collapsed="false">
      <c r="C179" s="108"/>
      <c r="D179" s="31"/>
      <c r="E179" s="109"/>
    </row>
    <row r="180" customFormat="false" ht="15" hidden="false" customHeight="false" outlineLevel="0" collapsed="false">
      <c r="C180" s="108"/>
      <c r="D180" s="31"/>
      <c r="E180" s="109"/>
    </row>
    <row r="181" customFormat="false" ht="15" hidden="false" customHeight="false" outlineLevel="0" collapsed="false">
      <c r="C181" s="108"/>
      <c r="D181" s="31"/>
      <c r="E181" s="109"/>
    </row>
    <row r="182" customFormat="false" ht="15" hidden="false" customHeight="false" outlineLevel="0" collapsed="false">
      <c r="C182" s="108"/>
      <c r="D182" s="31"/>
      <c r="E182" s="109"/>
    </row>
    <row r="183" customFormat="false" ht="15" hidden="false" customHeight="false" outlineLevel="0" collapsed="false">
      <c r="D183" s="2"/>
    </row>
    <row r="184" customFormat="false" ht="17.35" hidden="false" customHeight="false" outlineLevel="0" collapsed="false">
      <c r="A184" s="3"/>
      <c r="B184" s="3"/>
      <c r="C184" s="4" t="s">
        <v>0</v>
      </c>
      <c r="D184" s="2"/>
    </row>
    <row r="185" customFormat="false" ht="17.55" hidden="false" customHeight="false" outlineLevel="0" collapsed="false">
      <c r="A185" s="3"/>
      <c r="B185" s="3"/>
      <c r="C185" s="5" t="s">
        <v>292</v>
      </c>
      <c r="D185" s="2"/>
    </row>
    <row r="186" customFormat="false" ht="15" hidden="false" customHeight="false" outlineLevel="0" collapsed="false">
      <c r="A186" s="3"/>
      <c r="B186" s="66"/>
      <c r="C186" s="66"/>
      <c r="D186" s="66"/>
      <c r="E186" s="66"/>
    </row>
    <row r="187" customFormat="false" ht="15" hidden="false" customHeight="false" outlineLevel="0" collapsed="false">
      <c r="A187" s="3"/>
      <c r="B187" s="3"/>
      <c r="D187" s="2"/>
      <c r="E187" s="67" t="s">
        <v>187</v>
      </c>
    </row>
    <row r="188" customFormat="false" ht="15" hidden="false" customHeight="false" outlineLevel="0" collapsed="false">
      <c r="A188" s="3"/>
      <c r="B188" s="3"/>
      <c r="D188" s="2"/>
    </row>
    <row r="189" customFormat="false" ht="15" hidden="false" customHeight="false" outlineLevel="0" collapsed="false">
      <c r="A189" s="114" t="s">
        <v>3</v>
      </c>
      <c r="B189" s="8" t="s">
        <v>4</v>
      </c>
      <c r="C189" s="52" t="s">
        <v>5</v>
      </c>
      <c r="D189" s="53" t="s">
        <v>6</v>
      </c>
      <c r="E189" s="54" t="s">
        <v>7</v>
      </c>
    </row>
    <row r="190" customFormat="false" ht="46.25" hidden="false" customHeight="false" outlineLevel="0" collapsed="false">
      <c r="A190" s="12" t="n">
        <v>1</v>
      </c>
      <c r="B190" s="115" t="s">
        <v>293</v>
      </c>
      <c r="C190" s="116" t="n">
        <v>416500</v>
      </c>
      <c r="D190" s="15" t="n">
        <f aca="false">210000+206000</f>
        <v>416000</v>
      </c>
      <c r="E190" s="59" t="n">
        <f aca="false">C190-D190</f>
        <v>500</v>
      </c>
    </row>
    <row r="191" customFormat="false" ht="15" hidden="false" customHeight="false" outlineLevel="0" collapsed="false">
      <c r="A191" s="12" t="n">
        <v>2</v>
      </c>
      <c r="B191" s="106" t="s">
        <v>294</v>
      </c>
      <c r="C191" s="35" t="n">
        <v>416500</v>
      </c>
      <c r="D191" s="15" t="n">
        <f aca="false">216500+200000</f>
        <v>416500</v>
      </c>
      <c r="E191" s="36" t="n">
        <f aca="false">C191-D191</f>
        <v>0</v>
      </c>
    </row>
    <row r="192" customFormat="false" ht="35.05" hidden="false" customHeight="false" outlineLevel="0" collapsed="false">
      <c r="A192" s="12" t="n">
        <v>3</v>
      </c>
      <c r="B192" s="106" t="s">
        <v>295</v>
      </c>
      <c r="C192" s="35" t="n">
        <v>416500</v>
      </c>
      <c r="D192" s="15" t="n">
        <f aca="false">416500</f>
        <v>416500</v>
      </c>
      <c r="E192" s="36" t="n">
        <f aca="false">C192-D192</f>
        <v>0</v>
      </c>
    </row>
    <row r="193" customFormat="false" ht="23.85" hidden="false" customHeight="false" outlineLevel="0" collapsed="false">
      <c r="A193" s="12" t="n">
        <v>4</v>
      </c>
      <c r="B193" s="106" t="s">
        <v>296</v>
      </c>
      <c r="C193" s="61" t="n">
        <v>416500</v>
      </c>
      <c r="D193" s="72" t="n">
        <f aca="false">216500+200000</f>
        <v>416500</v>
      </c>
      <c r="E193" s="16" t="n">
        <f aca="false">C193-D193</f>
        <v>0</v>
      </c>
    </row>
    <row r="194" customFormat="false" ht="23.25" hidden="false" customHeight="true" outlineLevel="0" collapsed="false">
      <c r="A194" s="12" t="n">
        <v>5</v>
      </c>
      <c r="B194" s="106" t="s">
        <v>297</v>
      </c>
      <c r="C194" s="61" t="n">
        <v>416500</v>
      </c>
      <c r="D194" s="72" t="n">
        <f aca="false">300000+116500</f>
        <v>416500</v>
      </c>
      <c r="E194" s="16" t="n">
        <f aca="false">C194-D194</f>
        <v>0</v>
      </c>
    </row>
    <row r="195" customFormat="false" ht="35.05" hidden="false" customHeight="false" outlineLevel="0" collapsed="false">
      <c r="A195" s="12" t="n">
        <v>6</v>
      </c>
      <c r="B195" s="106" t="s">
        <v>298</v>
      </c>
      <c r="C195" s="35" t="n">
        <v>416500</v>
      </c>
      <c r="D195" s="15" t="n">
        <f aca="false">220000+196500</f>
        <v>416500</v>
      </c>
      <c r="E195" s="36" t="n">
        <f aca="false">C195-D195</f>
        <v>0</v>
      </c>
    </row>
    <row r="196" customFormat="false" ht="35.05" hidden="false" customHeight="false" outlineLevel="0" collapsed="false">
      <c r="A196" s="12" t="n">
        <v>7</v>
      </c>
      <c r="B196" s="106" t="s">
        <v>299</v>
      </c>
      <c r="C196" s="35" t="n">
        <v>416500</v>
      </c>
      <c r="D196" s="15" t="n">
        <f aca="false">300000+116500</f>
        <v>416500</v>
      </c>
      <c r="E196" s="36" t="n">
        <f aca="false">C196-D196</f>
        <v>0</v>
      </c>
    </row>
    <row r="197" customFormat="false" ht="35.05" hidden="false" customHeight="false" outlineLevel="0" collapsed="false">
      <c r="A197" s="12" t="n">
        <v>8</v>
      </c>
      <c r="B197" s="106" t="s">
        <v>300</v>
      </c>
      <c r="C197" s="61" t="n">
        <v>416500</v>
      </c>
      <c r="D197" s="72" t="n">
        <f aca="false">416500</f>
        <v>416500</v>
      </c>
      <c r="E197" s="16" t="n">
        <f aca="false">C197-D197</f>
        <v>0</v>
      </c>
    </row>
    <row r="198" customFormat="false" ht="23.85" hidden="false" customHeight="false" outlineLevel="0" collapsed="false">
      <c r="A198" s="12" t="n">
        <v>9</v>
      </c>
      <c r="B198" s="106" t="s">
        <v>301</v>
      </c>
      <c r="C198" s="35" t="n">
        <v>416500</v>
      </c>
      <c r="D198" s="40" t="n">
        <f aca="false">215500+101000</f>
        <v>316500</v>
      </c>
      <c r="E198" s="36" t="n">
        <f aca="false">C198-D198</f>
        <v>100000</v>
      </c>
    </row>
    <row r="199" customFormat="false" ht="23.85" hidden="false" customHeight="false" outlineLevel="0" collapsed="false">
      <c r="A199" s="12" t="n">
        <v>10</v>
      </c>
      <c r="B199" s="106" t="s">
        <v>302</v>
      </c>
      <c r="C199" s="35" t="n">
        <v>416500</v>
      </c>
      <c r="D199" s="40" t="n">
        <f aca="false">250000+100000+66500</f>
        <v>416500</v>
      </c>
      <c r="E199" s="36" t="n">
        <f aca="false">C199-D199</f>
        <v>0</v>
      </c>
    </row>
    <row r="200" customFormat="false" ht="15" hidden="false" customHeight="false" outlineLevel="0" collapsed="false">
      <c r="A200" s="12" t="n">
        <v>11</v>
      </c>
      <c r="B200" s="106" t="s">
        <v>303</v>
      </c>
      <c r="C200" s="35" t="n">
        <v>416500</v>
      </c>
      <c r="D200" s="40" t="n">
        <f aca="false">200000+216500</f>
        <v>416500</v>
      </c>
      <c r="E200" s="36" t="n">
        <f aca="false">C200-D200</f>
        <v>0</v>
      </c>
    </row>
    <row r="201" customFormat="false" ht="23.85" hidden="false" customHeight="false" outlineLevel="0" collapsed="false">
      <c r="A201" s="12" t="n">
        <v>12</v>
      </c>
      <c r="B201" s="106" t="s">
        <v>304</v>
      </c>
      <c r="C201" s="61" t="n">
        <v>416500</v>
      </c>
      <c r="D201" s="61" t="n">
        <f aca="false">316500+100000</f>
        <v>416500</v>
      </c>
      <c r="E201" s="16" t="n">
        <f aca="false">C201-D201</f>
        <v>0</v>
      </c>
    </row>
    <row r="202" customFormat="false" ht="17.35" hidden="false" customHeight="false" outlineLevel="0" collapsed="false">
      <c r="A202" s="44"/>
      <c r="B202" s="74" t="s">
        <v>24</v>
      </c>
      <c r="C202" s="27" t="n">
        <f aca="false">SUM(C191:C201)</f>
        <v>4581500</v>
      </c>
      <c r="D202" s="28" t="n">
        <f aca="false">SUM(D191:D201)</f>
        <v>4481500</v>
      </c>
      <c r="E202" s="46" t="n">
        <f aca="false">C202-D202</f>
        <v>100000</v>
      </c>
    </row>
    <row r="203" customFormat="false" ht="15" hidden="false" customHeight="false" outlineLevel="0" collapsed="false">
      <c r="C203" s="108"/>
      <c r="D203" s="31"/>
      <c r="E203" s="109"/>
    </row>
    <row r="204" customFormat="false" ht="15" hidden="false" customHeight="false" outlineLevel="0" collapsed="false">
      <c r="C204" s="108"/>
      <c r="D204" s="31"/>
      <c r="E204" s="109"/>
    </row>
    <row r="205" customFormat="false" ht="15" hidden="false" customHeight="false" outlineLevel="0" collapsed="false">
      <c r="D205" s="2"/>
    </row>
    <row r="206" customFormat="false" ht="15" hidden="false" customHeight="false" outlineLevel="0" collapsed="false">
      <c r="A206" s="3"/>
      <c r="B206" s="3"/>
      <c r="D206" s="2"/>
    </row>
    <row r="207" customFormat="false" ht="17.35" hidden="false" customHeight="false" outlineLevel="0" collapsed="false">
      <c r="A207" s="51"/>
      <c r="B207" s="51"/>
      <c r="D207" s="2"/>
    </row>
    <row r="208" customFormat="false" ht="17.35" hidden="false" customHeight="false" outlineLevel="0" collapsed="false">
      <c r="A208" s="3"/>
      <c r="B208" s="3"/>
      <c r="C208" s="4" t="s">
        <v>0</v>
      </c>
      <c r="D208" s="2"/>
    </row>
    <row r="209" customFormat="false" ht="17.25" hidden="false" customHeight="false" outlineLevel="0" collapsed="false">
      <c r="A209" s="3"/>
      <c r="B209" s="3"/>
      <c r="C209" s="5" t="s">
        <v>171</v>
      </c>
      <c r="D209" s="2"/>
    </row>
    <row r="210" customFormat="false" ht="15" hidden="false" customHeight="false" outlineLevel="0" collapsed="false">
      <c r="A210" s="3"/>
      <c r="B210" s="3"/>
      <c r="D210" s="6" t="s">
        <v>187</v>
      </c>
    </row>
    <row r="211" customFormat="false" ht="15" hidden="false" customHeight="false" outlineLevel="0" collapsed="false">
      <c r="A211" s="3"/>
      <c r="B211" s="3"/>
      <c r="D211" s="2"/>
    </row>
    <row r="212" customFormat="false" ht="22.5" hidden="false" customHeight="true" outlineLevel="0" collapsed="false">
      <c r="A212" s="114" t="s">
        <v>3</v>
      </c>
      <c r="B212" s="8" t="s">
        <v>4</v>
      </c>
      <c r="C212" s="52" t="s">
        <v>5</v>
      </c>
      <c r="D212" s="53" t="s">
        <v>6</v>
      </c>
      <c r="E212" s="54" t="s">
        <v>7</v>
      </c>
    </row>
    <row r="213" customFormat="false" ht="15" hidden="false" customHeight="false" outlineLevel="0" collapsed="false">
      <c r="A213" s="68" t="n">
        <v>1</v>
      </c>
      <c r="B213" s="115" t="s">
        <v>305</v>
      </c>
      <c r="C213" s="57" t="s">
        <v>17</v>
      </c>
      <c r="D213" s="92"/>
      <c r="E213" s="57" t="s">
        <v>17</v>
      </c>
    </row>
    <row r="214" customFormat="false" ht="29.25" hidden="false" customHeight="true" outlineLevel="0" collapsed="false">
      <c r="A214" s="68" t="n">
        <v>2</v>
      </c>
      <c r="B214" s="106" t="s">
        <v>306</v>
      </c>
      <c r="C214" s="14" t="n">
        <v>416500</v>
      </c>
      <c r="D214" s="92" t="n">
        <f aca="false">216500+100000+100000</f>
        <v>416500</v>
      </c>
      <c r="E214" s="36" t="n">
        <f aca="false">C214-D214</f>
        <v>0</v>
      </c>
    </row>
    <row r="215" customFormat="false" ht="35.05" hidden="false" customHeight="false" outlineLevel="0" collapsed="false">
      <c r="A215" s="68" t="n">
        <v>3</v>
      </c>
      <c r="B215" s="106" t="s">
        <v>307</v>
      </c>
      <c r="C215" s="14" t="n">
        <v>416500</v>
      </c>
      <c r="D215" s="92" t="n">
        <f aca="false">100000+100000+216500</f>
        <v>416500</v>
      </c>
      <c r="E215" s="36" t="n">
        <f aca="false">C215-D215</f>
        <v>0</v>
      </c>
    </row>
    <row r="216" customFormat="false" ht="23.85" hidden="false" customHeight="false" outlineLevel="0" collapsed="false">
      <c r="A216" s="68" t="n">
        <v>4</v>
      </c>
      <c r="B216" s="106" t="s">
        <v>308</v>
      </c>
      <c r="C216" s="14" t="n">
        <v>416500</v>
      </c>
      <c r="D216" s="95" t="n">
        <f aca="false">416500</f>
        <v>416500</v>
      </c>
      <c r="E216" s="36" t="n">
        <f aca="false">C216-D216</f>
        <v>0</v>
      </c>
    </row>
    <row r="217" customFormat="false" ht="21.75" hidden="false" customHeight="true" outlineLevel="0" collapsed="false">
      <c r="A217" s="68" t="n">
        <v>5</v>
      </c>
      <c r="B217" s="107" t="s">
        <v>309</v>
      </c>
      <c r="C217" s="14" t="n">
        <v>416500</v>
      </c>
      <c r="D217" s="95" t="n">
        <f aca="false">216000+200000</f>
        <v>416000</v>
      </c>
      <c r="E217" s="36" t="n">
        <f aca="false">C217-D217</f>
        <v>500</v>
      </c>
    </row>
    <row r="218" customFormat="false" ht="23.85" hidden="false" customHeight="false" outlineLevel="0" collapsed="false">
      <c r="A218" s="68" t="n">
        <v>6</v>
      </c>
      <c r="B218" s="107" t="s">
        <v>310</v>
      </c>
      <c r="C218" s="57" t="s">
        <v>17</v>
      </c>
      <c r="D218" s="95"/>
      <c r="E218" s="57" t="s">
        <v>17</v>
      </c>
    </row>
    <row r="219" customFormat="false" ht="23.85" hidden="false" customHeight="false" outlineLevel="0" collapsed="false">
      <c r="A219" s="68" t="n">
        <v>7</v>
      </c>
      <c r="B219" s="107" t="s">
        <v>311</v>
      </c>
      <c r="C219" s="14" t="n">
        <v>416500</v>
      </c>
      <c r="D219" s="92" t="n">
        <v>416000</v>
      </c>
      <c r="E219" s="36" t="n">
        <f aca="false">C219-D219</f>
        <v>500</v>
      </c>
    </row>
    <row r="220" customFormat="false" ht="23.85" hidden="false" customHeight="false" outlineLevel="0" collapsed="false">
      <c r="A220" s="68" t="n">
        <v>8</v>
      </c>
      <c r="B220" s="107" t="s">
        <v>312</v>
      </c>
      <c r="C220" s="35" t="n">
        <v>416500</v>
      </c>
      <c r="D220" s="97"/>
      <c r="E220" s="36" t="n">
        <f aca="false">C220-D220</f>
        <v>416500</v>
      </c>
    </row>
    <row r="221" customFormat="false" ht="15" hidden="false" customHeight="false" outlineLevel="0" collapsed="false">
      <c r="A221" s="68" t="n">
        <v>9</v>
      </c>
      <c r="B221" s="107" t="s">
        <v>313</v>
      </c>
      <c r="C221" s="57" t="s">
        <v>17</v>
      </c>
      <c r="D221" s="61"/>
      <c r="E221" s="57" t="s">
        <v>17</v>
      </c>
    </row>
    <row r="222" customFormat="false" ht="35.05" hidden="false" customHeight="false" outlineLevel="0" collapsed="false">
      <c r="A222" s="68" t="n">
        <v>10</v>
      </c>
      <c r="B222" s="107" t="s">
        <v>314</v>
      </c>
      <c r="C222" s="35" t="n">
        <v>416500</v>
      </c>
      <c r="D222" s="61" t="n">
        <f aca="false">250000+166500</f>
        <v>416500</v>
      </c>
      <c r="E222" s="36" t="n">
        <f aca="false">C222-D222</f>
        <v>0</v>
      </c>
    </row>
    <row r="223" customFormat="false" ht="23.85" hidden="false" customHeight="false" outlineLevel="0" collapsed="false">
      <c r="A223" s="68" t="n">
        <v>11</v>
      </c>
      <c r="B223" s="107" t="s">
        <v>315</v>
      </c>
      <c r="C223" s="35" t="n">
        <v>416500</v>
      </c>
      <c r="D223" s="61" t="n">
        <f aca="false">116500+100000+35000+51000+50000+64000</f>
        <v>416500</v>
      </c>
      <c r="E223" s="36" t="n">
        <f aca="false">C223-D223</f>
        <v>0</v>
      </c>
    </row>
    <row r="224" customFormat="false" ht="23.85" hidden="false" customHeight="false" outlineLevel="0" collapsed="false">
      <c r="A224" s="68" t="n">
        <v>12</v>
      </c>
      <c r="B224" s="107" t="s">
        <v>316</v>
      </c>
      <c r="C224" s="35" t="n">
        <v>416500</v>
      </c>
      <c r="D224" s="61"/>
      <c r="E224" s="36" t="n">
        <f aca="false">C224-D224</f>
        <v>416500</v>
      </c>
    </row>
    <row r="225" customFormat="false" ht="15" hidden="false" customHeight="false" outlineLevel="0" collapsed="false">
      <c r="A225" s="68" t="n">
        <v>13</v>
      </c>
      <c r="B225" s="107" t="s">
        <v>317</v>
      </c>
      <c r="C225" s="57" t="s">
        <v>17</v>
      </c>
      <c r="D225" s="61"/>
      <c r="E225" s="57" t="s">
        <v>17</v>
      </c>
    </row>
    <row r="226" customFormat="false" ht="23.85" hidden="false" customHeight="false" outlineLevel="0" collapsed="false">
      <c r="A226" s="68" t="n">
        <v>14</v>
      </c>
      <c r="B226" s="107" t="s">
        <v>318</v>
      </c>
      <c r="C226" s="35" t="n">
        <v>416500</v>
      </c>
      <c r="D226" s="61" t="n">
        <f aca="false">216000+100500+100000</f>
        <v>416500</v>
      </c>
      <c r="E226" s="36" t="n">
        <f aca="false">C226-D226</f>
        <v>0</v>
      </c>
    </row>
    <row r="227" customFormat="false" ht="23.85" hidden="false" customHeight="false" outlineLevel="0" collapsed="false">
      <c r="A227" s="68" t="n">
        <v>15</v>
      </c>
      <c r="B227" s="107" t="s">
        <v>319</v>
      </c>
      <c r="C227" s="35" t="n">
        <v>416500</v>
      </c>
      <c r="D227" s="61"/>
      <c r="E227" s="36" t="n">
        <f aca="false">C227-D227</f>
        <v>416500</v>
      </c>
    </row>
    <row r="228" customFormat="false" ht="46.25" hidden="false" customHeight="false" outlineLevel="0" collapsed="false">
      <c r="A228" s="68" t="n">
        <v>16</v>
      </c>
      <c r="B228" s="107" t="s">
        <v>320</v>
      </c>
      <c r="C228" s="35" t="n">
        <v>416500</v>
      </c>
      <c r="D228" s="61" t="n">
        <f aca="false">416500</f>
        <v>416500</v>
      </c>
      <c r="E228" s="36" t="n">
        <f aca="false">C228-D228</f>
        <v>0</v>
      </c>
    </row>
    <row r="229" customFormat="false" ht="27.75" hidden="false" customHeight="true" outlineLevel="0" collapsed="false">
      <c r="A229" s="68" t="n">
        <v>17</v>
      </c>
      <c r="B229" s="107" t="s">
        <v>321</v>
      </c>
      <c r="C229" s="61" t="n">
        <v>416500</v>
      </c>
      <c r="D229" s="41" t="n">
        <f aca="false">216500+200000</f>
        <v>416500</v>
      </c>
      <c r="E229" s="36" t="n">
        <f aca="false">C229-D229</f>
        <v>0</v>
      </c>
    </row>
    <row r="230" customFormat="false" ht="23.85" hidden="false" customHeight="false" outlineLevel="0" collapsed="false">
      <c r="A230" s="68" t="n">
        <v>18</v>
      </c>
      <c r="B230" s="107" t="s">
        <v>322</v>
      </c>
      <c r="C230" s="35" t="n">
        <v>416500</v>
      </c>
      <c r="D230" s="61"/>
      <c r="E230" s="36" t="n">
        <f aca="false">C230-D230</f>
        <v>416500</v>
      </c>
    </row>
    <row r="231" customFormat="false" ht="35.05" hidden="false" customHeight="false" outlineLevel="0" collapsed="false">
      <c r="A231" s="68" t="n">
        <v>19</v>
      </c>
      <c r="B231" s="107" t="s">
        <v>323</v>
      </c>
      <c r="C231" s="35" t="n">
        <v>416500</v>
      </c>
      <c r="D231" s="117"/>
      <c r="E231" s="36" t="n">
        <f aca="false">C231-D231</f>
        <v>416500</v>
      </c>
    </row>
    <row r="232" customFormat="false" ht="17.35" hidden="false" customHeight="false" outlineLevel="0" collapsed="false">
      <c r="A232" s="44"/>
      <c r="B232" s="65" t="s">
        <v>24</v>
      </c>
      <c r="C232" s="27" t="n">
        <f aca="false">SUM(C213:C231)</f>
        <v>6247500</v>
      </c>
      <c r="D232" s="28" t="n">
        <f aca="false">SUM(D213:D231)</f>
        <v>4164000</v>
      </c>
      <c r="E232" s="46" t="n">
        <f aca="false">SUM(E213:E231)</f>
        <v>2083500</v>
      </c>
    </row>
    <row r="233" customFormat="false" ht="15" hidden="false" customHeight="false" outlineLevel="0" collapsed="false">
      <c r="C233" s="108"/>
      <c r="D233" s="31"/>
      <c r="E233" s="109"/>
    </row>
    <row r="234" customFormat="false" ht="15" hidden="false" customHeight="false" outlineLevel="0" collapsed="false">
      <c r="A234" s="3"/>
      <c r="B234" s="3"/>
      <c r="D234" s="2"/>
    </row>
    <row r="235" customFormat="false" ht="17.35" hidden="false" customHeight="false" outlineLevel="0" collapsed="false">
      <c r="A235" s="51"/>
      <c r="B235" s="51"/>
      <c r="D235" s="2"/>
    </row>
    <row r="236" customFormat="false" ht="17.35" hidden="false" customHeight="false" outlineLevel="0" collapsed="false">
      <c r="A236" s="3"/>
      <c r="B236" s="3"/>
      <c r="C236" s="4" t="s">
        <v>0</v>
      </c>
      <c r="D236" s="2"/>
    </row>
    <row r="237" customFormat="false" ht="17.35" hidden="false" customHeight="false" outlineLevel="0" collapsed="false">
      <c r="A237" s="3"/>
      <c r="B237" s="3"/>
      <c r="C237" s="78" t="s">
        <v>113</v>
      </c>
      <c r="D237" s="2"/>
    </row>
    <row r="238" customFormat="false" ht="15" hidden="false" customHeight="false" outlineLevel="0" collapsed="false">
      <c r="A238" s="3"/>
      <c r="B238" s="3"/>
      <c r="D238" s="6" t="s">
        <v>187</v>
      </c>
    </row>
    <row r="239" customFormat="false" ht="15" hidden="false" customHeight="false" outlineLevel="0" collapsed="false">
      <c r="A239" s="3"/>
      <c r="B239" s="3"/>
      <c r="D239" s="2"/>
    </row>
    <row r="240" customFormat="false" ht="15" hidden="false" customHeight="false" outlineLevel="0" collapsed="false">
      <c r="A240" s="7" t="s">
        <v>3</v>
      </c>
      <c r="B240" s="8" t="s">
        <v>4</v>
      </c>
      <c r="C240" s="9" t="s">
        <v>5</v>
      </c>
      <c r="D240" s="10" t="s">
        <v>6</v>
      </c>
      <c r="E240" s="11" t="s">
        <v>7</v>
      </c>
    </row>
    <row r="241" customFormat="false" ht="35.05" hidden="false" customHeight="false" outlineLevel="0" collapsed="false">
      <c r="A241" s="81" t="n">
        <v>1</v>
      </c>
      <c r="B241" s="106" t="s">
        <v>324</v>
      </c>
      <c r="C241" s="35" t="n">
        <v>416500</v>
      </c>
      <c r="D241" s="61" t="n">
        <f aca="false">210000+206000</f>
        <v>416000</v>
      </c>
      <c r="E241" s="36" t="n">
        <f aca="false">C241-D241</f>
        <v>500</v>
      </c>
    </row>
    <row r="242" customFormat="false" ht="35.05" hidden="false" customHeight="false" outlineLevel="0" collapsed="false">
      <c r="A242" s="79" t="n">
        <v>2</v>
      </c>
      <c r="B242" s="118" t="s">
        <v>325</v>
      </c>
      <c r="C242" s="85" t="n">
        <v>416500</v>
      </c>
      <c r="D242" s="85"/>
      <c r="E242" s="36" t="n">
        <f aca="false">C242-D242</f>
        <v>416500</v>
      </c>
    </row>
    <row r="243" customFormat="false" ht="15" hidden="false" customHeight="false" outlineLevel="0" collapsed="false">
      <c r="A243" s="81" t="n">
        <v>3</v>
      </c>
      <c r="B243" s="106" t="s">
        <v>326</v>
      </c>
      <c r="C243" s="35" t="n">
        <v>416500</v>
      </c>
      <c r="D243" s="61" t="n">
        <f aca="false">416500</f>
        <v>416500</v>
      </c>
      <c r="E243" s="36" t="n">
        <f aca="false">C243-D243</f>
        <v>0</v>
      </c>
    </row>
    <row r="244" customFormat="false" ht="15" hidden="false" customHeight="false" outlineLevel="0" collapsed="false">
      <c r="A244" s="81" t="n">
        <v>4</v>
      </c>
      <c r="B244" s="106" t="s">
        <v>327</v>
      </c>
      <c r="C244" s="35" t="n">
        <v>416500</v>
      </c>
      <c r="D244" s="61" t="n">
        <f aca="false">240000+76500+100000</f>
        <v>416500</v>
      </c>
      <c r="E244" s="36" t="n">
        <f aca="false">C244-D244</f>
        <v>0</v>
      </c>
    </row>
    <row r="245" customFormat="false" ht="35.05" hidden="false" customHeight="false" outlineLevel="0" collapsed="false">
      <c r="A245" s="79" t="n">
        <v>5</v>
      </c>
      <c r="B245" s="106" t="s">
        <v>328</v>
      </c>
      <c r="C245" s="35" t="n">
        <v>416500</v>
      </c>
      <c r="D245" s="61" t="n">
        <f aca="false">216500+200000</f>
        <v>416500</v>
      </c>
      <c r="E245" s="36" t="n">
        <f aca="false">C245-D245</f>
        <v>0</v>
      </c>
    </row>
    <row r="246" customFormat="false" ht="57.45" hidden="false" customHeight="false" outlineLevel="0" collapsed="false">
      <c r="A246" s="81" t="n">
        <v>6</v>
      </c>
      <c r="B246" s="118" t="s">
        <v>329</v>
      </c>
      <c r="C246" s="85" t="n">
        <v>416500</v>
      </c>
      <c r="D246" s="85"/>
      <c r="E246" s="36" t="n">
        <f aca="false">C246-D246</f>
        <v>416500</v>
      </c>
    </row>
    <row r="247" customFormat="false" ht="23.85" hidden="false" customHeight="false" outlineLevel="0" collapsed="false">
      <c r="A247" s="81" t="n">
        <v>7</v>
      </c>
      <c r="B247" s="106" t="s">
        <v>330</v>
      </c>
      <c r="C247" s="35" t="n">
        <v>416500</v>
      </c>
      <c r="D247" s="61" t="n">
        <f aca="false">200000+200000+16000</f>
        <v>416000</v>
      </c>
      <c r="E247" s="36" t="n">
        <f aca="false">C247-D247</f>
        <v>500</v>
      </c>
    </row>
    <row r="248" customFormat="false" ht="23.85" hidden="false" customHeight="false" outlineLevel="0" collapsed="false">
      <c r="A248" s="79" t="n">
        <v>8</v>
      </c>
      <c r="B248" s="106" t="s">
        <v>331</v>
      </c>
      <c r="C248" s="35" t="n">
        <v>416500</v>
      </c>
      <c r="D248" s="61" t="n">
        <f aca="false">100000+100000+180000</f>
        <v>380000</v>
      </c>
      <c r="E248" s="36" t="n">
        <f aca="false">C248-D248</f>
        <v>36500</v>
      </c>
    </row>
    <row r="249" customFormat="false" ht="23.85" hidden="false" customHeight="false" outlineLevel="0" collapsed="false">
      <c r="A249" s="81" t="n">
        <v>9</v>
      </c>
      <c r="B249" s="106" t="s">
        <v>332</v>
      </c>
      <c r="C249" s="35" t="n">
        <v>416500</v>
      </c>
      <c r="D249" s="61" t="n">
        <f aca="false">250000+166000</f>
        <v>416000</v>
      </c>
      <c r="E249" s="36" t="n">
        <f aca="false">C249-D249</f>
        <v>500</v>
      </c>
    </row>
    <row r="250" customFormat="false" ht="23.85" hidden="false" customHeight="false" outlineLevel="0" collapsed="false">
      <c r="A250" s="81" t="n">
        <v>10</v>
      </c>
      <c r="B250" s="106" t="s">
        <v>333</v>
      </c>
      <c r="C250" s="35" t="n">
        <v>416500</v>
      </c>
      <c r="D250" s="61" t="n">
        <f aca="false">300000+116500</f>
        <v>416500</v>
      </c>
      <c r="E250" s="36" t="n">
        <f aca="false">C250-D250</f>
        <v>0</v>
      </c>
    </row>
    <row r="251" customFormat="false" ht="23.85" hidden="false" customHeight="false" outlineLevel="0" collapsed="false">
      <c r="A251" s="79" t="n">
        <v>11</v>
      </c>
      <c r="B251" s="106" t="s">
        <v>334</v>
      </c>
      <c r="C251" s="35" t="n">
        <v>416500</v>
      </c>
      <c r="D251" s="61" t="n">
        <f aca="false">216000+150000+50000</f>
        <v>416000</v>
      </c>
      <c r="E251" s="36" t="n">
        <f aca="false">C251-D251</f>
        <v>500</v>
      </c>
    </row>
    <row r="252" customFormat="false" ht="23.85" hidden="false" customHeight="false" outlineLevel="0" collapsed="false">
      <c r="A252" s="81" t="n">
        <v>12</v>
      </c>
      <c r="B252" s="106" t="s">
        <v>335</v>
      </c>
      <c r="C252" s="35" t="n">
        <v>416500</v>
      </c>
      <c r="D252" s="61" t="n">
        <f aca="false">316500+100000</f>
        <v>416500</v>
      </c>
      <c r="E252" s="36" t="n">
        <f aca="false">C252-D252</f>
        <v>0</v>
      </c>
    </row>
    <row r="253" customFormat="false" ht="46.25" hidden="false" customHeight="false" outlineLevel="0" collapsed="false">
      <c r="A253" s="81" t="n">
        <v>13</v>
      </c>
      <c r="B253" s="118" t="s">
        <v>336</v>
      </c>
      <c r="C253" s="85" t="n">
        <v>416500</v>
      </c>
      <c r="D253" s="85"/>
      <c r="E253" s="36" t="n">
        <f aca="false">C253-D253</f>
        <v>416500</v>
      </c>
    </row>
    <row r="254" customFormat="false" ht="35.05" hidden="false" customHeight="false" outlineLevel="0" collapsed="false">
      <c r="A254" s="79" t="n">
        <v>14</v>
      </c>
      <c r="B254" s="106" t="s">
        <v>337</v>
      </c>
      <c r="C254" s="35" t="n">
        <v>416500</v>
      </c>
      <c r="D254" s="61" t="n">
        <f aca="false">216500+200000</f>
        <v>416500</v>
      </c>
      <c r="E254" s="36" t="n">
        <f aca="false">C254-D254</f>
        <v>0</v>
      </c>
    </row>
    <row r="255" customFormat="false" ht="15" hidden="false" customHeight="false" outlineLevel="0" collapsed="false">
      <c r="A255" s="81" t="n">
        <v>15</v>
      </c>
      <c r="B255" s="106" t="s">
        <v>338</v>
      </c>
      <c r="C255" s="35" t="n">
        <v>416500</v>
      </c>
      <c r="D255" s="61" t="n">
        <f aca="false">100000+200000+116000</f>
        <v>416000</v>
      </c>
      <c r="E255" s="36" t="n">
        <f aca="false">C255-D255</f>
        <v>500</v>
      </c>
    </row>
    <row r="256" customFormat="false" ht="35.05" hidden="false" customHeight="false" outlineLevel="0" collapsed="false">
      <c r="A256" s="81" t="n">
        <v>16</v>
      </c>
      <c r="B256" s="106" t="s">
        <v>339</v>
      </c>
      <c r="C256" s="35" t="n">
        <v>416500</v>
      </c>
      <c r="D256" s="61" t="n">
        <f aca="false">300000+100000+16000</f>
        <v>416000</v>
      </c>
      <c r="E256" s="36" t="n">
        <f aca="false">C256-D256</f>
        <v>500</v>
      </c>
    </row>
    <row r="257" customFormat="false" ht="35.05" hidden="false" customHeight="false" outlineLevel="0" collapsed="false">
      <c r="A257" s="79" t="n">
        <v>17</v>
      </c>
      <c r="B257" s="106" t="s">
        <v>340</v>
      </c>
      <c r="C257" s="35" t="n">
        <v>416500</v>
      </c>
      <c r="D257" s="61" t="n">
        <f aca="false">416500</f>
        <v>416500</v>
      </c>
      <c r="E257" s="36" t="n">
        <f aca="false">C257-D257</f>
        <v>0</v>
      </c>
    </row>
    <row r="258" customFormat="false" ht="23.85" hidden="false" customHeight="false" outlineLevel="0" collapsed="false">
      <c r="A258" s="81" t="n">
        <v>18</v>
      </c>
      <c r="B258" s="106" t="s">
        <v>341</v>
      </c>
      <c r="C258" s="35" t="s">
        <v>17</v>
      </c>
      <c r="D258" s="61" t="s">
        <v>17</v>
      </c>
      <c r="E258" s="36" t="s">
        <v>17</v>
      </c>
    </row>
    <row r="259" customFormat="false" ht="15" hidden="false" customHeight="false" outlineLevel="0" collapsed="false">
      <c r="A259" s="81" t="n">
        <v>19</v>
      </c>
      <c r="B259" s="106" t="s">
        <v>342</v>
      </c>
      <c r="C259" s="35" t="n">
        <v>416500</v>
      </c>
      <c r="D259" s="61" t="n">
        <f aca="false">200000+216000</f>
        <v>416000</v>
      </c>
      <c r="E259" s="36" t="n">
        <f aca="false">C259-D259</f>
        <v>500</v>
      </c>
    </row>
    <row r="260" customFormat="false" ht="23.85" hidden="false" customHeight="false" outlineLevel="0" collapsed="false">
      <c r="A260" s="79" t="n">
        <v>20</v>
      </c>
      <c r="B260" s="106" t="s">
        <v>343</v>
      </c>
      <c r="C260" s="35" t="n">
        <v>416500</v>
      </c>
      <c r="D260" s="61" t="n">
        <f aca="false">316000+100000+500</f>
        <v>416500</v>
      </c>
      <c r="E260" s="36" t="n">
        <f aca="false">C260-D260</f>
        <v>0</v>
      </c>
    </row>
    <row r="261" customFormat="false" ht="23.85" hidden="false" customHeight="false" outlineLevel="0" collapsed="false">
      <c r="A261" s="81" t="n">
        <v>21</v>
      </c>
      <c r="B261" s="106" t="s">
        <v>344</v>
      </c>
      <c r="C261" s="35" t="n">
        <v>416500</v>
      </c>
      <c r="D261" s="61" t="n">
        <f aca="false">300000+116500</f>
        <v>416500</v>
      </c>
      <c r="E261" s="36" t="n">
        <f aca="false">C261-D261</f>
        <v>0</v>
      </c>
    </row>
    <row r="262" customFormat="false" ht="17.35" hidden="false" customHeight="false" outlineLevel="0" collapsed="false">
      <c r="A262" s="44"/>
      <c r="B262" s="86" t="s">
        <v>24</v>
      </c>
      <c r="C262" s="27" t="n">
        <f aca="false">SUM(C241:C261)</f>
        <v>8330000</v>
      </c>
      <c r="D262" s="87" t="n">
        <f aca="false">SUM(D241:D261)</f>
        <v>7040500</v>
      </c>
      <c r="E262" s="46" t="n">
        <f aca="false">SUM(E241:E261)</f>
        <v>1289500</v>
      </c>
    </row>
    <row r="263" customFormat="false" ht="15" hidden="false" customHeight="false" outlineLevel="0" collapsed="false">
      <c r="A263" s="113"/>
    </row>
    <row r="267" customFormat="false" ht="15" hidden="false" customHeight="false" outlineLevel="0" collapsed="false">
      <c r="C267" s="119" t="s">
        <v>5</v>
      </c>
      <c r="D267" s="120" t="s">
        <v>6</v>
      </c>
      <c r="E267" s="121" t="s">
        <v>185</v>
      </c>
    </row>
    <row r="268" customFormat="false" ht="16.15" hidden="false" customHeight="false" outlineLevel="0" collapsed="false">
      <c r="C268" s="122" t="n">
        <f aca="false">C262+C232+C202+C178+C154+C133+C110+C86+C57+C26</f>
        <v>59976000</v>
      </c>
      <c r="D268" s="103" t="n">
        <f aca="false">D262+D232+D202+D178+D154+D133+D110+D86+D57+D26</f>
        <v>50648200</v>
      </c>
      <c r="E268" s="104" t="n">
        <f aca="false">C268-D268</f>
        <v>9327800</v>
      </c>
    </row>
  </sheetData>
  <mergeCells count="8">
    <mergeCell ref="B7:E7"/>
    <mergeCell ref="B29:E29"/>
    <mergeCell ref="B61:E61"/>
    <mergeCell ref="B94:E94"/>
    <mergeCell ref="B114:E114"/>
    <mergeCell ref="B141:E141"/>
    <mergeCell ref="B162:E162"/>
    <mergeCell ref="B186:E18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E342"/>
  <sheetViews>
    <sheetView showFormulas="false" showGridLines="true" showRowColHeaders="true" showZeros="true" rightToLeft="false" tabSelected="false" showOutlineSymbols="true" defaultGridColor="true" view="normal" topLeftCell="A315" colorId="64" zoomScale="123" zoomScaleNormal="123" zoomScalePageLayoutView="100" workbookViewId="0">
      <selection pane="topLeft" activeCell="F65" activeCellId="0" sqref="F65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34"/>
    <col collapsed="false" customWidth="true" hidden="false" outlineLevel="0" max="3" min="3" style="1" width="13.86"/>
    <col collapsed="false" customWidth="true" hidden="false" outlineLevel="0" max="4" min="4" style="1" width="14"/>
    <col collapsed="false" customWidth="true" hidden="false" outlineLevel="0" max="5" min="5" style="1" width="14.43"/>
    <col collapsed="false" customWidth="true" hidden="false" outlineLevel="0" max="16384" min="16360" style="0" width="11.53"/>
  </cols>
  <sheetData>
    <row r="4" customFormat="false" ht="17.35" hidden="false" customHeight="false" outlineLevel="0" collapsed="false">
      <c r="B4" s="76" t="s">
        <v>345</v>
      </c>
    </row>
    <row r="5" customFormat="false" ht="15.75" hidden="false" customHeight="true" outlineLevel="0" collapsed="false">
      <c r="A5" s="76"/>
    </row>
    <row r="6" customFormat="false" ht="15" hidden="true" customHeight="false" outlineLevel="0" collapsed="false">
      <c r="B6" s="123"/>
    </row>
    <row r="7" customFormat="false" ht="15" hidden="true" customHeight="false" outlineLevel="0" collapsed="false"/>
    <row r="8" customFormat="false" ht="15" hidden="false" customHeight="false" outlineLevel="0" collapsed="false">
      <c r="B8" s="124" t="s">
        <v>2</v>
      </c>
    </row>
    <row r="9" customFormat="false" ht="15" hidden="false" customHeight="false" outlineLevel="0" collapsed="false">
      <c r="B9" s="125" t="s">
        <v>346</v>
      </c>
    </row>
    <row r="12" customFormat="false" ht="15" hidden="false" customHeight="false" outlineLevel="0" collapsed="false">
      <c r="A12" s="126" t="s">
        <v>3</v>
      </c>
      <c r="B12" s="127" t="s">
        <v>4</v>
      </c>
      <c r="C12" s="9" t="s">
        <v>5</v>
      </c>
      <c r="D12" s="128" t="s">
        <v>6</v>
      </c>
      <c r="E12" s="129" t="s">
        <v>7</v>
      </c>
    </row>
    <row r="13" customFormat="false" ht="15" hidden="false" customHeight="false" outlineLevel="0" collapsed="false">
      <c r="A13" s="130" t="n">
        <v>1</v>
      </c>
      <c r="B13" s="131" t="s">
        <v>347</v>
      </c>
      <c r="C13" s="132" t="n">
        <v>815000</v>
      </c>
      <c r="D13" s="132" t="n">
        <f aca="false">315000+500000</f>
        <v>815000</v>
      </c>
      <c r="E13" s="133" t="n">
        <f aca="false">C13-D13</f>
        <v>0</v>
      </c>
    </row>
    <row r="14" customFormat="false" ht="15" hidden="false" customHeight="false" outlineLevel="0" collapsed="false">
      <c r="A14" s="130" t="n">
        <v>2</v>
      </c>
      <c r="B14" s="134" t="s">
        <v>348</v>
      </c>
      <c r="C14" s="132" t="n">
        <v>815000</v>
      </c>
      <c r="D14" s="132"/>
      <c r="E14" s="133" t="n">
        <f aca="false">C14-D14</f>
        <v>815000</v>
      </c>
    </row>
    <row r="15" customFormat="false" ht="15" hidden="false" customHeight="false" outlineLevel="0" collapsed="false">
      <c r="A15" s="130" t="n">
        <v>3</v>
      </c>
      <c r="B15" s="131" t="s">
        <v>349</v>
      </c>
      <c r="C15" s="132" t="n">
        <v>815000</v>
      </c>
      <c r="D15" s="132" t="n">
        <f aca="false">815000</f>
        <v>815000</v>
      </c>
      <c r="E15" s="133" t="n">
        <f aca="false">C15-D15</f>
        <v>0</v>
      </c>
    </row>
    <row r="16" customFormat="false" ht="15" hidden="false" customHeight="false" outlineLevel="0" collapsed="false">
      <c r="A16" s="130" t="n">
        <v>4</v>
      </c>
      <c r="B16" s="131" t="s">
        <v>350</v>
      </c>
      <c r="C16" s="132" t="n">
        <v>815000</v>
      </c>
      <c r="D16" s="132" t="n">
        <f aca="false">335000+480000</f>
        <v>815000</v>
      </c>
      <c r="E16" s="133" t="n">
        <f aca="false">C16-D16</f>
        <v>0</v>
      </c>
    </row>
    <row r="17" customFormat="false" ht="15" hidden="false" customHeight="false" outlineLevel="0" collapsed="false">
      <c r="A17" s="130" t="n">
        <v>5</v>
      </c>
      <c r="B17" s="131" t="s">
        <v>351</v>
      </c>
      <c r="C17" s="132" t="n">
        <v>815000</v>
      </c>
      <c r="D17" s="132" t="n">
        <f aca="false">60000+140000+180000+200000+120000+100000+15000</f>
        <v>815000</v>
      </c>
      <c r="E17" s="133" t="n">
        <f aca="false">C17-D17</f>
        <v>0</v>
      </c>
    </row>
    <row r="18" customFormat="false" ht="15" hidden="false" customHeight="false" outlineLevel="0" collapsed="false">
      <c r="A18" s="130" t="n">
        <v>6</v>
      </c>
      <c r="B18" s="131" t="s">
        <v>352</v>
      </c>
      <c r="C18" s="132" t="n">
        <v>815000</v>
      </c>
      <c r="D18" s="132" t="n">
        <v>815000</v>
      </c>
      <c r="E18" s="133" t="n">
        <f aca="false">C18-D18</f>
        <v>0</v>
      </c>
    </row>
    <row r="19" customFormat="false" ht="15" hidden="false" customHeight="false" outlineLevel="0" collapsed="false">
      <c r="A19" s="130" t="n">
        <v>7</v>
      </c>
      <c r="B19" s="131" t="s">
        <v>353</v>
      </c>
      <c r="C19" s="132" t="n">
        <v>815000</v>
      </c>
      <c r="D19" s="132" t="n">
        <v>285000</v>
      </c>
      <c r="E19" s="133" t="n">
        <f aca="false">C19-D19</f>
        <v>530000</v>
      </c>
    </row>
    <row r="20" customFormat="false" ht="15" hidden="false" customHeight="false" outlineLevel="0" collapsed="false">
      <c r="A20" s="130" t="n">
        <v>8</v>
      </c>
      <c r="B20" s="131" t="s">
        <v>354</v>
      </c>
      <c r="C20" s="132" t="n">
        <v>815000</v>
      </c>
      <c r="D20" s="132"/>
      <c r="E20" s="133" t="n">
        <f aca="false">C20-D20</f>
        <v>815000</v>
      </c>
    </row>
    <row r="21" customFormat="false" ht="15" hidden="false" customHeight="false" outlineLevel="0" collapsed="false">
      <c r="A21" s="130" t="n">
        <v>9</v>
      </c>
      <c r="B21" s="131" t="s">
        <v>355</v>
      </c>
      <c r="C21" s="132" t="n">
        <v>815000</v>
      </c>
      <c r="D21" s="132" t="n">
        <f aca="false">200000+615000</f>
        <v>815000</v>
      </c>
      <c r="E21" s="133" t="n">
        <f aca="false">C21-D21</f>
        <v>0</v>
      </c>
    </row>
    <row r="22" customFormat="false" ht="15" hidden="false" customHeight="false" outlineLevel="0" collapsed="false">
      <c r="A22" s="130" t="n">
        <v>10</v>
      </c>
      <c r="B22" s="131" t="s">
        <v>356</v>
      </c>
      <c r="C22" s="132" t="n">
        <v>815000</v>
      </c>
      <c r="D22" s="132" t="n">
        <v>815000</v>
      </c>
      <c r="E22" s="133" t="n">
        <f aca="false">C22-D22</f>
        <v>0</v>
      </c>
    </row>
    <row r="23" customFormat="false" ht="15" hidden="false" customHeight="false" outlineLevel="0" collapsed="false">
      <c r="A23" s="130" t="n">
        <v>11</v>
      </c>
      <c r="B23" s="131" t="s">
        <v>357</v>
      </c>
      <c r="C23" s="132" t="n">
        <v>815000</v>
      </c>
      <c r="D23" s="132"/>
      <c r="E23" s="133" t="n">
        <f aca="false">C23-D23</f>
        <v>815000</v>
      </c>
    </row>
    <row r="24" customFormat="false" ht="15" hidden="false" customHeight="false" outlineLevel="0" collapsed="false">
      <c r="A24" s="130" t="n">
        <v>12</v>
      </c>
      <c r="B24" s="131" t="s">
        <v>358</v>
      </c>
      <c r="C24" s="132" t="n">
        <v>815000</v>
      </c>
      <c r="D24" s="132"/>
      <c r="E24" s="133" t="n">
        <f aca="false">C24-D24</f>
        <v>815000</v>
      </c>
    </row>
    <row r="25" customFormat="false" ht="15" hidden="false" customHeight="false" outlineLevel="0" collapsed="false">
      <c r="A25" s="130" t="n">
        <v>13</v>
      </c>
      <c r="B25" s="131" t="s">
        <v>359</v>
      </c>
      <c r="C25" s="132" t="n">
        <v>815000</v>
      </c>
      <c r="D25" s="132"/>
      <c r="E25" s="133" t="n">
        <f aca="false">C25-D25</f>
        <v>815000</v>
      </c>
    </row>
    <row r="26" customFormat="false" ht="15" hidden="false" customHeight="false" outlineLevel="0" collapsed="false">
      <c r="A26" s="130" t="n">
        <v>14</v>
      </c>
      <c r="B26" s="131" t="s">
        <v>360</v>
      </c>
      <c r="C26" s="132" t="n">
        <v>815000</v>
      </c>
      <c r="D26" s="132" t="n">
        <f aca="false">100000+415000+300000</f>
        <v>815000</v>
      </c>
      <c r="E26" s="133" t="n">
        <f aca="false">C26-D26</f>
        <v>0</v>
      </c>
    </row>
    <row r="27" customFormat="false" ht="15" hidden="false" customHeight="false" outlineLevel="0" collapsed="false">
      <c r="A27" s="130" t="n">
        <v>15</v>
      </c>
      <c r="B27" s="131" t="s">
        <v>361</v>
      </c>
      <c r="C27" s="132" t="n">
        <v>815000</v>
      </c>
      <c r="D27" s="132"/>
      <c r="E27" s="133" t="n">
        <f aca="false">C27-D27</f>
        <v>815000</v>
      </c>
    </row>
    <row r="28" customFormat="false" ht="15" hidden="false" customHeight="false" outlineLevel="0" collapsed="false">
      <c r="A28" s="130" t="n">
        <v>16</v>
      </c>
      <c r="B28" s="131" t="s">
        <v>362</v>
      </c>
      <c r="C28" s="132" t="n">
        <v>815000</v>
      </c>
      <c r="D28" s="132" t="n">
        <v>815000</v>
      </c>
      <c r="E28" s="133" t="n">
        <f aca="false">C28-D28</f>
        <v>0</v>
      </c>
    </row>
    <row r="29" customFormat="false" ht="15" hidden="false" customHeight="false" outlineLevel="0" collapsed="false">
      <c r="A29" s="130" t="n">
        <v>17</v>
      </c>
      <c r="B29" s="135" t="s">
        <v>363</v>
      </c>
      <c r="C29" s="136" t="n">
        <v>815000</v>
      </c>
      <c r="D29" s="136"/>
      <c r="E29" s="137" t="n">
        <f aca="false">C29-D29</f>
        <v>815000</v>
      </c>
    </row>
    <row r="30" customFormat="false" ht="15" hidden="false" customHeight="false" outlineLevel="0" collapsed="false">
      <c r="A30" s="130" t="n">
        <v>18</v>
      </c>
      <c r="B30" s="131" t="s">
        <v>364</v>
      </c>
      <c r="C30" s="132" t="n">
        <v>815000</v>
      </c>
      <c r="D30" s="132" t="n">
        <f aca="false">340000+160000+110000+205000</f>
        <v>815000</v>
      </c>
      <c r="E30" s="133" t="n">
        <f aca="false">C30-D30</f>
        <v>0</v>
      </c>
    </row>
    <row r="31" customFormat="false" ht="15" hidden="false" customHeight="false" outlineLevel="0" collapsed="false">
      <c r="A31" s="130" t="n">
        <v>19</v>
      </c>
      <c r="B31" s="131" t="s">
        <v>365</v>
      </c>
      <c r="C31" s="132" t="n">
        <v>815000</v>
      </c>
      <c r="D31" s="132" t="n">
        <f aca="false">200000+215000+200000+200000</f>
        <v>815000</v>
      </c>
      <c r="E31" s="133" t="n">
        <f aca="false">C31-D31</f>
        <v>0</v>
      </c>
    </row>
    <row r="32" customFormat="false" ht="15" hidden="false" customHeight="false" outlineLevel="0" collapsed="false">
      <c r="A32" s="130" t="n">
        <v>21</v>
      </c>
      <c r="B32" s="131" t="s">
        <v>366</v>
      </c>
      <c r="C32" s="132" t="n">
        <v>815000</v>
      </c>
      <c r="D32" s="132" t="n">
        <f aca="false">400000+415000</f>
        <v>815000</v>
      </c>
      <c r="E32" s="133" t="n">
        <f aca="false">C32-D32</f>
        <v>0</v>
      </c>
    </row>
    <row r="33" customFormat="false" ht="15" hidden="false" customHeight="false" outlineLevel="0" collapsed="false">
      <c r="A33" s="130" t="n">
        <v>22</v>
      </c>
      <c r="B33" s="131" t="s">
        <v>367</v>
      </c>
      <c r="C33" s="132" t="n">
        <v>815000</v>
      </c>
      <c r="D33" s="132" t="n">
        <f aca="false">300000+200000+50000+115000+150000</f>
        <v>815000</v>
      </c>
      <c r="E33" s="133" t="n">
        <f aca="false">C33-D33</f>
        <v>0</v>
      </c>
    </row>
    <row r="34" customFormat="false" ht="15" hidden="false" customHeight="false" outlineLevel="0" collapsed="false">
      <c r="A34" s="130" t="n">
        <v>23</v>
      </c>
      <c r="B34" s="131" t="s">
        <v>368</v>
      </c>
      <c r="C34" s="132" t="n">
        <v>815000</v>
      </c>
      <c r="D34" s="132" t="n">
        <f aca="false">100000</f>
        <v>100000</v>
      </c>
      <c r="E34" s="133" t="n">
        <f aca="false">C34-D34</f>
        <v>715000</v>
      </c>
    </row>
    <row r="35" customFormat="false" ht="15" hidden="false" customHeight="false" outlineLevel="0" collapsed="false">
      <c r="A35" s="130" t="n">
        <v>24</v>
      </c>
      <c r="B35" s="131" t="s">
        <v>369</v>
      </c>
      <c r="C35" s="132" t="n">
        <v>815000</v>
      </c>
      <c r="D35" s="132"/>
      <c r="E35" s="133" t="n">
        <f aca="false">C35-D35</f>
        <v>815000</v>
      </c>
    </row>
    <row r="36" customFormat="false" ht="15" hidden="false" customHeight="false" outlineLevel="0" collapsed="false">
      <c r="A36" s="130" t="n">
        <v>25</v>
      </c>
      <c r="B36" s="131" t="s">
        <v>370</v>
      </c>
      <c r="C36" s="132" t="n">
        <v>815000</v>
      </c>
      <c r="D36" s="132" t="n">
        <v>815000</v>
      </c>
      <c r="E36" s="133" t="n">
        <f aca="false">C36-D36</f>
        <v>0</v>
      </c>
    </row>
    <row r="37" customFormat="false" ht="15" hidden="false" customHeight="false" outlineLevel="0" collapsed="false">
      <c r="A37" s="130" t="n">
        <v>26</v>
      </c>
      <c r="B37" s="131" t="s">
        <v>371</v>
      </c>
      <c r="C37" s="132" t="n">
        <v>815000</v>
      </c>
      <c r="D37" s="132" t="n">
        <f aca="false">500000+315000</f>
        <v>815000</v>
      </c>
      <c r="E37" s="133" t="n">
        <f aca="false">C37-D37</f>
        <v>0</v>
      </c>
    </row>
    <row r="38" customFormat="false" ht="15" hidden="false" customHeight="false" outlineLevel="0" collapsed="false">
      <c r="A38" s="130" t="n">
        <v>27</v>
      </c>
      <c r="B38" s="131" t="s">
        <v>372</v>
      </c>
      <c r="C38" s="132" t="n">
        <v>815000</v>
      </c>
      <c r="D38" s="132"/>
      <c r="E38" s="133" t="n">
        <f aca="false">C38-D38</f>
        <v>815000</v>
      </c>
    </row>
    <row r="39" customFormat="false" ht="15" hidden="false" customHeight="false" outlineLevel="0" collapsed="false">
      <c r="A39" s="130" t="n">
        <v>28</v>
      </c>
      <c r="B39" s="131" t="s">
        <v>373</v>
      </c>
      <c r="C39" s="132" t="n">
        <v>815000</v>
      </c>
      <c r="D39" s="132"/>
      <c r="E39" s="133" t="n">
        <f aca="false">C39-D39</f>
        <v>815000</v>
      </c>
    </row>
    <row r="40" customFormat="false" ht="15" hidden="false" customHeight="false" outlineLevel="0" collapsed="false">
      <c r="A40" s="130" t="n">
        <v>29</v>
      </c>
      <c r="B40" s="131" t="s">
        <v>374</v>
      </c>
      <c r="C40" s="132" t="n">
        <v>815000</v>
      </c>
      <c r="D40" s="132" t="n">
        <f aca="false">315000+200000+300000</f>
        <v>815000</v>
      </c>
      <c r="E40" s="133" t="n">
        <f aca="false">C40-D40</f>
        <v>0</v>
      </c>
    </row>
    <row r="41" customFormat="false" ht="15" hidden="false" customHeight="false" outlineLevel="0" collapsed="false">
      <c r="A41" s="130" t="n">
        <v>30</v>
      </c>
      <c r="B41" s="131" t="s">
        <v>375</v>
      </c>
      <c r="C41" s="132" t="n">
        <v>815000</v>
      </c>
      <c r="D41" s="132" t="n">
        <f aca="false">450000</f>
        <v>450000</v>
      </c>
      <c r="E41" s="133" t="n">
        <f aca="false">C41-D41</f>
        <v>365000</v>
      </c>
    </row>
    <row r="42" customFormat="false" ht="15" hidden="false" customHeight="false" outlineLevel="0" collapsed="false">
      <c r="A42" s="130" t="n">
        <v>31</v>
      </c>
      <c r="B42" s="131" t="s">
        <v>376</v>
      </c>
      <c r="C42" s="132" t="n">
        <v>815000</v>
      </c>
      <c r="D42" s="132"/>
      <c r="E42" s="133" t="n">
        <f aca="false">C42-D42</f>
        <v>815000</v>
      </c>
    </row>
    <row r="43" customFormat="false" ht="15" hidden="false" customHeight="false" outlineLevel="0" collapsed="false">
      <c r="A43" s="130" t="n">
        <v>32</v>
      </c>
      <c r="B43" s="131" t="s">
        <v>377</v>
      </c>
      <c r="C43" s="132" t="n">
        <v>815000</v>
      </c>
      <c r="D43" s="132" t="n">
        <v>815000</v>
      </c>
      <c r="E43" s="133" t="n">
        <f aca="false">C43-D43</f>
        <v>0</v>
      </c>
    </row>
    <row r="44" customFormat="false" ht="15" hidden="false" customHeight="false" outlineLevel="0" collapsed="false">
      <c r="A44" s="130" t="n">
        <v>33</v>
      </c>
      <c r="B44" s="131" t="s">
        <v>378</v>
      </c>
      <c r="C44" s="132" t="n">
        <v>815000</v>
      </c>
      <c r="D44" s="132" t="n">
        <f aca="false">100000+100000+100000+200000+315000</f>
        <v>815000</v>
      </c>
      <c r="E44" s="133" t="n">
        <f aca="false">C44-D44</f>
        <v>0</v>
      </c>
    </row>
    <row r="45" customFormat="false" ht="15" hidden="false" customHeight="false" outlineLevel="0" collapsed="false">
      <c r="A45" s="130" t="n">
        <v>34</v>
      </c>
      <c r="B45" s="131" t="s">
        <v>379</v>
      </c>
      <c r="C45" s="132" t="n">
        <v>815000</v>
      </c>
      <c r="D45" s="132" t="n">
        <v>815000</v>
      </c>
      <c r="E45" s="133" t="n">
        <f aca="false">C45-D45</f>
        <v>0</v>
      </c>
    </row>
    <row r="46" customFormat="false" ht="15" hidden="false" customHeight="false" outlineLevel="0" collapsed="false">
      <c r="A46" s="130" t="n">
        <v>35</v>
      </c>
      <c r="B46" s="131" t="s">
        <v>380</v>
      </c>
      <c r="C46" s="132" t="n">
        <v>815000</v>
      </c>
      <c r="D46" s="132" t="n">
        <f aca="false">85000+200000+200000+315000+15000</f>
        <v>815000</v>
      </c>
      <c r="E46" s="133" t="n">
        <f aca="false">C46-D46</f>
        <v>0</v>
      </c>
    </row>
    <row r="47" customFormat="false" ht="15" hidden="false" customHeight="false" outlineLevel="0" collapsed="false">
      <c r="A47" s="130" t="n">
        <v>36</v>
      </c>
      <c r="B47" s="131" t="s">
        <v>381</v>
      </c>
      <c r="C47" s="132" t="n">
        <v>225000</v>
      </c>
      <c r="D47" s="132" t="n">
        <v>225000</v>
      </c>
      <c r="E47" s="133" t="n">
        <f aca="false">C47-D47</f>
        <v>0</v>
      </c>
    </row>
    <row r="48" customFormat="false" ht="15" hidden="false" customHeight="false" outlineLevel="0" collapsed="false">
      <c r="A48" s="130" t="n">
        <v>37</v>
      </c>
      <c r="B48" s="131" t="s">
        <v>382</v>
      </c>
      <c r="C48" s="132" t="n">
        <v>815000</v>
      </c>
      <c r="D48" s="132" t="n">
        <f aca="false">685000+130000</f>
        <v>815000</v>
      </c>
      <c r="E48" s="133" t="n">
        <f aca="false">C48-D48</f>
        <v>0</v>
      </c>
    </row>
    <row r="49" customFormat="false" ht="15" hidden="false" customHeight="false" outlineLevel="0" collapsed="false">
      <c r="A49" s="130" t="n">
        <v>38</v>
      </c>
      <c r="B49" s="131" t="s">
        <v>383</v>
      </c>
      <c r="C49" s="132" t="n">
        <v>815000</v>
      </c>
      <c r="D49" s="132" t="n">
        <f aca="false">10000+100000+715000</f>
        <v>825000</v>
      </c>
      <c r="E49" s="133" t="n">
        <f aca="false">C49-D49</f>
        <v>-10000</v>
      </c>
    </row>
    <row r="50" customFormat="false" ht="15" hidden="false" customHeight="false" outlineLevel="0" collapsed="false">
      <c r="A50" s="130" t="n">
        <v>39</v>
      </c>
      <c r="B50" s="131" t="s">
        <v>384</v>
      </c>
      <c r="C50" s="132" t="n">
        <v>815000</v>
      </c>
      <c r="D50" s="132" t="n">
        <f aca="false">85000+200000+530000</f>
        <v>815000</v>
      </c>
      <c r="E50" s="133" t="n">
        <f aca="false">C50-D50</f>
        <v>0</v>
      </c>
    </row>
    <row r="51" customFormat="false" ht="15" hidden="false" customHeight="false" outlineLevel="0" collapsed="false">
      <c r="A51" s="130" t="n">
        <v>40</v>
      </c>
      <c r="B51" s="131" t="s">
        <v>385</v>
      </c>
      <c r="C51" s="132" t="n">
        <v>815000</v>
      </c>
      <c r="D51" s="132"/>
      <c r="E51" s="133" t="n">
        <f aca="false">C51-D51</f>
        <v>815000</v>
      </c>
    </row>
    <row r="52" customFormat="false" ht="15" hidden="false" customHeight="false" outlineLevel="0" collapsed="false">
      <c r="A52" s="130" t="n">
        <v>41</v>
      </c>
      <c r="B52" s="131" t="s">
        <v>386</v>
      </c>
      <c r="C52" s="132" t="n">
        <v>815000</v>
      </c>
      <c r="D52" s="132" t="n">
        <v>815000</v>
      </c>
      <c r="E52" s="133" t="n">
        <f aca="false">C52-D52</f>
        <v>0</v>
      </c>
    </row>
    <row r="53" customFormat="false" ht="15" hidden="false" customHeight="false" outlineLevel="0" collapsed="false">
      <c r="A53" s="130" t="n">
        <v>42</v>
      </c>
      <c r="B53" s="131" t="s">
        <v>387</v>
      </c>
      <c r="C53" s="132" t="n">
        <v>815000</v>
      </c>
      <c r="D53" s="132" t="n">
        <f aca="false">30000+215000+120000+450000</f>
        <v>815000</v>
      </c>
      <c r="E53" s="133" t="n">
        <f aca="false">C53-D53</f>
        <v>0</v>
      </c>
    </row>
    <row r="54" customFormat="false" ht="19.7" hidden="false" customHeight="false" outlineLevel="0" collapsed="false">
      <c r="A54" s="138"/>
      <c r="B54" s="139" t="s">
        <v>24</v>
      </c>
      <c r="C54" s="140" t="n">
        <f aca="false">SUM(C13:C53)</f>
        <v>32825000</v>
      </c>
      <c r="D54" s="141" t="n">
        <f aca="false">SUM(D13:D53)</f>
        <v>21445000</v>
      </c>
      <c r="E54" s="142" t="n">
        <f aca="false">SUM(E13:E53)</f>
        <v>11380000</v>
      </c>
    </row>
    <row r="59" customFormat="false" ht="15" hidden="false" customHeight="false" outlineLevel="0" collapsed="false">
      <c r="B59" s="143" t="s">
        <v>388</v>
      </c>
    </row>
    <row r="60" customFormat="false" ht="12" hidden="false" customHeight="true" outlineLevel="0" collapsed="false">
      <c r="A60" s="76"/>
    </row>
    <row r="61" customFormat="false" ht="17.25" hidden="false" customHeight="false" outlineLevel="0" collapsed="false">
      <c r="B61" s="123" t="s">
        <v>389</v>
      </c>
    </row>
    <row r="63" customFormat="false" ht="18.75" hidden="false" customHeight="true" outlineLevel="0" collapsed="false">
      <c r="B63" s="124" t="s">
        <v>390</v>
      </c>
    </row>
    <row r="65" customFormat="false" ht="15" hidden="false" customHeight="false" outlineLevel="0" collapsed="false">
      <c r="A65" s="126" t="s">
        <v>3</v>
      </c>
      <c r="B65" s="144" t="s">
        <v>4</v>
      </c>
      <c r="C65" s="9" t="s">
        <v>5</v>
      </c>
      <c r="D65" s="128" t="s">
        <v>6</v>
      </c>
      <c r="E65" s="129" t="s">
        <v>7</v>
      </c>
    </row>
    <row r="66" customFormat="false" ht="15" hidden="false" customHeight="false" outlineLevel="0" collapsed="false">
      <c r="A66" s="130" t="n">
        <v>1</v>
      </c>
      <c r="B66" s="145" t="s">
        <v>391</v>
      </c>
      <c r="C66" s="132" t="n">
        <v>815000</v>
      </c>
      <c r="D66" s="132" t="n">
        <f aca="false">150000+150000+50000+30000+435000</f>
        <v>815000</v>
      </c>
      <c r="E66" s="133" t="n">
        <f aca="false">C66-D66</f>
        <v>0</v>
      </c>
    </row>
    <row r="67" customFormat="false" ht="15" hidden="false" customHeight="false" outlineLevel="0" collapsed="false">
      <c r="A67" s="130" t="n">
        <v>2</v>
      </c>
      <c r="B67" s="145" t="s">
        <v>392</v>
      </c>
      <c r="C67" s="132" t="n">
        <v>815000</v>
      </c>
      <c r="D67" s="132" t="n">
        <f aca="false">450000+365000</f>
        <v>815000</v>
      </c>
      <c r="E67" s="133" t="n">
        <f aca="false">C67-D67</f>
        <v>0</v>
      </c>
    </row>
    <row r="68" customFormat="false" ht="15" hidden="false" customHeight="false" outlineLevel="0" collapsed="false">
      <c r="A68" s="130" t="n">
        <v>3</v>
      </c>
      <c r="B68" s="145" t="s">
        <v>393</v>
      </c>
      <c r="C68" s="132" t="n">
        <v>815000</v>
      </c>
      <c r="D68" s="132" t="n">
        <v>815000</v>
      </c>
      <c r="E68" s="133" t="n">
        <f aca="false">C68-D68</f>
        <v>0</v>
      </c>
    </row>
    <row r="69" customFormat="false" ht="15" hidden="false" customHeight="false" outlineLevel="0" collapsed="false">
      <c r="A69" s="130" t="n">
        <v>4</v>
      </c>
      <c r="B69" s="145" t="s">
        <v>394</v>
      </c>
      <c r="C69" s="132" t="n">
        <v>815000</v>
      </c>
      <c r="D69" s="132" t="n">
        <v>815000</v>
      </c>
      <c r="E69" s="133" t="n">
        <f aca="false">C69-D69</f>
        <v>0</v>
      </c>
    </row>
    <row r="70" customFormat="false" ht="15" hidden="false" customHeight="false" outlineLevel="0" collapsed="false">
      <c r="A70" s="130" t="n">
        <v>5</v>
      </c>
      <c r="B70" s="145" t="s">
        <v>395</v>
      </c>
      <c r="C70" s="132" t="n">
        <v>815000</v>
      </c>
      <c r="D70" s="132" t="n">
        <v>815000</v>
      </c>
      <c r="E70" s="133" t="n">
        <f aca="false">C70-D70</f>
        <v>0</v>
      </c>
    </row>
    <row r="71" customFormat="false" ht="15" hidden="false" customHeight="false" outlineLevel="0" collapsed="false">
      <c r="A71" s="130" t="n">
        <v>6</v>
      </c>
      <c r="B71" s="145" t="s">
        <v>396</v>
      </c>
      <c r="C71" s="132" t="n">
        <v>815000</v>
      </c>
      <c r="D71" s="132" t="n">
        <f aca="false">260000+415000+80000+60000</f>
        <v>815000</v>
      </c>
      <c r="E71" s="133" t="n">
        <f aca="false">C71-D71</f>
        <v>0</v>
      </c>
    </row>
    <row r="72" customFormat="false" ht="15" hidden="false" customHeight="false" outlineLevel="0" collapsed="false">
      <c r="A72" s="130" t="n">
        <v>7</v>
      </c>
      <c r="B72" s="145" t="s">
        <v>397</v>
      </c>
      <c r="C72" s="132" t="n">
        <v>815000</v>
      </c>
      <c r="D72" s="132" t="n">
        <f aca="false">200000+615000</f>
        <v>815000</v>
      </c>
      <c r="E72" s="133" t="n">
        <f aca="false">C72-D72</f>
        <v>0</v>
      </c>
    </row>
    <row r="73" customFormat="false" ht="15" hidden="false" customHeight="false" outlineLevel="0" collapsed="false">
      <c r="A73" s="130" t="n">
        <v>8</v>
      </c>
      <c r="B73" s="146" t="s">
        <v>398</v>
      </c>
      <c r="C73" s="147" t="n">
        <v>815000</v>
      </c>
      <c r="D73" s="147" t="n">
        <f aca="false">100000+215000+165000+335000</f>
        <v>815000</v>
      </c>
      <c r="E73" s="148" t="n">
        <f aca="false">C73-D73</f>
        <v>0</v>
      </c>
    </row>
    <row r="74" customFormat="false" ht="15" hidden="false" customHeight="false" outlineLevel="0" collapsed="false">
      <c r="A74" s="130" t="n">
        <v>9</v>
      </c>
      <c r="B74" s="145" t="s">
        <v>399</v>
      </c>
      <c r="C74" s="132" t="n">
        <v>815000</v>
      </c>
      <c r="D74" s="132" t="n">
        <f aca="false">300000+100000+300000+115000</f>
        <v>815000</v>
      </c>
      <c r="E74" s="133" t="n">
        <f aca="false">C74-D74</f>
        <v>0</v>
      </c>
    </row>
    <row r="75" customFormat="false" ht="15" hidden="false" customHeight="false" outlineLevel="0" collapsed="false">
      <c r="A75" s="130" t="n">
        <v>10</v>
      </c>
      <c r="B75" s="145" t="s">
        <v>400</v>
      </c>
      <c r="C75" s="132" t="n">
        <v>815000</v>
      </c>
      <c r="D75" s="132" t="n">
        <f aca="false">600000</f>
        <v>600000</v>
      </c>
      <c r="E75" s="133" t="n">
        <f aca="false">C75-D75</f>
        <v>215000</v>
      </c>
    </row>
    <row r="76" customFormat="false" ht="15" hidden="false" customHeight="false" outlineLevel="0" collapsed="false">
      <c r="A76" s="130" t="n">
        <v>11</v>
      </c>
      <c r="B76" s="145" t="s">
        <v>401</v>
      </c>
      <c r="C76" s="132" t="n">
        <v>815000</v>
      </c>
      <c r="D76" s="132" t="n">
        <f aca="false">200000+315000+100000+200000</f>
        <v>815000</v>
      </c>
      <c r="E76" s="133" t="n">
        <f aca="false">C76-D76</f>
        <v>0</v>
      </c>
    </row>
    <row r="77" customFormat="false" ht="15" hidden="false" customHeight="false" outlineLevel="0" collapsed="false">
      <c r="A77" s="130" t="n">
        <v>12</v>
      </c>
      <c r="B77" s="145" t="s">
        <v>402</v>
      </c>
      <c r="C77" s="132" t="n">
        <v>815000</v>
      </c>
      <c r="D77" s="132" t="n">
        <f aca="false">500000+315000</f>
        <v>815000</v>
      </c>
      <c r="E77" s="133" t="n">
        <f aca="false">C77-D77</f>
        <v>0</v>
      </c>
    </row>
    <row r="78" customFormat="false" ht="15" hidden="false" customHeight="false" outlineLevel="0" collapsed="false">
      <c r="A78" s="130" t="n">
        <v>13</v>
      </c>
      <c r="B78" s="131" t="s">
        <v>403</v>
      </c>
      <c r="C78" s="132" t="n">
        <v>815000</v>
      </c>
      <c r="D78" s="132" t="n">
        <f aca="false">500000+315000</f>
        <v>815000</v>
      </c>
      <c r="E78" s="133" t="n">
        <f aca="false">C78-D78</f>
        <v>0</v>
      </c>
    </row>
    <row r="79" customFormat="false" ht="15" hidden="false" customHeight="false" outlineLevel="0" collapsed="false">
      <c r="A79" s="130" t="n">
        <v>14</v>
      </c>
      <c r="B79" s="145" t="s">
        <v>404</v>
      </c>
      <c r="C79" s="132" t="n">
        <v>815000</v>
      </c>
      <c r="D79" s="132" t="n">
        <f aca="false">130000+165000+100000+220000+100000+100000</f>
        <v>815000</v>
      </c>
      <c r="E79" s="133" t="n">
        <f aca="false">C79-D79</f>
        <v>0</v>
      </c>
    </row>
    <row r="80" customFormat="false" ht="15" hidden="false" customHeight="false" outlineLevel="0" collapsed="false">
      <c r="A80" s="130" t="n">
        <v>15</v>
      </c>
      <c r="B80" s="145" t="s">
        <v>405</v>
      </c>
      <c r="C80" s="132" t="n">
        <v>815000</v>
      </c>
      <c r="D80" s="132" t="n">
        <f aca="false">250000+250000+100000+215000</f>
        <v>815000</v>
      </c>
      <c r="E80" s="133" t="n">
        <f aca="false">C80-D80</f>
        <v>0</v>
      </c>
    </row>
    <row r="81" customFormat="false" ht="15" hidden="false" customHeight="false" outlineLevel="0" collapsed="false">
      <c r="A81" s="130" t="n">
        <v>16</v>
      </c>
      <c r="B81" s="145" t="s">
        <v>406</v>
      </c>
      <c r="C81" s="132" t="n">
        <v>815000</v>
      </c>
      <c r="D81" s="132" t="n">
        <f aca="false">300000+100000+100000+315000</f>
        <v>815000</v>
      </c>
      <c r="E81" s="133" t="n">
        <f aca="false">C81-D81</f>
        <v>0</v>
      </c>
    </row>
    <row r="82" customFormat="false" ht="15" hidden="false" customHeight="false" outlineLevel="0" collapsed="false">
      <c r="A82" s="130" t="n">
        <v>17</v>
      </c>
      <c r="B82" s="145" t="s">
        <v>407</v>
      </c>
      <c r="C82" s="132" t="n">
        <v>815000</v>
      </c>
      <c r="D82" s="132" t="n">
        <f aca="false">100000+715000</f>
        <v>815000</v>
      </c>
      <c r="E82" s="133" t="n">
        <f aca="false">C82-D82</f>
        <v>0</v>
      </c>
    </row>
    <row r="83" customFormat="false" ht="15" hidden="false" customHeight="false" outlineLevel="0" collapsed="false">
      <c r="A83" s="130" t="n">
        <v>18</v>
      </c>
      <c r="B83" s="145" t="s">
        <v>408</v>
      </c>
      <c r="C83" s="132" t="n">
        <v>815000</v>
      </c>
      <c r="D83" s="132" t="n">
        <f aca="false">500000+315000</f>
        <v>815000</v>
      </c>
      <c r="E83" s="133" t="n">
        <f aca="false">C83-D83</f>
        <v>0</v>
      </c>
    </row>
    <row r="84" customFormat="false" ht="15" hidden="false" customHeight="false" outlineLevel="0" collapsed="false">
      <c r="A84" s="130" t="n">
        <v>19</v>
      </c>
      <c r="B84" s="146" t="s">
        <v>409</v>
      </c>
      <c r="C84" s="132" t="n">
        <v>815000</v>
      </c>
      <c r="D84" s="132" t="n">
        <f aca="false">450000+200000+165000</f>
        <v>815000</v>
      </c>
      <c r="E84" s="133" t="n">
        <f aca="false">C84-D84</f>
        <v>0</v>
      </c>
    </row>
    <row r="85" customFormat="false" ht="15" hidden="false" customHeight="false" outlineLevel="0" collapsed="false">
      <c r="A85" s="130" t="n">
        <v>20</v>
      </c>
      <c r="B85" s="145" t="s">
        <v>410</v>
      </c>
      <c r="C85" s="132" t="n">
        <v>815000</v>
      </c>
      <c r="D85" s="132" t="n">
        <f aca="false">500000+100000+215000</f>
        <v>815000</v>
      </c>
      <c r="E85" s="133" t="n">
        <f aca="false">C85-D85</f>
        <v>0</v>
      </c>
    </row>
    <row r="86" customFormat="false" ht="15" hidden="false" customHeight="false" outlineLevel="0" collapsed="false">
      <c r="A86" s="130" t="n">
        <v>21</v>
      </c>
      <c r="B86" s="145" t="s">
        <v>411</v>
      </c>
      <c r="C86" s="132" t="n">
        <v>815000</v>
      </c>
      <c r="D86" s="132" t="n">
        <f aca="false">15000+200000+200000+200000+100000+100000</f>
        <v>815000</v>
      </c>
      <c r="E86" s="133" t="n">
        <f aca="false">C86-D86</f>
        <v>0</v>
      </c>
    </row>
    <row r="87" customFormat="false" ht="19.7" hidden="false" customHeight="false" outlineLevel="0" collapsed="false">
      <c r="A87" s="138"/>
      <c r="B87" s="139" t="s">
        <v>24</v>
      </c>
      <c r="C87" s="140" t="n">
        <f aca="false">SUM(C66:C86)</f>
        <v>17115000</v>
      </c>
      <c r="D87" s="141" t="n">
        <f aca="false">SUM(D66:D86)</f>
        <v>16900000</v>
      </c>
      <c r="E87" s="142" t="n">
        <f aca="false">SUM(E66:E86)</f>
        <v>215000</v>
      </c>
    </row>
    <row r="95" customFormat="false" ht="17.35" hidden="false" customHeight="false" outlineLevel="0" collapsed="false">
      <c r="A95" s="76"/>
      <c r="B95" s="149" t="s">
        <v>412</v>
      </c>
    </row>
    <row r="97" customFormat="false" ht="17.25" hidden="false" customHeight="false" outlineLevel="0" collapsed="false">
      <c r="B97" s="123" t="s">
        <v>413</v>
      </c>
    </row>
    <row r="99" customFormat="false" ht="16.5" hidden="false" customHeight="true" outlineLevel="0" collapsed="false">
      <c r="B99" s="77"/>
    </row>
    <row r="100" customFormat="false" ht="23.25" hidden="false" customHeight="true" outlineLevel="0" collapsed="false">
      <c r="B100" s="125" t="s">
        <v>414</v>
      </c>
    </row>
    <row r="102" customFormat="false" ht="15" hidden="false" customHeight="false" outlineLevel="0" collapsed="false">
      <c r="A102" s="126" t="s">
        <v>3</v>
      </c>
      <c r="B102" s="144" t="s">
        <v>4</v>
      </c>
      <c r="C102" s="9" t="s">
        <v>5</v>
      </c>
      <c r="D102" s="128" t="s">
        <v>6</v>
      </c>
      <c r="E102" s="129" t="s">
        <v>7</v>
      </c>
    </row>
    <row r="103" customFormat="false" ht="15" hidden="false" customHeight="false" outlineLevel="0" collapsed="false">
      <c r="A103" s="130" t="n">
        <v>1</v>
      </c>
      <c r="B103" s="145" t="s">
        <v>415</v>
      </c>
      <c r="C103" s="132" t="n">
        <v>416500</v>
      </c>
      <c r="D103" s="147" t="n">
        <v>416500</v>
      </c>
      <c r="E103" s="133" t="n">
        <f aca="false">C103-D103</f>
        <v>0</v>
      </c>
    </row>
    <row r="104" customFormat="false" ht="15" hidden="false" customHeight="false" outlineLevel="0" collapsed="false">
      <c r="A104" s="130" t="n">
        <v>2</v>
      </c>
      <c r="B104" s="145" t="s">
        <v>416</v>
      </c>
      <c r="C104" s="132" t="n">
        <v>416500</v>
      </c>
      <c r="D104" s="147" t="n">
        <v>416500</v>
      </c>
      <c r="E104" s="133" t="n">
        <f aca="false">C104-D104</f>
        <v>0</v>
      </c>
    </row>
    <row r="105" customFormat="false" ht="15" hidden="false" customHeight="false" outlineLevel="0" collapsed="false">
      <c r="A105" s="130" t="n">
        <v>3</v>
      </c>
      <c r="B105" s="145" t="s">
        <v>417</v>
      </c>
      <c r="C105" s="132" t="n">
        <v>416500</v>
      </c>
      <c r="D105" s="147"/>
      <c r="E105" s="133" t="n">
        <f aca="false">C105-D105</f>
        <v>416500</v>
      </c>
    </row>
    <row r="106" customFormat="false" ht="15" hidden="false" customHeight="false" outlineLevel="0" collapsed="false">
      <c r="A106" s="130" t="n">
        <v>4</v>
      </c>
      <c r="B106" s="145" t="s">
        <v>418</v>
      </c>
      <c r="C106" s="132" t="n">
        <v>416500</v>
      </c>
      <c r="D106" s="147" t="n">
        <v>416500</v>
      </c>
      <c r="E106" s="133" t="n">
        <f aca="false">C106-D106</f>
        <v>0</v>
      </c>
    </row>
    <row r="107" customFormat="false" ht="15" hidden="false" customHeight="false" outlineLevel="0" collapsed="false">
      <c r="A107" s="130" t="n">
        <v>5</v>
      </c>
      <c r="B107" s="145" t="s">
        <v>419</v>
      </c>
      <c r="C107" s="132" t="n">
        <v>416500</v>
      </c>
      <c r="D107" s="147" t="n">
        <v>416500</v>
      </c>
      <c r="E107" s="133" t="n">
        <f aca="false">C107-D107</f>
        <v>0</v>
      </c>
    </row>
    <row r="108" customFormat="false" ht="15" hidden="false" customHeight="false" outlineLevel="0" collapsed="false">
      <c r="A108" s="130" t="n">
        <v>6</v>
      </c>
      <c r="B108" s="145" t="s">
        <v>420</v>
      </c>
      <c r="C108" s="132" t="n">
        <v>416500</v>
      </c>
      <c r="D108" s="147"/>
      <c r="E108" s="133" t="n">
        <f aca="false">C108-D108</f>
        <v>416500</v>
      </c>
    </row>
    <row r="109" customFormat="false" ht="15" hidden="false" customHeight="false" outlineLevel="0" collapsed="false">
      <c r="A109" s="130" t="n">
        <v>7</v>
      </c>
      <c r="B109" s="145" t="s">
        <v>421</v>
      </c>
      <c r="C109" s="132" t="n">
        <v>416500</v>
      </c>
      <c r="D109" s="147"/>
      <c r="E109" s="133" t="n">
        <f aca="false">C109-D109</f>
        <v>416500</v>
      </c>
    </row>
    <row r="110" customFormat="false" ht="15" hidden="false" customHeight="false" outlineLevel="0" collapsed="false">
      <c r="A110" s="130" t="n">
        <v>8</v>
      </c>
      <c r="B110" s="145" t="s">
        <v>422</v>
      </c>
      <c r="C110" s="132" t="n">
        <v>416500</v>
      </c>
      <c r="D110" s="147"/>
      <c r="E110" s="133" t="n">
        <f aca="false">C110-D110</f>
        <v>416500</v>
      </c>
    </row>
    <row r="111" customFormat="false" ht="15" hidden="false" customHeight="false" outlineLevel="0" collapsed="false">
      <c r="A111" s="130" t="n">
        <v>9</v>
      </c>
      <c r="B111" s="145" t="s">
        <v>423</v>
      </c>
      <c r="C111" s="132" t="n">
        <v>416500</v>
      </c>
      <c r="D111" s="147"/>
      <c r="E111" s="133" t="n">
        <f aca="false">C111-D111</f>
        <v>416500</v>
      </c>
    </row>
    <row r="112" customFormat="false" ht="15" hidden="false" customHeight="false" outlineLevel="0" collapsed="false">
      <c r="A112" s="130" t="n">
        <v>10</v>
      </c>
      <c r="B112" s="145" t="s">
        <v>424</v>
      </c>
      <c r="C112" s="132" t="n">
        <v>416500</v>
      </c>
      <c r="D112" s="147" t="n">
        <v>416500</v>
      </c>
      <c r="E112" s="133" t="n">
        <f aca="false">C112-D112</f>
        <v>0</v>
      </c>
    </row>
    <row r="113" customFormat="false" ht="15" hidden="false" customHeight="false" outlineLevel="0" collapsed="false">
      <c r="A113" s="130" t="n">
        <v>11</v>
      </c>
      <c r="B113" s="145" t="s">
        <v>425</v>
      </c>
      <c r="C113" s="132" t="n">
        <v>416500</v>
      </c>
      <c r="D113" s="147"/>
      <c r="E113" s="133" t="n">
        <f aca="false">C113-D113</f>
        <v>416500</v>
      </c>
    </row>
    <row r="114" customFormat="false" ht="15" hidden="false" customHeight="false" outlineLevel="0" collapsed="false">
      <c r="A114" s="130" t="n">
        <v>12</v>
      </c>
      <c r="B114" s="145" t="s">
        <v>426</v>
      </c>
      <c r="C114" s="132" t="n">
        <v>416500</v>
      </c>
      <c r="D114" s="147"/>
      <c r="E114" s="133" t="n">
        <f aca="false">C114-D114</f>
        <v>416500</v>
      </c>
    </row>
    <row r="115" customFormat="false" ht="15" hidden="false" customHeight="false" outlineLevel="0" collapsed="false">
      <c r="A115" s="130" t="n">
        <v>13</v>
      </c>
      <c r="B115" s="145" t="s">
        <v>427</v>
      </c>
      <c r="C115" s="132" t="n">
        <v>416500</v>
      </c>
      <c r="D115" s="147"/>
      <c r="E115" s="133" t="n">
        <f aca="false">C115-D115</f>
        <v>416500</v>
      </c>
    </row>
    <row r="116" customFormat="false" ht="15" hidden="false" customHeight="false" outlineLevel="0" collapsed="false">
      <c r="A116" s="130" t="n">
        <v>14</v>
      </c>
      <c r="B116" s="145" t="s">
        <v>428</v>
      </c>
      <c r="C116" s="132" t="n">
        <v>416500</v>
      </c>
      <c r="D116" s="147" t="n">
        <v>416500</v>
      </c>
      <c r="E116" s="133" t="n">
        <f aca="false">C116-D116</f>
        <v>0</v>
      </c>
    </row>
    <row r="117" customFormat="false" ht="15" hidden="false" customHeight="false" outlineLevel="0" collapsed="false">
      <c r="A117" s="130" t="n">
        <v>15</v>
      </c>
      <c r="B117" s="145" t="s">
        <v>429</v>
      </c>
      <c r="C117" s="132" t="n">
        <v>416500</v>
      </c>
      <c r="D117" s="147"/>
      <c r="E117" s="133" t="n">
        <f aca="false">C117-D117</f>
        <v>416500</v>
      </c>
    </row>
    <row r="118" customFormat="false" ht="15" hidden="false" customHeight="false" outlineLevel="0" collapsed="false">
      <c r="A118" s="130" t="n">
        <v>16</v>
      </c>
      <c r="B118" s="145" t="s">
        <v>430</v>
      </c>
      <c r="C118" s="132" t="n">
        <v>416500</v>
      </c>
      <c r="D118" s="147"/>
      <c r="E118" s="133" t="n">
        <f aca="false">C118-D118</f>
        <v>416500</v>
      </c>
    </row>
    <row r="119" customFormat="false" ht="15" hidden="false" customHeight="false" outlineLevel="0" collapsed="false">
      <c r="A119" s="130" t="n">
        <v>17</v>
      </c>
      <c r="B119" s="145" t="s">
        <v>431</v>
      </c>
      <c r="C119" s="132" t="n">
        <v>416500</v>
      </c>
      <c r="D119" s="147" t="n">
        <f aca="false">200000</f>
        <v>200000</v>
      </c>
      <c r="E119" s="133" t="n">
        <f aca="false">C119-D119</f>
        <v>216500</v>
      </c>
    </row>
    <row r="120" customFormat="false" ht="15" hidden="false" customHeight="false" outlineLevel="0" collapsed="false">
      <c r="A120" s="130" t="n">
        <v>18</v>
      </c>
      <c r="B120" s="150" t="s">
        <v>432</v>
      </c>
      <c r="C120" s="136" t="n">
        <v>416500</v>
      </c>
      <c r="D120" s="136" t="n">
        <f aca="false">416500</f>
        <v>416500</v>
      </c>
      <c r="E120" s="137" t="n">
        <f aca="false">C120-D120</f>
        <v>0</v>
      </c>
    </row>
    <row r="121" customFormat="false" ht="15" hidden="false" customHeight="false" outlineLevel="0" collapsed="false">
      <c r="A121" s="130" t="n">
        <v>19</v>
      </c>
      <c r="B121" s="145" t="s">
        <v>433</v>
      </c>
      <c r="C121" s="132" t="n">
        <v>416500</v>
      </c>
      <c r="D121" s="147" t="n">
        <v>416500</v>
      </c>
      <c r="E121" s="133" t="n">
        <f aca="false">C121-D121</f>
        <v>0</v>
      </c>
    </row>
    <row r="122" customFormat="false" ht="15" hidden="false" customHeight="false" outlineLevel="0" collapsed="false">
      <c r="A122" s="130" t="n">
        <v>20</v>
      </c>
      <c r="B122" s="145" t="s">
        <v>434</v>
      </c>
      <c r="C122" s="132" t="n">
        <v>416500</v>
      </c>
      <c r="D122" s="147" t="n">
        <v>416500</v>
      </c>
      <c r="E122" s="133" t="n">
        <f aca="false">C122-D122</f>
        <v>0</v>
      </c>
    </row>
    <row r="123" customFormat="false" ht="15" hidden="false" customHeight="false" outlineLevel="0" collapsed="false">
      <c r="A123" s="130" t="n">
        <v>21</v>
      </c>
      <c r="B123" s="145" t="s">
        <v>435</v>
      </c>
      <c r="C123" s="132" t="n">
        <v>416500</v>
      </c>
      <c r="D123" s="147" t="n">
        <v>416500</v>
      </c>
      <c r="E123" s="133" t="n">
        <f aca="false">C123-D123</f>
        <v>0</v>
      </c>
    </row>
    <row r="124" customFormat="false" ht="15" hidden="false" customHeight="false" outlineLevel="0" collapsed="false">
      <c r="A124" s="130" t="n">
        <v>22</v>
      </c>
      <c r="B124" s="145" t="s">
        <v>436</v>
      </c>
      <c r="C124" s="132" t="n">
        <v>416500</v>
      </c>
      <c r="D124" s="147"/>
      <c r="E124" s="133" t="n">
        <f aca="false">C124-D124</f>
        <v>416500</v>
      </c>
    </row>
    <row r="125" customFormat="false" ht="15" hidden="false" customHeight="false" outlineLevel="0" collapsed="false">
      <c r="A125" s="130" t="n">
        <v>23</v>
      </c>
      <c r="B125" s="145" t="s">
        <v>437</v>
      </c>
      <c r="C125" s="132" t="n">
        <v>416500</v>
      </c>
      <c r="D125" s="147" t="n">
        <v>416500</v>
      </c>
      <c r="E125" s="133" t="n">
        <f aca="false">C125-D125</f>
        <v>0</v>
      </c>
    </row>
    <row r="126" customFormat="false" ht="15" hidden="false" customHeight="false" outlineLevel="0" collapsed="false">
      <c r="A126" s="130" t="n">
        <v>24</v>
      </c>
      <c r="B126" s="145" t="s">
        <v>438</v>
      </c>
      <c r="C126" s="132" t="n">
        <v>416500</v>
      </c>
      <c r="D126" s="147"/>
      <c r="E126" s="133" t="n">
        <f aca="false">C126-D126</f>
        <v>416500</v>
      </c>
    </row>
    <row r="127" customFormat="false" ht="19.7" hidden="false" customHeight="false" outlineLevel="0" collapsed="false">
      <c r="A127" s="138"/>
      <c r="B127" s="139" t="s">
        <v>24</v>
      </c>
      <c r="C127" s="140" t="n">
        <f aca="false">SUM(C103:C126)</f>
        <v>9996000</v>
      </c>
      <c r="D127" s="141" t="n">
        <f aca="false">SUM(D103:D126)</f>
        <v>4781500</v>
      </c>
      <c r="E127" s="142" t="n">
        <f aca="false">SUM(E103:E126)</f>
        <v>5214500</v>
      </c>
    </row>
    <row r="133" customFormat="false" ht="17.35" hidden="false" customHeight="false" outlineLevel="0" collapsed="false">
      <c r="A133" s="76"/>
      <c r="B133" s="76" t="s">
        <v>412</v>
      </c>
    </row>
    <row r="135" customFormat="false" ht="17.25" hidden="false" customHeight="false" outlineLevel="0" collapsed="false">
      <c r="B135" s="123" t="s">
        <v>413</v>
      </c>
    </row>
    <row r="136" customFormat="false" ht="21.75" hidden="false" customHeight="true" outlineLevel="0" collapsed="false"/>
    <row r="137" customFormat="false" ht="17.35" hidden="true" customHeight="false" outlineLevel="0" collapsed="false">
      <c r="B137" s="77"/>
    </row>
    <row r="138" customFormat="false" ht="15" hidden="false" customHeight="false" outlineLevel="0" collapsed="false">
      <c r="B138" s="125" t="s">
        <v>439</v>
      </c>
    </row>
    <row r="140" customFormat="false" ht="15" hidden="false" customHeight="false" outlineLevel="0" collapsed="false">
      <c r="A140" s="126" t="s">
        <v>3</v>
      </c>
      <c r="B140" s="151" t="s">
        <v>4</v>
      </c>
      <c r="C140" s="9" t="s">
        <v>5</v>
      </c>
      <c r="D140" s="128" t="s">
        <v>6</v>
      </c>
      <c r="E140" s="129" t="s">
        <v>7</v>
      </c>
    </row>
    <row r="141" customFormat="false" ht="15" hidden="false" customHeight="false" outlineLevel="0" collapsed="false">
      <c r="A141" s="130" t="n">
        <v>1</v>
      </c>
      <c r="B141" s="131" t="s">
        <v>440</v>
      </c>
      <c r="C141" s="132" t="n">
        <v>416500</v>
      </c>
      <c r="D141" s="132" t="n">
        <v>416500</v>
      </c>
      <c r="E141" s="133" t="n">
        <f aca="false">C141-D141</f>
        <v>0</v>
      </c>
    </row>
    <row r="142" customFormat="false" ht="15" hidden="false" customHeight="false" outlineLevel="0" collapsed="false">
      <c r="A142" s="130" t="n">
        <v>2</v>
      </c>
      <c r="B142" s="146" t="s">
        <v>441</v>
      </c>
      <c r="C142" s="132" t="n">
        <v>416500</v>
      </c>
      <c r="D142" s="147" t="n">
        <v>416500</v>
      </c>
      <c r="E142" s="133" t="n">
        <f aca="false">C142-D142</f>
        <v>0</v>
      </c>
    </row>
    <row r="143" customFormat="false" ht="15" hidden="false" customHeight="false" outlineLevel="0" collapsed="false">
      <c r="A143" s="130" t="n">
        <v>3</v>
      </c>
      <c r="B143" s="146" t="s">
        <v>442</v>
      </c>
      <c r="C143" s="132" t="n">
        <v>416500</v>
      </c>
      <c r="D143" s="147" t="n">
        <v>416500</v>
      </c>
      <c r="E143" s="133" t="n">
        <f aca="false">C143-D143</f>
        <v>0</v>
      </c>
    </row>
    <row r="144" customFormat="false" ht="15" hidden="false" customHeight="false" outlineLevel="0" collapsed="false">
      <c r="A144" s="130" t="n">
        <v>4</v>
      </c>
      <c r="B144" s="131" t="s">
        <v>443</v>
      </c>
      <c r="C144" s="132" t="n">
        <v>416500</v>
      </c>
      <c r="D144" s="132" t="n">
        <v>416500</v>
      </c>
      <c r="E144" s="133" t="n">
        <f aca="false">C144-D144</f>
        <v>0</v>
      </c>
    </row>
    <row r="145" customFormat="false" ht="15" hidden="false" customHeight="false" outlineLevel="0" collapsed="false">
      <c r="A145" s="130" t="n">
        <v>5</v>
      </c>
      <c r="B145" s="131" t="s">
        <v>444</v>
      </c>
      <c r="C145" s="132" t="n">
        <v>416500</v>
      </c>
      <c r="D145" s="132" t="n">
        <f aca="false">33500+383000</f>
        <v>416500</v>
      </c>
      <c r="E145" s="133" t="n">
        <f aca="false">C145-D145</f>
        <v>0</v>
      </c>
    </row>
    <row r="146" customFormat="false" ht="15" hidden="false" customHeight="false" outlineLevel="0" collapsed="false">
      <c r="A146" s="130" t="n">
        <v>6</v>
      </c>
      <c r="B146" s="146" t="s">
        <v>445</v>
      </c>
      <c r="C146" s="132" t="n">
        <v>416500</v>
      </c>
      <c r="D146" s="147"/>
      <c r="E146" s="133" t="n">
        <f aca="false">C146-D146</f>
        <v>416500</v>
      </c>
    </row>
    <row r="147" customFormat="false" ht="15" hidden="false" customHeight="false" outlineLevel="0" collapsed="false">
      <c r="A147" s="130" t="n">
        <v>7</v>
      </c>
      <c r="B147" s="131" t="s">
        <v>446</v>
      </c>
      <c r="C147" s="132" t="n">
        <v>416500</v>
      </c>
      <c r="D147" s="132" t="n">
        <v>416500</v>
      </c>
      <c r="E147" s="133" t="n">
        <f aca="false">C147-D147</f>
        <v>0</v>
      </c>
    </row>
    <row r="148" customFormat="false" ht="15" hidden="false" customHeight="false" outlineLevel="0" collapsed="false">
      <c r="A148" s="130" t="n">
        <v>8</v>
      </c>
      <c r="B148" s="131" t="s">
        <v>447</v>
      </c>
      <c r="C148" s="132" t="n">
        <v>416500</v>
      </c>
      <c r="D148" s="132" t="n">
        <f aca="false">160000+56500+180000</f>
        <v>396500</v>
      </c>
      <c r="E148" s="133" t="n">
        <f aca="false">C148-D148</f>
        <v>20000</v>
      </c>
    </row>
    <row r="149" customFormat="false" ht="15" hidden="false" customHeight="false" outlineLevel="0" collapsed="false">
      <c r="A149" s="130" t="n">
        <v>9</v>
      </c>
      <c r="B149" s="146" t="s">
        <v>448</v>
      </c>
      <c r="C149" s="132" t="n">
        <v>416500</v>
      </c>
      <c r="D149" s="147" t="n">
        <v>416500</v>
      </c>
      <c r="E149" s="133" t="n">
        <f aca="false">C149-D149</f>
        <v>0</v>
      </c>
    </row>
    <row r="150" customFormat="false" ht="15" hidden="false" customHeight="false" outlineLevel="0" collapsed="false">
      <c r="A150" s="130" t="n">
        <v>10</v>
      </c>
      <c r="B150" s="146" t="s">
        <v>449</v>
      </c>
      <c r="C150" s="132" t="n">
        <v>416500</v>
      </c>
      <c r="D150" s="147" t="n">
        <v>416500</v>
      </c>
      <c r="E150" s="133" t="n">
        <f aca="false">C150-D150</f>
        <v>0</v>
      </c>
    </row>
    <row r="151" customFormat="false" ht="15" hidden="false" customHeight="false" outlineLevel="0" collapsed="false">
      <c r="A151" s="130" t="n">
        <v>11</v>
      </c>
      <c r="B151" s="131" t="s">
        <v>450</v>
      </c>
      <c r="C151" s="132" t="n">
        <v>416500</v>
      </c>
      <c r="D151" s="132" t="n">
        <v>416500</v>
      </c>
      <c r="E151" s="133" t="n">
        <f aca="false">C151-D151</f>
        <v>0</v>
      </c>
    </row>
    <row r="152" customFormat="false" ht="19.7" hidden="false" customHeight="false" outlineLevel="0" collapsed="false">
      <c r="A152" s="138"/>
      <c r="B152" s="139" t="s">
        <v>24</v>
      </c>
      <c r="C152" s="140" t="n">
        <f aca="false">SUM(C141:C151)</f>
        <v>4581500</v>
      </c>
      <c r="D152" s="141" t="n">
        <f aca="false">SUM(D141:D151)</f>
        <v>4145000</v>
      </c>
      <c r="E152" s="142" t="n">
        <f aca="false">SUM(E141:E151)</f>
        <v>436500</v>
      </c>
    </row>
    <row r="158" customFormat="false" ht="17.35" hidden="false" customHeight="false" outlineLevel="0" collapsed="false">
      <c r="A158" s="76"/>
      <c r="B158" s="76" t="s">
        <v>412</v>
      </c>
    </row>
    <row r="160" customFormat="false" ht="17.25" hidden="false" customHeight="false" outlineLevel="0" collapsed="false">
      <c r="B160" s="123" t="s">
        <v>413</v>
      </c>
    </row>
    <row r="162" customFormat="false" ht="17.35" hidden="false" customHeight="false" outlineLevel="0" collapsed="false">
      <c r="B162" s="77"/>
    </row>
    <row r="163" customFormat="false" ht="15" hidden="false" customHeight="false" outlineLevel="0" collapsed="false">
      <c r="B163" s="125" t="s">
        <v>451</v>
      </c>
    </row>
    <row r="165" customFormat="false" ht="15" hidden="false" customHeight="false" outlineLevel="0" collapsed="false">
      <c r="A165" s="126" t="s">
        <v>3</v>
      </c>
      <c r="B165" s="144" t="s">
        <v>4</v>
      </c>
      <c r="C165" s="9" t="s">
        <v>5</v>
      </c>
      <c r="D165" s="128" t="s">
        <v>6</v>
      </c>
      <c r="E165" s="129" t="s">
        <v>7</v>
      </c>
    </row>
    <row r="166" customFormat="false" ht="15" hidden="false" customHeight="false" outlineLevel="0" collapsed="false">
      <c r="A166" s="130" t="n">
        <v>1</v>
      </c>
      <c r="B166" s="145" t="s">
        <v>452</v>
      </c>
      <c r="C166" s="132" t="n">
        <v>416500</v>
      </c>
      <c r="D166" s="147" t="n">
        <v>416500</v>
      </c>
      <c r="E166" s="133" t="n">
        <f aca="false">C166-D166</f>
        <v>0</v>
      </c>
    </row>
    <row r="167" customFormat="false" ht="15" hidden="false" customHeight="false" outlineLevel="0" collapsed="false">
      <c r="A167" s="130" t="n">
        <v>2</v>
      </c>
      <c r="B167" s="145" t="s">
        <v>453</v>
      </c>
      <c r="C167" s="132" t="n">
        <v>416500</v>
      </c>
      <c r="D167" s="147"/>
      <c r="E167" s="133" t="n">
        <f aca="false">C167-D167</f>
        <v>416500</v>
      </c>
    </row>
    <row r="168" customFormat="false" ht="15" hidden="false" customHeight="false" outlineLevel="0" collapsed="false">
      <c r="A168" s="130" t="n">
        <v>3</v>
      </c>
      <c r="B168" s="145" t="s">
        <v>454</v>
      </c>
      <c r="C168" s="132" t="n">
        <v>416500</v>
      </c>
      <c r="D168" s="147"/>
      <c r="E168" s="133" t="n">
        <f aca="false">C168-D168</f>
        <v>416500</v>
      </c>
    </row>
    <row r="169" customFormat="false" ht="15" hidden="false" customHeight="false" outlineLevel="0" collapsed="false">
      <c r="A169" s="130" t="n">
        <v>4</v>
      </c>
      <c r="B169" s="145" t="s">
        <v>455</v>
      </c>
      <c r="C169" s="132" t="n">
        <v>416500</v>
      </c>
      <c r="D169" s="147" t="n">
        <v>416500</v>
      </c>
      <c r="E169" s="133" t="n">
        <f aca="false">C169-D169</f>
        <v>0</v>
      </c>
    </row>
    <row r="170" customFormat="false" ht="15" hidden="false" customHeight="false" outlineLevel="0" collapsed="false">
      <c r="A170" s="130" t="n">
        <v>5</v>
      </c>
      <c r="B170" s="145" t="s">
        <v>456</v>
      </c>
      <c r="C170" s="132" t="n">
        <v>416500</v>
      </c>
      <c r="D170" s="147"/>
      <c r="E170" s="133" t="n">
        <f aca="false">C170-D170</f>
        <v>416500</v>
      </c>
    </row>
    <row r="171" customFormat="false" ht="15" hidden="false" customHeight="false" outlineLevel="0" collapsed="false">
      <c r="A171" s="130" t="n">
        <v>6</v>
      </c>
      <c r="B171" s="145" t="s">
        <v>457</v>
      </c>
      <c r="C171" s="132" t="n">
        <v>416500</v>
      </c>
      <c r="D171" s="147"/>
      <c r="E171" s="133" t="n">
        <f aca="false">C171-D171</f>
        <v>416500</v>
      </c>
    </row>
    <row r="172" customFormat="false" ht="15" hidden="false" customHeight="false" outlineLevel="0" collapsed="false">
      <c r="A172" s="130" t="n">
        <v>7</v>
      </c>
      <c r="B172" s="145" t="s">
        <v>458</v>
      </c>
      <c r="C172" s="132" t="n">
        <v>416500</v>
      </c>
      <c r="D172" s="147" t="n">
        <v>416500</v>
      </c>
      <c r="E172" s="133" t="n">
        <f aca="false">C172-D172</f>
        <v>0</v>
      </c>
    </row>
    <row r="173" customFormat="false" ht="15" hidden="false" customHeight="false" outlineLevel="0" collapsed="false">
      <c r="A173" s="130" t="n">
        <v>8</v>
      </c>
      <c r="B173" s="145" t="s">
        <v>459</v>
      </c>
      <c r="C173" s="132" t="n">
        <v>416500</v>
      </c>
      <c r="D173" s="147" t="n">
        <f aca="false">416500</f>
        <v>416500</v>
      </c>
      <c r="E173" s="133" t="n">
        <f aca="false">C173-D173</f>
        <v>0</v>
      </c>
    </row>
    <row r="174" customFormat="false" ht="15" hidden="false" customHeight="false" outlineLevel="0" collapsed="false">
      <c r="A174" s="130" t="n">
        <v>9</v>
      </c>
      <c r="B174" s="145" t="s">
        <v>460</v>
      </c>
      <c r="C174" s="132" t="n">
        <v>416500</v>
      </c>
      <c r="D174" s="147"/>
      <c r="E174" s="133" t="n">
        <f aca="false">C174-D174</f>
        <v>416500</v>
      </c>
    </row>
    <row r="175" customFormat="false" ht="15" hidden="false" customHeight="false" outlineLevel="0" collapsed="false">
      <c r="A175" s="130" t="n">
        <v>10</v>
      </c>
      <c r="B175" s="145" t="s">
        <v>461</v>
      </c>
      <c r="C175" s="132" t="n">
        <v>416500</v>
      </c>
      <c r="D175" s="147" t="n">
        <f aca="false">400000+16500</f>
        <v>416500</v>
      </c>
      <c r="E175" s="133" t="n">
        <f aca="false">C175-D175</f>
        <v>0</v>
      </c>
    </row>
    <row r="176" customFormat="false" ht="15" hidden="false" customHeight="false" outlineLevel="0" collapsed="false">
      <c r="A176" s="130" t="n">
        <v>11</v>
      </c>
      <c r="B176" s="145" t="s">
        <v>462</v>
      </c>
      <c r="C176" s="132" t="n">
        <v>416500</v>
      </c>
      <c r="D176" s="147" t="n">
        <f aca="false">320000+96500</f>
        <v>416500</v>
      </c>
      <c r="E176" s="133" t="n">
        <f aca="false">C176-D176</f>
        <v>0</v>
      </c>
    </row>
    <row r="177" customFormat="false" ht="15" hidden="false" customHeight="false" outlineLevel="0" collapsed="false">
      <c r="A177" s="130" t="n">
        <v>12</v>
      </c>
      <c r="B177" s="145" t="s">
        <v>463</v>
      </c>
      <c r="C177" s="132" t="n">
        <v>416500</v>
      </c>
      <c r="D177" s="147" t="n">
        <v>416500</v>
      </c>
      <c r="E177" s="133" t="n">
        <f aca="false">C177-D177</f>
        <v>0</v>
      </c>
    </row>
    <row r="178" customFormat="false" ht="15" hidden="false" customHeight="false" outlineLevel="0" collapsed="false">
      <c r="A178" s="130" t="n">
        <v>13</v>
      </c>
      <c r="B178" s="145" t="s">
        <v>464</v>
      </c>
      <c r="C178" s="132" t="n">
        <v>416500</v>
      </c>
      <c r="D178" s="147" t="n">
        <v>416500</v>
      </c>
      <c r="E178" s="133" t="n">
        <f aca="false">C178-D178</f>
        <v>0</v>
      </c>
    </row>
    <row r="179" customFormat="false" ht="15" hidden="false" customHeight="false" outlineLevel="0" collapsed="false">
      <c r="A179" s="130" t="n">
        <v>14</v>
      </c>
      <c r="B179" s="145" t="s">
        <v>465</v>
      </c>
      <c r="C179" s="132" t="n">
        <v>416500</v>
      </c>
      <c r="D179" s="147" t="n">
        <f aca="false">400000+16500</f>
        <v>416500</v>
      </c>
      <c r="E179" s="133" t="n">
        <f aca="false">C179-D179</f>
        <v>0</v>
      </c>
    </row>
    <row r="180" customFormat="false" ht="15" hidden="false" customHeight="false" outlineLevel="0" collapsed="false">
      <c r="A180" s="130" t="n">
        <v>15</v>
      </c>
      <c r="B180" s="145" t="s">
        <v>466</v>
      </c>
      <c r="C180" s="132" t="n">
        <v>416500</v>
      </c>
      <c r="D180" s="147" t="n">
        <f aca="false">216500</f>
        <v>216500</v>
      </c>
      <c r="E180" s="133" t="n">
        <f aca="false">C180-D180</f>
        <v>200000</v>
      </c>
    </row>
    <row r="181" customFormat="false" ht="15" hidden="false" customHeight="false" outlineLevel="0" collapsed="false">
      <c r="A181" s="130" t="n">
        <v>16</v>
      </c>
      <c r="B181" s="145" t="s">
        <v>467</v>
      </c>
      <c r="C181" s="132" t="n">
        <v>416500</v>
      </c>
      <c r="D181" s="147"/>
      <c r="E181" s="133" t="n">
        <f aca="false">C181-D181</f>
        <v>416500</v>
      </c>
    </row>
    <row r="182" customFormat="false" ht="15" hidden="false" customHeight="false" outlineLevel="0" collapsed="false">
      <c r="A182" s="130" t="n">
        <v>17</v>
      </c>
      <c r="B182" s="145" t="s">
        <v>468</v>
      </c>
      <c r="C182" s="132" t="n">
        <v>416500</v>
      </c>
      <c r="D182" s="147" t="n">
        <v>416500</v>
      </c>
      <c r="E182" s="133" t="n">
        <f aca="false">C182-D182</f>
        <v>0</v>
      </c>
    </row>
    <row r="183" customFormat="false" ht="15" hidden="false" customHeight="false" outlineLevel="0" collapsed="false">
      <c r="A183" s="130" t="n">
        <v>18</v>
      </c>
      <c r="B183" s="145" t="s">
        <v>469</v>
      </c>
      <c r="C183" s="132" t="n">
        <v>416500</v>
      </c>
      <c r="D183" s="152" t="n">
        <f aca="false">100000+49500</f>
        <v>149500</v>
      </c>
      <c r="E183" s="133" t="n">
        <f aca="false">C183-D183</f>
        <v>267000</v>
      </c>
    </row>
    <row r="184" customFormat="false" ht="15" hidden="false" customHeight="false" outlineLevel="0" collapsed="false">
      <c r="A184" s="130" t="n">
        <v>19</v>
      </c>
      <c r="B184" s="145" t="s">
        <v>470</v>
      </c>
      <c r="C184" s="132" t="n">
        <v>416500</v>
      </c>
      <c r="D184" s="147"/>
      <c r="E184" s="133" t="n">
        <f aca="false">C184-D184</f>
        <v>416500</v>
      </c>
    </row>
    <row r="185" customFormat="false" ht="15" hidden="false" customHeight="false" outlineLevel="0" collapsed="false">
      <c r="A185" s="130" t="n">
        <v>20</v>
      </c>
      <c r="B185" s="145" t="s">
        <v>471</v>
      </c>
      <c r="C185" s="132" t="n">
        <v>416500</v>
      </c>
      <c r="D185" s="147" t="n">
        <f aca="false">400000+16500</f>
        <v>416500</v>
      </c>
      <c r="E185" s="133" t="n">
        <f aca="false">C185-D185</f>
        <v>0</v>
      </c>
    </row>
    <row r="186" customFormat="false" ht="15" hidden="false" customHeight="false" outlineLevel="0" collapsed="false">
      <c r="A186" s="130" t="n">
        <v>21</v>
      </c>
      <c r="B186" s="145" t="s">
        <v>472</v>
      </c>
      <c r="C186" s="132" t="n">
        <v>416500</v>
      </c>
      <c r="D186" s="147" t="n">
        <v>420000</v>
      </c>
      <c r="E186" s="133" t="n">
        <f aca="false">C186-D186</f>
        <v>-3500</v>
      </c>
    </row>
    <row r="187" customFormat="false" ht="19.7" hidden="false" customHeight="false" outlineLevel="0" collapsed="false">
      <c r="A187" s="138"/>
      <c r="B187" s="139" t="s">
        <v>24</v>
      </c>
      <c r="C187" s="140" t="n">
        <f aca="false">SUM(C166:C186)</f>
        <v>8746500</v>
      </c>
      <c r="D187" s="141" t="s">
        <v>473</v>
      </c>
      <c r="E187" s="142" t="n">
        <f aca="false">SUM(E166:E186)</f>
        <v>3379000</v>
      </c>
    </row>
    <row r="188" customFormat="false" ht="15" hidden="false" customHeight="false" outlineLevel="0" collapsed="false">
      <c r="D188" s="1" t="s">
        <v>473</v>
      </c>
    </row>
    <row r="192" customFormat="false" ht="17.35" hidden="false" customHeight="false" outlineLevel="0" collapsed="false">
      <c r="A192" s="76"/>
      <c r="B192" s="76" t="s">
        <v>474</v>
      </c>
    </row>
    <row r="193" customFormat="false" ht="4.5" hidden="false" customHeight="true" outlineLevel="0" collapsed="false"/>
    <row r="194" customFormat="false" ht="17.25" hidden="false" customHeight="false" outlineLevel="0" collapsed="false">
      <c r="B194" s="123" t="s">
        <v>475</v>
      </c>
    </row>
    <row r="196" customFormat="false" ht="8.25" hidden="false" customHeight="true" outlineLevel="0" collapsed="false">
      <c r="B196" s="77"/>
    </row>
    <row r="197" customFormat="false" ht="15" hidden="false" customHeight="false" outlineLevel="0" collapsed="false">
      <c r="B197" s="125" t="s">
        <v>476</v>
      </c>
    </row>
    <row r="199" customFormat="false" ht="19.5" hidden="false" customHeight="true" outlineLevel="0" collapsed="false">
      <c r="A199" s="126" t="s">
        <v>3</v>
      </c>
      <c r="B199" s="144" t="s">
        <v>4</v>
      </c>
      <c r="C199" s="9" t="s">
        <v>5</v>
      </c>
      <c r="D199" s="128" t="s">
        <v>6</v>
      </c>
      <c r="E199" s="129" t="s">
        <v>7</v>
      </c>
    </row>
    <row r="200" customFormat="false" ht="19.5" hidden="false" customHeight="true" outlineLevel="0" collapsed="false">
      <c r="A200" s="130" t="n">
        <v>1</v>
      </c>
      <c r="B200" s="146" t="s">
        <v>477</v>
      </c>
      <c r="C200" s="132" t="n">
        <v>425000</v>
      </c>
      <c r="D200" s="132" t="n">
        <f aca="false">100000+200000+125000</f>
        <v>425000</v>
      </c>
      <c r="E200" s="133" t="n">
        <f aca="false">C200-D200</f>
        <v>0</v>
      </c>
    </row>
    <row r="201" customFormat="false" ht="19.5" hidden="false" customHeight="true" outlineLevel="0" collapsed="false">
      <c r="A201" s="130" t="n">
        <v>2</v>
      </c>
      <c r="B201" s="146" t="s">
        <v>478</v>
      </c>
      <c r="C201" s="132" t="n">
        <v>425000</v>
      </c>
      <c r="D201" s="132" t="n">
        <v>425000</v>
      </c>
      <c r="E201" s="133" t="n">
        <f aca="false">C201-D201</f>
        <v>0</v>
      </c>
    </row>
    <row r="202" customFormat="false" ht="19.5" hidden="false" customHeight="true" outlineLevel="0" collapsed="false">
      <c r="A202" s="130" t="n">
        <v>3</v>
      </c>
      <c r="B202" s="146" t="s">
        <v>479</v>
      </c>
      <c r="C202" s="132" t="n">
        <v>425000</v>
      </c>
      <c r="D202" s="132" t="n">
        <f aca="false">100000+100000+100000+50000+25000+50000</f>
        <v>425000</v>
      </c>
      <c r="E202" s="133" t="n">
        <f aca="false">C202-D202</f>
        <v>0</v>
      </c>
    </row>
    <row r="203" customFormat="false" ht="19.5" hidden="false" customHeight="true" outlineLevel="0" collapsed="false">
      <c r="A203" s="130" t="n">
        <v>4</v>
      </c>
      <c r="B203" s="146" t="s">
        <v>480</v>
      </c>
      <c r="C203" s="132" t="n">
        <v>425000</v>
      </c>
      <c r="D203" s="132" t="n">
        <f aca="false">350000+75000</f>
        <v>425000</v>
      </c>
      <c r="E203" s="133" t="n">
        <f aca="false">C203-D203</f>
        <v>0</v>
      </c>
    </row>
    <row r="204" customFormat="false" ht="19.5" hidden="false" customHeight="true" outlineLevel="0" collapsed="false">
      <c r="A204" s="130" t="n">
        <v>5</v>
      </c>
      <c r="B204" s="146" t="s">
        <v>481</v>
      </c>
      <c r="C204" s="132" t="n">
        <v>425000</v>
      </c>
      <c r="D204" s="132" t="n">
        <f aca="false">100000+60000+265000</f>
        <v>425000</v>
      </c>
      <c r="E204" s="133" t="n">
        <f aca="false">C204-D204</f>
        <v>0</v>
      </c>
    </row>
    <row r="205" customFormat="false" ht="19.5" hidden="false" customHeight="true" outlineLevel="0" collapsed="false">
      <c r="A205" s="130" t="n">
        <v>6</v>
      </c>
      <c r="B205" s="146" t="s">
        <v>482</v>
      </c>
      <c r="C205" s="132" t="n">
        <v>425000</v>
      </c>
      <c r="D205" s="132" t="n">
        <f aca="false">250000+50000+25000</f>
        <v>325000</v>
      </c>
      <c r="E205" s="133" t="n">
        <f aca="false">C205-D205</f>
        <v>100000</v>
      </c>
    </row>
    <row r="206" customFormat="false" ht="19.5" hidden="false" customHeight="true" outlineLevel="0" collapsed="false">
      <c r="A206" s="130" t="n">
        <v>7</v>
      </c>
      <c r="B206" s="146" t="s">
        <v>483</v>
      </c>
      <c r="C206" s="132" t="n">
        <v>425000</v>
      </c>
      <c r="D206" s="132" t="n">
        <f aca="false">300000+125000</f>
        <v>425000</v>
      </c>
      <c r="E206" s="133" t="n">
        <f aca="false">C206-D206</f>
        <v>0</v>
      </c>
    </row>
    <row r="207" customFormat="false" ht="19.5" hidden="false" customHeight="true" outlineLevel="0" collapsed="false">
      <c r="A207" s="130" t="n">
        <v>8</v>
      </c>
      <c r="B207" s="146" t="s">
        <v>484</v>
      </c>
      <c r="C207" s="132" t="n">
        <v>425000</v>
      </c>
      <c r="D207" s="132" t="n">
        <f aca="false">400000+25000</f>
        <v>425000</v>
      </c>
      <c r="E207" s="133" t="n">
        <f aca="false">C207-D207</f>
        <v>0</v>
      </c>
    </row>
    <row r="208" customFormat="false" ht="19.5" hidden="false" customHeight="true" outlineLevel="0" collapsed="false">
      <c r="A208" s="130" t="n">
        <v>9</v>
      </c>
      <c r="B208" s="146" t="s">
        <v>485</v>
      </c>
      <c r="C208" s="132" t="n">
        <v>425000</v>
      </c>
      <c r="D208" s="132" t="n">
        <f aca="false">200000+100000+125000</f>
        <v>425000</v>
      </c>
      <c r="E208" s="133" t="n">
        <f aca="false">C208-D208</f>
        <v>0</v>
      </c>
    </row>
    <row r="209" customFormat="false" ht="19.5" hidden="false" customHeight="true" outlineLevel="0" collapsed="false">
      <c r="A209" s="130" t="n">
        <v>10</v>
      </c>
      <c r="B209" s="146" t="s">
        <v>486</v>
      </c>
      <c r="C209" s="132" t="n">
        <v>425000</v>
      </c>
      <c r="D209" s="132" t="n">
        <f aca="false">325000+100000</f>
        <v>425000</v>
      </c>
      <c r="E209" s="133" t="n">
        <f aca="false">C209-D209</f>
        <v>0</v>
      </c>
    </row>
    <row r="210" customFormat="false" ht="19.5" hidden="false" customHeight="true" outlineLevel="0" collapsed="false">
      <c r="A210" s="130" t="n">
        <v>11</v>
      </c>
      <c r="B210" s="146" t="s">
        <v>487</v>
      </c>
      <c r="C210" s="132" t="n">
        <v>425000</v>
      </c>
      <c r="D210" s="132" t="n">
        <f aca="false">150000+175000+50000+30000+20000</f>
        <v>425000</v>
      </c>
      <c r="E210" s="133" t="n">
        <f aca="false">C210-D210</f>
        <v>0</v>
      </c>
    </row>
    <row r="211" customFormat="false" ht="19.5" hidden="false" customHeight="true" outlineLevel="0" collapsed="false">
      <c r="A211" s="130" t="n">
        <v>12</v>
      </c>
      <c r="B211" s="146" t="s">
        <v>488</v>
      </c>
      <c r="C211" s="132" t="n">
        <v>425000</v>
      </c>
      <c r="D211" s="132" t="n">
        <f aca="false">100000+50000+50000+100000+100000+25000</f>
        <v>425000</v>
      </c>
      <c r="E211" s="133" t="n">
        <f aca="false">C211-D211</f>
        <v>0</v>
      </c>
    </row>
    <row r="212" customFormat="false" ht="19.5" hidden="false" customHeight="true" outlineLevel="0" collapsed="false">
      <c r="A212" s="130" t="n">
        <v>13</v>
      </c>
      <c r="B212" s="146" t="s">
        <v>489</v>
      </c>
      <c r="C212" s="132" t="n">
        <v>425000</v>
      </c>
      <c r="D212" s="132" t="n">
        <f aca="false">275000+150000</f>
        <v>425000</v>
      </c>
      <c r="E212" s="133" t="n">
        <f aca="false">C212-D212</f>
        <v>0</v>
      </c>
    </row>
    <row r="213" customFormat="false" ht="19.5" hidden="false" customHeight="true" outlineLevel="0" collapsed="false">
      <c r="A213" s="130" t="n">
        <v>14</v>
      </c>
      <c r="B213" s="146" t="s">
        <v>490</v>
      </c>
      <c r="C213" s="132" t="n">
        <v>425000</v>
      </c>
      <c r="D213" s="132" t="n">
        <f aca="false">200000+100000+100000+25000</f>
        <v>425000</v>
      </c>
      <c r="E213" s="133" t="n">
        <f aca="false">C213-D213</f>
        <v>0</v>
      </c>
    </row>
    <row r="214" customFormat="false" ht="19.5" hidden="false" customHeight="true" outlineLevel="0" collapsed="false">
      <c r="A214" s="130" t="n">
        <v>15</v>
      </c>
      <c r="B214" s="146" t="s">
        <v>491</v>
      </c>
      <c r="C214" s="132" t="n">
        <v>425000</v>
      </c>
      <c r="D214" s="132" t="n">
        <f aca="false">100000+150000+175000</f>
        <v>425000</v>
      </c>
      <c r="E214" s="133" t="n">
        <f aca="false">C214-D214</f>
        <v>0</v>
      </c>
    </row>
    <row r="215" customFormat="false" ht="19.5" hidden="false" customHeight="true" outlineLevel="0" collapsed="false">
      <c r="A215" s="130" t="n">
        <v>16</v>
      </c>
      <c r="B215" s="146" t="s">
        <v>492</v>
      </c>
      <c r="C215" s="132" t="n">
        <v>425000</v>
      </c>
      <c r="D215" s="132" t="n">
        <f aca="false">100000+200000+125000</f>
        <v>425000</v>
      </c>
      <c r="E215" s="133" t="n">
        <f aca="false">C215-D215</f>
        <v>0</v>
      </c>
    </row>
    <row r="216" customFormat="false" ht="19.5" hidden="false" customHeight="true" outlineLevel="0" collapsed="false">
      <c r="A216" s="130" t="n">
        <v>17</v>
      </c>
      <c r="B216" s="146" t="s">
        <v>493</v>
      </c>
      <c r="C216" s="132" t="n">
        <v>425000</v>
      </c>
      <c r="D216" s="132" t="n">
        <f aca="false">300000</f>
        <v>300000</v>
      </c>
      <c r="E216" s="133" t="n">
        <f aca="false">C216-D216</f>
        <v>125000</v>
      </c>
    </row>
    <row r="217" customFormat="false" ht="19.5" hidden="false" customHeight="true" outlineLevel="0" collapsed="false">
      <c r="A217" s="130" t="n">
        <v>18</v>
      </c>
      <c r="B217" s="146" t="s">
        <v>494</v>
      </c>
      <c r="C217" s="132" t="n">
        <v>425000</v>
      </c>
      <c r="D217" s="132" t="n">
        <f aca="false">100000+100000+100000+25000+100000</f>
        <v>425000</v>
      </c>
      <c r="E217" s="133" t="n">
        <f aca="false">C217-D217</f>
        <v>0</v>
      </c>
    </row>
    <row r="218" customFormat="false" ht="19.5" hidden="false" customHeight="true" outlineLevel="0" collapsed="false">
      <c r="A218" s="130" t="n">
        <v>19</v>
      </c>
      <c r="B218" s="146" t="s">
        <v>495</v>
      </c>
      <c r="C218" s="132" t="n">
        <v>425000</v>
      </c>
      <c r="D218" s="132" t="n">
        <f aca="false">100000+125000+100000+100000</f>
        <v>425000</v>
      </c>
      <c r="E218" s="133" t="n">
        <f aca="false">C218-D218</f>
        <v>0</v>
      </c>
    </row>
    <row r="219" customFormat="false" ht="19.5" hidden="false" customHeight="true" outlineLevel="0" collapsed="false">
      <c r="A219" s="130" t="n">
        <v>20</v>
      </c>
      <c r="B219" s="146" t="s">
        <v>496</v>
      </c>
      <c r="C219" s="132" t="n">
        <v>425000</v>
      </c>
      <c r="D219" s="132" t="n">
        <f aca="false">100000+200000+125000</f>
        <v>425000</v>
      </c>
      <c r="E219" s="133" t="n">
        <f aca="false">C219-D219</f>
        <v>0</v>
      </c>
    </row>
    <row r="220" customFormat="false" ht="19.5" hidden="false" customHeight="true" outlineLevel="0" collapsed="false">
      <c r="A220" s="130" t="n">
        <v>21</v>
      </c>
      <c r="B220" s="146" t="s">
        <v>497</v>
      </c>
      <c r="C220" s="132" t="n">
        <v>425000</v>
      </c>
      <c r="D220" s="132" t="n">
        <f aca="false">100000+200000+100000+25000</f>
        <v>425000</v>
      </c>
      <c r="E220" s="133" t="n">
        <f aca="false">C220-D220</f>
        <v>0</v>
      </c>
    </row>
    <row r="221" customFormat="false" ht="19.5" hidden="false" customHeight="true" outlineLevel="0" collapsed="false">
      <c r="A221" s="130" t="n">
        <v>22</v>
      </c>
      <c r="B221" s="146" t="s">
        <v>498</v>
      </c>
      <c r="C221" s="132" t="n">
        <v>425000</v>
      </c>
      <c r="D221" s="132" t="n">
        <f aca="false">300000+125000</f>
        <v>425000</v>
      </c>
      <c r="E221" s="133" t="n">
        <f aca="false">C221-D221</f>
        <v>0</v>
      </c>
    </row>
    <row r="222" customFormat="false" ht="19.5" hidden="false" customHeight="true" outlineLevel="0" collapsed="false">
      <c r="A222" s="130" t="n">
        <v>23</v>
      </c>
      <c r="B222" s="146" t="s">
        <v>499</v>
      </c>
      <c r="C222" s="132" t="n">
        <v>425000</v>
      </c>
      <c r="D222" s="132" t="n">
        <f aca="false">100000+200000</f>
        <v>300000</v>
      </c>
      <c r="E222" s="133" t="n">
        <f aca="false">C222-D222</f>
        <v>125000</v>
      </c>
    </row>
    <row r="223" customFormat="false" ht="19.5" hidden="false" customHeight="true" outlineLevel="0" collapsed="false">
      <c r="A223" s="130" t="n">
        <v>24</v>
      </c>
      <c r="B223" s="146" t="s">
        <v>500</v>
      </c>
      <c r="C223" s="132" t="n">
        <v>425000</v>
      </c>
      <c r="D223" s="132" t="n">
        <f aca="false">425000</f>
        <v>425000</v>
      </c>
      <c r="E223" s="133" t="n">
        <f aca="false">C223-D223</f>
        <v>0</v>
      </c>
    </row>
    <row r="224" customFormat="false" ht="19.5" hidden="false" customHeight="true" outlineLevel="0" collapsed="false">
      <c r="A224" s="130" t="n">
        <v>25</v>
      </c>
      <c r="B224" s="146" t="s">
        <v>501</v>
      </c>
      <c r="C224" s="132" t="n">
        <v>425000</v>
      </c>
      <c r="D224" s="132" t="n">
        <f aca="false">225000+200000</f>
        <v>425000</v>
      </c>
      <c r="E224" s="133" t="n">
        <f aca="false">C224-D224</f>
        <v>0</v>
      </c>
    </row>
    <row r="225" customFormat="false" ht="19.5" hidden="false" customHeight="true" outlineLevel="0" collapsed="false">
      <c r="A225" s="130" t="n">
        <v>26</v>
      </c>
      <c r="B225" s="146" t="s">
        <v>502</v>
      </c>
      <c r="C225" s="132" t="n">
        <v>425000</v>
      </c>
      <c r="D225" s="132" t="n">
        <f aca="false">100000+200000+125000</f>
        <v>425000</v>
      </c>
      <c r="E225" s="133" t="n">
        <f aca="false">C225-D225</f>
        <v>0</v>
      </c>
    </row>
    <row r="226" customFormat="false" ht="19.5" hidden="false" customHeight="true" outlineLevel="0" collapsed="false">
      <c r="A226" s="130" t="n">
        <v>27</v>
      </c>
      <c r="B226" s="146" t="s">
        <v>503</v>
      </c>
      <c r="C226" s="132" t="n">
        <v>425000</v>
      </c>
      <c r="D226" s="132" t="n">
        <f aca="false">300000+125000</f>
        <v>425000</v>
      </c>
      <c r="E226" s="133" t="n">
        <f aca="false">C226-D226</f>
        <v>0</v>
      </c>
    </row>
    <row r="227" customFormat="false" ht="19.5" hidden="false" customHeight="true" outlineLevel="0" collapsed="false">
      <c r="A227" s="130" t="n">
        <v>28</v>
      </c>
      <c r="B227" s="146" t="s">
        <v>504</v>
      </c>
      <c r="C227" s="132" t="n">
        <v>425000</v>
      </c>
      <c r="D227" s="132" t="n">
        <f aca="false">100000+300000+25000</f>
        <v>425000</v>
      </c>
      <c r="E227" s="133" t="n">
        <f aca="false">C227-D227</f>
        <v>0</v>
      </c>
    </row>
    <row r="228" customFormat="false" ht="19.5" hidden="false" customHeight="true" outlineLevel="0" collapsed="false">
      <c r="A228" s="130" t="n">
        <v>29</v>
      </c>
      <c r="B228" s="146" t="s">
        <v>505</v>
      </c>
      <c r="C228" s="132" t="n">
        <v>425000</v>
      </c>
      <c r="D228" s="132" t="n">
        <f aca="false">100000+50000+200000+40000+35000</f>
        <v>425000</v>
      </c>
      <c r="E228" s="133" t="n">
        <f aca="false">C228-D228</f>
        <v>0</v>
      </c>
    </row>
    <row r="229" customFormat="false" ht="19.5" hidden="false" customHeight="true" outlineLevel="0" collapsed="false">
      <c r="A229" s="130" t="n">
        <v>30</v>
      </c>
      <c r="B229" s="146" t="s">
        <v>506</v>
      </c>
      <c r="C229" s="132" t="n">
        <v>425000</v>
      </c>
      <c r="D229" s="132" t="n">
        <f aca="false">250000+175000</f>
        <v>425000</v>
      </c>
      <c r="E229" s="133" t="n">
        <f aca="false">C229-D229</f>
        <v>0</v>
      </c>
    </row>
    <row r="230" customFormat="false" ht="19.5" hidden="false" customHeight="true" outlineLevel="0" collapsed="false">
      <c r="A230" s="130" t="n">
        <v>31</v>
      </c>
      <c r="B230" s="146" t="s">
        <v>507</v>
      </c>
      <c r="C230" s="132" t="n">
        <v>425000</v>
      </c>
      <c r="D230" s="132" t="n">
        <f aca="false">200000+125000+100000</f>
        <v>425000</v>
      </c>
      <c r="E230" s="133" t="n">
        <f aca="false">C230-D230</f>
        <v>0</v>
      </c>
    </row>
    <row r="231" customFormat="false" ht="19.5" hidden="false" customHeight="true" outlineLevel="0" collapsed="false">
      <c r="A231" s="130" t="n">
        <v>32</v>
      </c>
      <c r="B231" s="146" t="s">
        <v>508</v>
      </c>
      <c r="C231" s="132" t="n">
        <v>425000</v>
      </c>
      <c r="D231" s="132" t="n">
        <f aca="false">115000+100000+85000+125000</f>
        <v>425000</v>
      </c>
      <c r="E231" s="133" t="n">
        <f aca="false">C231-D231</f>
        <v>0</v>
      </c>
    </row>
    <row r="232" customFormat="false" ht="19.5" hidden="false" customHeight="true" outlineLevel="0" collapsed="false">
      <c r="A232" s="130" t="n">
        <v>33</v>
      </c>
      <c r="B232" s="146" t="s">
        <v>509</v>
      </c>
      <c r="C232" s="132" t="n">
        <v>425000</v>
      </c>
      <c r="D232" s="132" t="n">
        <f aca="false">300000+125000</f>
        <v>425000</v>
      </c>
      <c r="E232" s="133" t="n">
        <f aca="false">C232-D232</f>
        <v>0</v>
      </c>
    </row>
    <row r="233" customFormat="false" ht="19.5" hidden="false" customHeight="true" outlineLevel="0" collapsed="false">
      <c r="A233" s="130" t="n">
        <v>34</v>
      </c>
      <c r="B233" s="146" t="s">
        <v>510</v>
      </c>
      <c r="C233" s="132" t="n">
        <v>425000</v>
      </c>
      <c r="D233" s="132" t="n">
        <f aca="false">200000+100000+125000</f>
        <v>425000</v>
      </c>
      <c r="E233" s="133" t="n">
        <f aca="false">C233-D233</f>
        <v>0</v>
      </c>
    </row>
    <row r="234" customFormat="false" ht="19.5" hidden="false" customHeight="true" outlineLevel="0" collapsed="false">
      <c r="A234" s="130" t="n">
        <v>35</v>
      </c>
      <c r="B234" s="146" t="s">
        <v>511</v>
      </c>
      <c r="C234" s="132" t="n">
        <v>425000</v>
      </c>
      <c r="D234" s="132" t="n">
        <f aca="false">100000+200000+125000</f>
        <v>425000</v>
      </c>
      <c r="E234" s="133" t="n">
        <f aca="false">C234-D234</f>
        <v>0</v>
      </c>
    </row>
    <row r="235" customFormat="false" ht="19.5" hidden="false" customHeight="true" outlineLevel="0" collapsed="false">
      <c r="A235" s="130" t="n">
        <v>36</v>
      </c>
      <c r="B235" s="146" t="s">
        <v>512</v>
      </c>
      <c r="C235" s="132" t="n">
        <v>425000</v>
      </c>
      <c r="D235" s="132" t="n">
        <f aca="false">100000+100000+100000+25000+100000</f>
        <v>425000</v>
      </c>
      <c r="E235" s="133" t="n">
        <f aca="false">C235-D235</f>
        <v>0</v>
      </c>
    </row>
    <row r="236" customFormat="false" ht="19.5" hidden="false" customHeight="true" outlineLevel="0" collapsed="false">
      <c r="A236" s="130" t="n">
        <v>37</v>
      </c>
      <c r="B236" s="146" t="s">
        <v>513</v>
      </c>
      <c r="C236" s="132" t="n">
        <v>425000</v>
      </c>
      <c r="D236" s="132" t="n">
        <f aca="false">150000+275000</f>
        <v>425000</v>
      </c>
      <c r="E236" s="133" t="n">
        <f aca="false">C236-D236</f>
        <v>0</v>
      </c>
    </row>
    <row r="237" customFormat="false" ht="19.5" hidden="false" customHeight="true" outlineLevel="0" collapsed="false">
      <c r="A237" s="130" t="n">
        <v>38</v>
      </c>
      <c r="B237" s="146" t="s">
        <v>514</v>
      </c>
      <c r="C237" s="132" t="n">
        <v>425000</v>
      </c>
      <c r="D237" s="132" t="n">
        <f aca="false">150000+100000+150000+25000</f>
        <v>425000</v>
      </c>
      <c r="E237" s="133" t="n">
        <f aca="false">C237-D237</f>
        <v>0</v>
      </c>
    </row>
    <row r="238" customFormat="false" ht="19.5" hidden="false" customHeight="true" outlineLevel="0" collapsed="false">
      <c r="A238" s="130" t="n">
        <v>39</v>
      </c>
      <c r="B238" s="146" t="s">
        <v>515</v>
      </c>
      <c r="C238" s="132" t="n">
        <v>425000</v>
      </c>
      <c r="D238" s="132" t="n">
        <f aca="false">100000+325000</f>
        <v>425000</v>
      </c>
      <c r="E238" s="133" t="n">
        <f aca="false">C238-D238</f>
        <v>0</v>
      </c>
    </row>
    <row r="239" customFormat="false" ht="19.5" hidden="false" customHeight="true" outlineLevel="0" collapsed="false">
      <c r="A239" s="130" t="n">
        <v>40</v>
      </c>
      <c r="B239" s="146" t="s">
        <v>516</v>
      </c>
      <c r="C239" s="132" t="n">
        <v>425000</v>
      </c>
      <c r="D239" s="132" t="n">
        <f aca="false">150000+100000+175000</f>
        <v>425000</v>
      </c>
      <c r="E239" s="133" t="n">
        <f aca="false">C239-D239</f>
        <v>0</v>
      </c>
    </row>
    <row r="240" customFormat="false" ht="19.5" hidden="false" customHeight="true" outlineLevel="0" collapsed="false">
      <c r="A240" s="130" t="n">
        <v>41</v>
      </c>
      <c r="B240" s="146" t="s">
        <v>517</v>
      </c>
      <c r="C240" s="132" t="n">
        <v>425000</v>
      </c>
      <c r="D240" s="132" t="n">
        <f aca="false">150000+100000+70000+50000+5000+50000</f>
        <v>425000</v>
      </c>
      <c r="E240" s="133" t="n">
        <f aca="false">C240-D240</f>
        <v>0</v>
      </c>
    </row>
    <row r="241" customFormat="false" ht="19.5" hidden="false" customHeight="true" outlineLevel="0" collapsed="false">
      <c r="A241" s="130" t="n">
        <v>42</v>
      </c>
      <c r="B241" s="146" t="s">
        <v>518</v>
      </c>
      <c r="C241" s="132" t="n">
        <v>425000</v>
      </c>
      <c r="D241" s="132" t="n">
        <f aca="false">300000+100000+25000</f>
        <v>425000</v>
      </c>
      <c r="E241" s="133" t="n">
        <f aca="false">C241-D241</f>
        <v>0</v>
      </c>
    </row>
    <row r="242" customFormat="false" ht="19.5" hidden="false" customHeight="true" outlineLevel="0" collapsed="false">
      <c r="A242" s="130" t="n">
        <v>43</v>
      </c>
      <c r="B242" s="146" t="s">
        <v>519</v>
      </c>
      <c r="C242" s="132" t="n">
        <v>425000</v>
      </c>
      <c r="D242" s="132" t="n">
        <f aca="false">200000+200000+25000</f>
        <v>425000</v>
      </c>
      <c r="E242" s="133" t="n">
        <f aca="false">C242-D242</f>
        <v>0</v>
      </c>
    </row>
    <row r="243" customFormat="false" ht="19.5" hidden="false" customHeight="true" outlineLevel="0" collapsed="false">
      <c r="A243" s="130" t="n">
        <v>44</v>
      </c>
      <c r="B243" s="146" t="s">
        <v>520</v>
      </c>
      <c r="C243" s="132" t="n">
        <v>425000</v>
      </c>
      <c r="D243" s="132" t="n">
        <f aca="false">100000+260000+65000</f>
        <v>425000</v>
      </c>
      <c r="E243" s="133" t="n">
        <f aca="false">C243-D243</f>
        <v>0</v>
      </c>
    </row>
    <row r="244" customFormat="false" ht="19.5" hidden="false" customHeight="true" outlineLevel="0" collapsed="false">
      <c r="A244" s="130" t="n">
        <v>45</v>
      </c>
      <c r="B244" s="146" t="s">
        <v>521</v>
      </c>
      <c r="C244" s="132" t="n">
        <v>425000</v>
      </c>
      <c r="D244" s="132" t="n">
        <f aca="false">300000+125000</f>
        <v>425000</v>
      </c>
      <c r="E244" s="133" t="n">
        <f aca="false">C244-D244</f>
        <v>0</v>
      </c>
    </row>
    <row r="245" customFormat="false" ht="19.5" hidden="false" customHeight="true" outlineLevel="0" collapsed="false">
      <c r="A245" s="130" t="n">
        <v>46</v>
      </c>
      <c r="B245" s="146" t="s">
        <v>522</v>
      </c>
      <c r="C245" s="132" t="n">
        <v>425000</v>
      </c>
      <c r="D245" s="132" t="n">
        <f aca="false">200000+200000+25000</f>
        <v>425000</v>
      </c>
      <c r="E245" s="133" t="n">
        <f aca="false">C245-D245</f>
        <v>0</v>
      </c>
    </row>
    <row r="246" customFormat="false" ht="19.5" hidden="false" customHeight="true" outlineLevel="0" collapsed="false">
      <c r="A246" s="130" t="n">
        <v>47</v>
      </c>
      <c r="B246" s="146" t="s">
        <v>523</v>
      </c>
      <c r="C246" s="132" t="n">
        <v>425000</v>
      </c>
      <c r="D246" s="132" t="n">
        <f aca="false">90000+100000+100000+35000+100000</f>
        <v>425000</v>
      </c>
      <c r="E246" s="133" t="n">
        <f aca="false">C246-D246</f>
        <v>0</v>
      </c>
    </row>
    <row r="247" customFormat="false" ht="19.5" hidden="false" customHeight="true" outlineLevel="0" collapsed="false">
      <c r="A247" s="130" t="n">
        <v>48</v>
      </c>
      <c r="B247" s="146" t="s">
        <v>524</v>
      </c>
      <c r="C247" s="132" t="n">
        <v>425000</v>
      </c>
      <c r="D247" s="132" t="n">
        <f aca="false">200000+125000+100000</f>
        <v>425000</v>
      </c>
      <c r="E247" s="133" t="n">
        <f aca="false">C247-D247</f>
        <v>0</v>
      </c>
    </row>
    <row r="248" customFormat="false" ht="19.5" hidden="false" customHeight="true" outlineLevel="0" collapsed="false">
      <c r="A248" s="130" t="n">
        <v>49</v>
      </c>
      <c r="B248" s="146" t="s">
        <v>525</v>
      </c>
      <c r="C248" s="132" t="n">
        <v>425000</v>
      </c>
      <c r="D248" s="132" t="n">
        <f aca="false">100000+200000+125000</f>
        <v>425000</v>
      </c>
      <c r="E248" s="133" t="n">
        <f aca="false">C248-D248</f>
        <v>0</v>
      </c>
    </row>
    <row r="249" customFormat="false" ht="19.5" hidden="false" customHeight="true" outlineLevel="0" collapsed="false">
      <c r="A249" s="130" t="n">
        <v>50</v>
      </c>
      <c r="B249" s="146" t="s">
        <v>526</v>
      </c>
      <c r="C249" s="132" t="n">
        <v>425000</v>
      </c>
      <c r="D249" s="132" t="n">
        <f aca="false">50000+50000+200000+125000</f>
        <v>425000</v>
      </c>
      <c r="E249" s="133" t="n">
        <f aca="false">C249-D249</f>
        <v>0</v>
      </c>
    </row>
    <row r="250" customFormat="false" ht="19.5" hidden="false" customHeight="true" outlineLevel="0" collapsed="false">
      <c r="A250" s="130" t="n">
        <v>51</v>
      </c>
      <c r="B250" s="146" t="s">
        <v>527</v>
      </c>
      <c r="C250" s="132" t="n">
        <v>425000</v>
      </c>
      <c r="D250" s="132" t="n">
        <f aca="false">225000+200000</f>
        <v>425000</v>
      </c>
      <c r="E250" s="133" t="n">
        <f aca="false">C250-D250</f>
        <v>0</v>
      </c>
    </row>
    <row r="251" customFormat="false" ht="19.5" hidden="false" customHeight="true" outlineLevel="0" collapsed="false">
      <c r="A251" s="130" t="n">
        <v>52</v>
      </c>
      <c r="B251" s="146" t="s">
        <v>528</v>
      </c>
      <c r="C251" s="132" t="n">
        <v>425000</v>
      </c>
      <c r="D251" s="132" t="n">
        <f aca="false">100000+100000+200000+25000</f>
        <v>425000</v>
      </c>
      <c r="E251" s="133" t="n">
        <f aca="false">C251-D251</f>
        <v>0</v>
      </c>
    </row>
    <row r="252" customFormat="false" ht="19.5" hidden="false" customHeight="true" outlineLevel="0" collapsed="false">
      <c r="A252" s="130" t="n">
        <v>53</v>
      </c>
      <c r="B252" s="146" t="s">
        <v>529</v>
      </c>
      <c r="C252" s="132" t="n">
        <v>425000</v>
      </c>
      <c r="D252" s="132" t="n">
        <f aca="false">350000+75000</f>
        <v>425000</v>
      </c>
      <c r="E252" s="133" t="n">
        <f aca="false">C252-D252</f>
        <v>0</v>
      </c>
    </row>
    <row r="253" customFormat="false" ht="19.5" hidden="false" customHeight="true" outlineLevel="0" collapsed="false">
      <c r="A253" s="138"/>
      <c r="B253" s="139" t="s">
        <v>24</v>
      </c>
      <c r="C253" s="140" t="n">
        <f aca="false">SUM(C200:C252)</f>
        <v>22525000</v>
      </c>
      <c r="D253" s="141" t="n">
        <f aca="false">SUM(D200:D252)</f>
        <v>22175000</v>
      </c>
      <c r="E253" s="142" t="n">
        <f aca="false">SUM(E200:E252)</f>
        <v>350000</v>
      </c>
    </row>
    <row r="259" customFormat="false" ht="17.35" hidden="false" customHeight="false" outlineLevel="0" collapsed="false">
      <c r="B259" s="76" t="s">
        <v>530</v>
      </c>
    </row>
    <row r="260" customFormat="false" ht="17.35" hidden="false" customHeight="false" outlineLevel="0" collapsed="false">
      <c r="A260" s="76"/>
    </row>
    <row r="261" customFormat="false" ht="15" hidden="false" customHeight="false" outlineLevel="0" collapsed="false">
      <c r="B261" s="124" t="s">
        <v>187</v>
      </c>
    </row>
    <row r="262" customFormat="false" ht="15" hidden="false" customHeight="false" outlineLevel="0" collapsed="false">
      <c r="B262" s="125" t="s">
        <v>531</v>
      </c>
    </row>
    <row r="265" customFormat="false" ht="15" hidden="false" customHeight="false" outlineLevel="0" collapsed="false">
      <c r="A265" s="126" t="s">
        <v>3</v>
      </c>
      <c r="B265" s="127" t="s">
        <v>532</v>
      </c>
      <c r="C265" s="9" t="s">
        <v>5</v>
      </c>
      <c r="D265" s="128" t="s">
        <v>6</v>
      </c>
      <c r="E265" s="129" t="s">
        <v>7</v>
      </c>
    </row>
    <row r="266" customFormat="false" ht="15" hidden="false" customHeight="false" outlineLevel="0" collapsed="false">
      <c r="A266" s="130" t="n">
        <v>1</v>
      </c>
      <c r="B266" s="131"/>
      <c r="C266" s="132" t="n">
        <v>560000</v>
      </c>
      <c r="D266" s="132"/>
      <c r="E266" s="133" t="n">
        <f aca="false">C266-D266</f>
        <v>560000</v>
      </c>
    </row>
    <row r="267" customFormat="false" ht="15" hidden="false" customHeight="false" outlineLevel="0" collapsed="false">
      <c r="A267" s="130" t="n">
        <v>2</v>
      </c>
      <c r="B267" s="134"/>
      <c r="C267" s="132" t="n">
        <v>560000</v>
      </c>
      <c r="D267" s="132"/>
      <c r="E267" s="133" t="n">
        <f aca="false">C267-D267</f>
        <v>560000</v>
      </c>
    </row>
    <row r="268" customFormat="false" ht="15" hidden="false" customHeight="false" outlineLevel="0" collapsed="false">
      <c r="A268" s="130" t="n">
        <v>3</v>
      </c>
      <c r="B268" s="131"/>
      <c r="C268" s="132" t="n">
        <v>560000</v>
      </c>
      <c r="D268" s="132"/>
      <c r="E268" s="133" t="n">
        <f aca="false">C268-D268</f>
        <v>560000</v>
      </c>
    </row>
    <row r="269" customFormat="false" ht="15" hidden="false" customHeight="false" outlineLevel="0" collapsed="false">
      <c r="A269" s="130" t="n">
        <v>4</v>
      </c>
      <c r="B269" s="131"/>
      <c r="C269" s="132" t="n">
        <v>560000</v>
      </c>
      <c r="D269" s="132"/>
      <c r="E269" s="133" t="n">
        <f aca="false">C269-D269</f>
        <v>560000</v>
      </c>
    </row>
    <row r="270" customFormat="false" ht="15" hidden="false" customHeight="false" outlineLevel="0" collapsed="false">
      <c r="A270" s="130" t="n">
        <v>5</v>
      </c>
      <c r="B270" s="131"/>
      <c r="C270" s="132" t="n">
        <v>560000</v>
      </c>
      <c r="D270" s="132"/>
      <c r="E270" s="133" t="n">
        <f aca="false">C270-D270</f>
        <v>560000</v>
      </c>
    </row>
    <row r="271" customFormat="false" ht="15" hidden="false" customHeight="false" outlineLevel="0" collapsed="false">
      <c r="A271" s="130" t="n">
        <v>6</v>
      </c>
      <c r="B271" s="131"/>
      <c r="C271" s="132" t="n">
        <v>560000</v>
      </c>
      <c r="D271" s="132"/>
      <c r="E271" s="133" t="n">
        <f aca="false">C271-D271</f>
        <v>560000</v>
      </c>
    </row>
    <row r="272" customFormat="false" ht="15" hidden="false" customHeight="false" outlineLevel="0" collapsed="false">
      <c r="A272" s="130" t="n">
        <v>7</v>
      </c>
      <c r="B272" s="131"/>
      <c r="C272" s="132" t="n">
        <v>560000</v>
      </c>
      <c r="D272" s="132"/>
      <c r="E272" s="133" t="n">
        <f aca="false">C272-D272</f>
        <v>560000</v>
      </c>
    </row>
    <row r="273" customFormat="false" ht="15" hidden="false" customHeight="false" outlineLevel="0" collapsed="false">
      <c r="A273" s="130" t="n">
        <v>8</v>
      </c>
      <c r="B273" s="131"/>
      <c r="C273" s="132" t="n">
        <v>560000</v>
      </c>
      <c r="D273" s="132"/>
      <c r="E273" s="133" t="n">
        <f aca="false">C273-D273</f>
        <v>560000</v>
      </c>
    </row>
    <row r="274" customFormat="false" ht="15" hidden="false" customHeight="false" outlineLevel="0" collapsed="false">
      <c r="A274" s="130" t="n">
        <v>9</v>
      </c>
      <c r="B274" s="131"/>
      <c r="C274" s="132" t="n">
        <v>560000</v>
      </c>
      <c r="D274" s="132"/>
      <c r="E274" s="133" t="n">
        <f aca="false">C274-D274</f>
        <v>560000</v>
      </c>
    </row>
    <row r="275" customFormat="false" ht="15" hidden="false" customHeight="false" outlineLevel="0" collapsed="false">
      <c r="A275" s="130" t="n">
        <v>10</v>
      </c>
      <c r="B275" s="131"/>
      <c r="C275" s="132" t="n">
        <v>560000</v>
      </c>
      <c r="D275" s="132"/>
      <c r="E275" s="133" t="n">
        <f aca="false">C275-D275</f>
        <v>560000</v>
      </c>
    </row>
    <row r="276" customFormat="false" ht="15" hidden="false" customHeight="false" outlineLevel="0" collapsed="false">
      <c r="A276" s="130" t="n">
        <v>11</v>
      </c>
      <c r="B276" s="131"/>
      <c r="C276" s="132" t="n">
        <v>560000</v>
      </c>
      <c r="D276" s="132"/>
      <c r="E276" s="133" t="n">
        <f aca="false">C276-D276</f>
        <v>560000</v>
      </c>
    </row>
    <row r="277" customFormat="false" ht="15" hidden="false" customHeight="false" outlineLevel="0" collapsed="false">
      <c r="A277" s="130" t="n">
        <v>12</v>
      </c>
      <c r="B277" s="131"/>
      <c r="C277" s="132" t="n">
        <v>560000</v>
      </c>
      <c r="D277" s="132"/>
      <c r="E277" s="133" t="n">
        <f aca="false">C277-D277</f>
        <v>560000</v>
      </c>
    </row>
    <row r="278" customFormat="false" ht="15" hidden="false" customHeight="false" outlineLevel="0" collapsed="false">
      <c r="A278" s="130" t="n">
        <v>13</v>
      </c>
      <c r="B278" s="131"/>
      <c r="C278" s="132" t="n">
        <v>560000</v>
      </c>
      <c r="D278" s="132"/>
      <c r="E278" s="133" t="n">
        <f aca="false">C278-D278</f>
        <v>560000</v>
      </c>
    </row>
    <row r="279" customFormat="false" ht="15" hidden="false" customHeight="false" outlineLevel="0" collapsed="false">
      <c r="A279" s="130" t="n">
        <v>14</v>
      </c>
      <c r="B279" s="131"/>
      <c r="C279" s="132" t="n">
        <v>560000</v>
      </c>
      <c r="D279" s="132"/>
      <c r="E279" s="133" t="n">
        <f aca="false">C279-D279</f>
        <v>560000</v>
      </c>
    </row>
    <row r="280" customFormat="false" ht="15" hidden="false" customHeight="false" outlineLevel="0" collapsed="false">
      <c r="A280" s="130" t="n">
        <v>15</v>
      </c>
      <c r="B280" s="131"/>
      <c r="C280" s="132" t="n">
        <v>560000</v>
      </c>
      <c r="D280" s="132"/>
      <c r="E280" s="133" t="n">
        <f aca="false">C280-D280</f>
        <v>560000</v>
      </c>
    </row>
    <row r="281" customFormat="false" ht="19.7" hidden="false" customHeight="false" outlineLevel="0" collapsed="false">
      <c r="A281" s="138"/>
      <c r="B281" s="139" t="s">
        <v>24</v>
      </c>
      <c r="C281" s="140" t="n">
        <f aca="false">SUM(C266:C280)</f>
        <v>8400000</v>
      </c>
      <c r="D281" s="141" t="n">
        <f aca="false">SUM(D266:D280)</f>
        <v>0</v>
      </c>
      <c r="E281" s="142" t="n">
        <f aca="false">SUM(E266:E280)</f>
        <v>8400000</v>
      </c>
    </row>
    <row r="297" customFormat="false" ht="15" hidden="false" customHeight="false" outlineLevel="0" collapsed="false">
      <c r="A297" s="149" t="s">
        <v>533</v>
      </c>
      <c r="B297" s="153"/>
      <c r="C297" s="153"/>
      <c r="D297" s="153"/>
      <c r="E297" s="153"/>
    </row>
    <row r="299" customFormat="false" ht="15" hidden="false" customHeight="false" outlineLevel="0" collapsed="false">
      <c r="B299" s="124" t="s">
        <v>534</v>
      </c>
    </row>
    <row r="300" customFormat="false" ht="15" hidden="false" customHeight="false" outlineLevel="0" collapsed="false">
      <c r="B300" s="125" t="s">
        <v>346</v>
      </c>
    </row>
    <row r="302" customFormat="false" ht="15" hidden="false" customHeight="false" outlineLevel="0" collapsed="false">
      <c r="A302" s="126" t="s">
        <v>3</v>
      </c>
      <c r="B302" s="144" t="s">
        <v>4</v>
      </c>
      <c r="C302" s="9" t="s">
        <v>5</v>
      </c>
      <c r="D302" s="128" t="s">
        <v>6</v>
      </c>
      <c r="E302" s="129" t="s">
        <v>7</v>
      </c>
    </row>
    <row r="303" customFormat="false" ht="15" hidden="false" customHeight="false" outlineLevel="0" collapsed="false">
      <c r="A303" s="130" t="n">
        <v>1</v>
      </c>
      <c r="B303" s="134" t="s">
        <v>535</v>
      </c>
      <c r="C303" s="132" t="n">
        <v>415000</v>
      </c>
      <c r="D303" s="147" t="n">
        <f aca="false">415000</f>
        <v>415000</v>
      </c>
      <c r="E303" s="133" t="n">
        <f aca="false">C303-D303</f>
        <v>0</v>
      </c>
    </row>
    <row r="304" customFormat="false" ht="15" hidden="false" customHeight="false" outlineLevel="0" collapsed="false">
      <c r="A304" s="130" t="n">
        <v>2</v>
      </c>
      <c r="B304" s="134" t="s">
        <v>536</v>
      </c>
      <c r="C304" s="132" t="n">
        <v>415000</v>
      </c>
      <c r="D304" s="147" t="n">
        <v>415000</v>
      </c>
      <c r="E304" s="133" t="n">
        <f aca="false">C304-D304</f>
        <v>0</v>
      </c>
    </row>
    <row r="305" customFormat="false" ht="15" hidden="false" customHeight="false" outlineLevel="0" collapsed="false">
      <c r="A305" s="130" t="n">
        <v>3</v>
      </c>
      <c r="B305" s="134" t="s">
        <v>537</v>
      </c>
      <c r="C305" s="132" t="n">
        <v>415000</v>
      </c>
      <c r="D305" s="147" t="n">
        <f aca="false">35000+150000+80000+150000</f>
        <v>415000</v>
      </c>
      <c r="E305" s="133" t="n">
        <f aca="false">C305-D305</f>
        <v>0</v>
      </c>
    </row>
    <row r="306" customFormat="false" ht="15" hidden="false" customHeight="false" outlineLevel="0" collapsed="false">
      <c r="A306" s="130" t="n">
        <v>4</v>
      </c>
      <c r="B306" s="134" t="s">
        <v>538</v>
      </c>
      <c r="C306" s="132" t="n">
        <v>415000</v>
      </c>
      <c r="D306" s="147" t="n">
        <v>415000</v>
      </c>
      <c r="E306" s="133" t="n">
        <f aca="false">C306-D306</f>
        <v>0</v>
      </c>
    </row>
    <row r="307" customFormat="false" ht="15" hidden="false" customHeight="false" outlineLevel="0" collapsed="false">
      <c r="A307" s="130" t="n">
        <v>5</v>
      </c>
      <c r="B307" s="134" t="s">
        <v>539</v>
      </c>
      <c r="C307" s="132" t="n">
        <v>415000</v>
      </c>
      <c r="D307" s="147" t="n">
        <f aca="false">200000+215000</f>
        <v>415000</v>
      </c>
      <c r="E307" s="133" t="n">
        <f aca="false">C307-D307</f>
        <v>0</v>
      </c>
    </row>
    <row r="308" customFormat="false" ht="15" hidden="false" customHeight="false" outlineLevel="0" collapsed="false">
      <c r="A308" s="130" t="n">
        <v>6</v>
      </c>
      <c r="B308" s="134" t="s">
        <v>540</v>
      </c>
      <c r="C308" s="132" t="n">
        <v>415000</v>
      </c>
      <c r="D308" s="147" t="n">
        <f aca="false">285000+115000+15000</f>
        <v>415000</v>
      </c>
      <c r="E308" s="133" t="n">
        <f aca="false">C308-D308</f>
        <v>0</v>
      </c>
    </row>
    <row r="309" customFormat="false" ht="15" hidden="false" customHeight="false" outlineLevel="0" collapsed="false">
      <c r="A309" s="130" t="n">
        <v>7</v>
      </c>
      <c r="B309" s="145" t="s">
        <v>541</v>
      </c>
      <c r="C309" s="132" t="n">
        <v>415000</v>
      </c>
      <c r="D309" s="147" t="n">
        <v>415000</v>
      </c>
      <c r="E309" s="133" t="n">
        <f aca="false">C309-D309</f>
        <v>0</v>
      </c>
    </row>
    <row r="310" customFormat="false" ht="15" hidden="false" customHeight="false" outlineLevel="0" collapsed="false">
      <c r="A310" s="130" t="n">
        <v>8</v>
      </c>
      <c r="B310" s="145" t="s">
        <v>542</v>
      </c>
      <c r="C310" s="132" t="n">
        <v>415000</v>
      </c>
      <c r="D310" s="147" t="n">
        <f aca="false">215000+200000</f>
        <v>415000</v>
      </c>
      <c r="E310" s="133" t="n">
        <f aca="false">C310-D310</f>
        <v>0</v>
      </c>
    </row>
    <row r="311" customFormat="false" ht="15" hidden="false" customHeight="false" outlineLevel="0" collapsed="false">
      <c r="A311" s="130" t="n">
        <v>9</v>
      </c>
      <c r="B311" s="145" t="s">
        <v>543</v>
      </c>
      <c r="C311" s="132" t="n">
        <v>415000</v>
      </c>
      <c r="D311" s="147" t="n">
        <f aca="false">200000+215000</f>
        <v>415000</v>
      </c>
      <c r="E311" s="133" t="n">
        <f aca="false">C311-D311</f>
        <v>0</v>
      </c>
    </row>
    <row r="312" customFormat="false" ht="15" hidden="false" customHeight="false" outlineLevel="0" collapsed="false">
      <c r="A312" s="130" t="n">
        <v>10</v>
      </c>
      <c r="B312" s="145" t="s">
        <v>544</v>
      </c>
      <c r="C312" s="132" t="n">
        <v>415000</v>
      </c>
      <c r="D312" s="147" t="n">
        <f aca="false">195000+220000</f>
        <v>415000</v>
      </c>
      <c r="E312" s="133" t="n">
        <f aca="false">C312-D312</f>
        <v>0</v>
      </c>
    </row>
    <row r="313" customFormat="false" ht="15" hidden="false" customHeight="false" outlineLevel="0" collapsed="false">
      <c r="A313" s="130" t="n">
        <v>11</v>
      </c>
      <c r="B313" s="145" t="s">
        <v>545</v>
      </c>
      <c r="C313" s="132" t="n">
        <v>415000</v>
      </c>
      <c r="D313" s="147" t="n">
        <v>415000</v>
      </c>
      <c r="E313" s="133" t="n">
        <f aca="false">C313-D313</f>
        <v>0</v>
      </c>
    </row>
    <row r="314" customFormat="false" ht="15" hidden="false" customHeight="false" outlineLevel="0" collapsed="false">
      <c r="A314" s="130" t="n">
        <v>12</v>
      </c>
      <c r="B314" s="145" t="s">
        <v>546</v>
      </c>
      <c r="C314" s="132" t="n">
        <v>415000</v>
      </c>
      <c r="D314" s="147"/>
      <c r="E314" s="133" t="n">
        <f aca="false">C314-D314</f>
        <v>415000</v>
      </c>
    </row>
    <row r="315" customFormat="false" ht="15" hidden="false" customHeight="false" outlineLevel="0" collapsed="false">
      <c r="A315" s="130" t="n">
        <v>13</v>
      </c>
      <c r="B315" s="145" t="s">
        <v>547</v>
      </c>
      <c r="C315" s="132" t="n">
        <v>415000</v>
      </c>
      <c r="D315" s="147" t="n">
        <v>415000</v>
      </c>
      <c r="E315" s="133" t="n">
        <f aca="false">C315-D315</f>
        <v>0</v>
      </c>
    </row>
    <row r="316" customFormat="false" ht="15" hidden="false" customHeight="false" outlineLevel="0" collapsed="false">
      <c r="A316" s="130" t="n">
        <v>14</v>
      </c>
      <c r="B316" s="145" t="s">
        <v>548</v>
      </c>
      <c r="C316" s="132" t="n">
        <v>415000</v>
      </c>
      <c r="D316" s="147" t="n">
        <v>415000</v>
      </c>
      <c r="E316" s="133" t="n">
        <f aca="false">C316-D316</f>
        <v>0</v>
      </c>
    </row>
    <row r="317" customFormat="false" ht="15" hidden="false" customHeight="false" outlineLevel="0" collapsed="false">
      <c r="A317" s="130" t="n">
        <v>15</v>
      </c>
      <c r="B317" s="145" t="s">
        <v>549</v>
      </c>
      <c r="C317" s="132" t="n">
        <v>415000</v>
      </c>
      <c r="D317" s="147"/>
      <c r="E317" s="133" t="n">
        <f aca="false">C317-D317</f>
        <v>415000</v>
      </c>
    </row>
    <row r="318" customFormat="false" ht="15" hidden="false" customHeight="false" outlineLevel="0" collapsed="false">
      <c r="A318" s="130" t="n">
        <v>16</v>
      </c>
      <c r="B318" s="145" t="s">
        <v>550</v>
      </c>
      <c r="C318" s="132" t="n">
        <v>415000</v>
      </c>
      <c r="D318" s="147" t="n">
        <f aca="false">65000+300000+50000</f>
        <v>415000</v>
      </c>
      <c r="E318" s="133" t="n">
        <f aca="false">C318-D318</f>
        <v>0</v>
      </c>
    </row>
    <row r="319" customFormat="false" ht="15" hidden="false" customHeight="false" outlineLevel="0" collapsed="false">
      <c r="A319" s="130" t="n">
        <v>17</v>
      </c>
      <c r="B319" s="145" t="s">
        <v>551</v>
      </c>
      <c r="C319" s="132" t="n">
        <v>415000</v>
      </c>
      <c r="D319" s="147" t="n">
        <v>415000</v>
      </c>
      <c r="E319" s="133" t="n">
        <f aca="false">C319-D319</f>
        <v>0</v>
      </c>
    </row>
    <row r="320" customFormat="false" ht="15" hidden="false" customHeight="false" outlineLevel="0" collapsed="false">
      <c r="A320" s="130" t="n">
        <v>18</v>
      </c>
      <c r="B320" s="145" t="s">
        <v>552</v>
      </c>
      <c r="C320" s="132" t="n">
        <v>415000</v>
      </c>
      <c r="D320" s="147" t="n">
        <f aca="false">245000+170000</f>
        <v>415000</v>
      </c>
      <c r="E320" s="133" t="n">
        <f aca="false">C320-D320</f>
        <v>0</v>
      </c>
    </row>
    <row r="321" customFormat="false" ht="15" hidden="false" customHeight="false" outlineLevel="0" collapsed="false">
      <c r="A321" s="130" t="n">
        <v>19</v>
      </c>
      <c r="B321" s="145" t="s">
        <v>553</v>
      </c>
      <c r="C321" s="132" t="n">
        <v>415000</v>
      </c>
      <c r="D321" s="147" t="n">
        <v>415000</v>
      </c>
      <c r="E321" s="133" t="n">
        <f aca="false">C321-D321</f>
        <v>0</v>
      </c>
    </row>
    <row r="322" customFormat="false" ht="15" hidden="false" customHeight="false" outlineLevel="0" collapsed="false">
      <c r="A322" s="130" t="n">
        <v>20</v>
      </c>
      <c r="B322" s="145" t="s">
        <v>554</v>
      </c>
      <c r="C322" s="132" t="n">
        <v>415000</v>
      </c>
      <c r="D322" s="147" t="n">
        <f aca="false">235000+250000</f>
        <v>485000</v>
      </c>
      <c r="E322" s="133" t="n">
        <f aca="false">C322-D322</f>
        <v>-70000</v>
      </c>
    </row>
    <row r="323" customFormat="false" ht="15" hidden="false" customHeight="false" outlineLevel="0" collapsed="false">
      <c r="A323" s="130" t="n">
        <v>21</v>
      </c>
      <c r="B323" s="145" t="s">
        <v>555</v>
      </c>
      <c r="C323" s="132" t="n">
        <v>415000</v>
      </c>
      <c r="D323" s="147" t="n">
        <v>415000</v>
      </c>
      <c r="E323" s="133" t="n">
        <f aca="false">C323-D323</f>
        <v>0</v>
      </c>
    </row>
    <row r="324" customFormat="false" ht="15" hidden="false" customHeight="false" outlineLevel="0" collapsed="false">
      <c r="A324" s="130" t="n">
        <v>22</v>
      </c>
      <c r="B324" s="145" t="s">
        <v>556</v>
      </c>
      <c r="C324" s="132" t="n">
        <v>415000</v>
      </c>
      <c r="D324" s="147" t="n">
        <v>415000</v>
      </c>
      <c r="E324" s="133" t="n">
        <f aca="false">C324-D324</f>
        <v>0</v>
      </c>
    </row>
    <row r="325" customFormat="false" ht="15" hidden="false" customHeight="false" outlineLevel="0" collapsed="false">
      <c r="A325" s="130" t="n">
        <v>23</v>
      </c>
      <c r="B325" s="145" t="s">
        <v>557</v>
      </c>
      <c r="C325" s="132" t="n">
        <v>415000</v>
      </c>
      <c r="D325" s="147" t="n">
        <v>415000</v>
      </c>
      <c r="E325" s="133" t="n">
        <f aca="false">C325-D325</f>
        <v>0</v>
      </c>
    </row>
    <row r="326" customFormat="false" ht="15" hidden="false" customHeight="false" outlineLevel="0" collapsed="false">
      <c r="A326" s="130" t="n">
        <v>24</v>
      </c>
      <c r="B326" s="145" t="s">
        <v>558</v>
      </c>
      <c r="C326" s="132" t="n">
        <v>415000</v>
      </c>
      <c r="D326" s="147"/>
      <c r="E326" s="133" t="n">
        <f aca="false">C326-D326</f>
        <v>415000</v>
      </c>
    </row>
    <row r="327" customFormat="false" ht="15" hidden="false" customHeight="false" outlineLevel="0" collapsed="false">
      <c r="A327" s="130" t="n">
        <v>25</v>
      </c>
      <c r="B327" s="145" t="s">
        <v>559</v>
      </c>
      <c r="C327" s="132" t="n">
        <v>415000</v>
      </c>
      <c r="D327" s="147" t="n">
        <f aca="false">415000</f>
        <v>415000</v>
      </c>
      <c r="E327" s="133" t="n">
        <f aca="false">C327-D327</f>
        <v>0</v>
      </c>
    </row>
    <row r="328" customFormat="false" ht="15" hidden="false" customHeight="false" outlineLevel="0" collapsed="false">
      <c r="A328" s="130" t="n">
        <v>26</v>
      </c>
      <c r="B328" s="145" t="s">
        <v>560</v>
      </c>
      <c r="C328" s="132" t="n">
        <v>415000</v>
      </c>
      <c r="D328" s="147" t="n">
        <f aca="false">365000+50000</f>
        <v>415000</v>
      </c>
      <c r="E328" s="133" t="n">
        <f aca="false">C328-D328</f>
        <v>0</v>
      </c>
    </row>
    <row r="329" customFormat="false" ht="15" hidden="false" customHeight="false" outlineLevel="0" collapsed="false">
      <c r="A329" s="130" t="n">
        <v>27</v>
      </c>
      <c r="B329" s="145" t="s">
        <v>561</v>
      </c>
      <c r="C329" s="132" t="n">
        <v>415000</v>
      </c>
      <c r="D329" s="147" t="n">
        <v>415000</v>
      </c>
      <c r="E329" s="133" t="n">
        <f aca="false">C329-D329</f>
        <v>0</v>
      </c>
    </row>
    <row r="330" customFormat="false" ht="15" hidden="false" customHeight="false" outlineLevel="0" collapsed="false">
      <c r="A330" s="130" t="n">
        <v>28</v>
      </c>
      <c r="B330" s="145" t="s">
        <v>562</v>
      </c>
      <c r="C330" s="132" t="n">
        <v>415000</v>
      </c>
      <c r="D330" s="147" t="n">
        <v>415000</v>
      </c>
      <c r="E330" s="133" t="n">
        <f aca="false">C330-D330</f>
        <v>0</v>
      </c>
    </row>
    <row r="331" customFormat="false" ht="15" hidden="false" customHeight="false" outlineLevel="0" collapsed="false">
      <c r="A331" s="130" t="n">
        <v>29</v>
      </c>
      <c r="B331" s="145" t="s">
        <v>563</v>
      </c>
      <c r="C331" s="132" t="n">
        <v>415000</v>
      </c>
      <c r="D331" s="147" t="n">
        <v>415000</v>
      </c>
      <c r="E331" s="133" t="n">
        <f aca="false">C331-D331</f>
        <v>0</v>
      </c>
    </row>
    <row r="332" customFormat="false" ht="15" hidden="false" customHeight="false" outlineLevel="0" collapsed="false">
      <c r="A332" s="130" t="n">
        <v>30</v>
      </c>
      <c r="B332" s="145" t="s">
        <v>564</v>
      </c>
      <c r="C332" s="132" t="n">
        <v>415000</v>
      </c>
      <c r="D332" s="147" t="n">
        <v>415000</v>
      </c>
      <c r="E332" s="133" t="n">
        <f aca="false">C332-D332</f>
        <v>0</v>
      </c>
    </row>
    <row r="333" customFormat="false" ht="15" hidden="false" customHeight="false" outlineLevel="0" collapsed="false">
      <c r="A333" s="130" t="n">
        <v>31</v>
      </c>
      <c r="B333" s="145" t="s">
        <v>565</v>
      </c>
      <c r="C333" s="132" t="n">
        <v>415000</v>
      </c>
      <c r="D333" s="147" t="n">
        <v>415000</v>
      </c>
      <c r="E333" s="133" t="n">
        <f aca="false">C333-D333</f>
        <v>0</v>
      </c>
    </row>
    <row r="334" customFormat="false" ht="15" hidden="false" customHeight="false" outlineLevel="0" collapsed="false">
      <c r="A334" s="130" t="n">
        <v>32</v>
      </c>
      <c r="B334" s="145" t="s">
        <v>566</v>
      </c>
      <c r="C334" s="132" t="n">
        <v>415000</v>
      </c>
      <c r="D334" s="147" t="n">
        <v>415000</v>
      </c>
      <c r="E334" s="133" t="n">
        <f aca="false">C334-D334</f>
        <v>0</v>
      </c>
    </row>
    <row r="335" customFormat="false" ht="15" hidden="false" customHeight="false" outlineLevel="0" collapsed="false">
      <c r="A335" s="130" t="n">
        <v>33</v>
      </c>
      <c r="B335" s="145" t="s">
        <v>567</v>
      </c>
      <c r="C335" s="132" t="n">
        <v>415000</v>
      </c>
      <c r="D335" s="147" t="n">
        <f aca="false">415000</f>
        <v>415000</v>
      </c>
      <c r="E335" s="133" t="n">
        <f aca="false">C335-D335</f>
        <v>0</v>
      </c>
    </row>
    <row r="336" customFormat="false" ht="15" hidden="false" customHeight="false" outlineLevel="0" collapsed="false">
      <c r="A336" s="130" t="n">
        <v>34</v>
      </c>
      <c r="B336" s="145" t="s">
        <v>568</v>
      </c>
      <c r="C336" s="132" t="n">
        <v>415000</v>
      </c>
      <c r="D336" s="147" t="n">
        <v>415000</v>
      </c>
      <c r="E336" s="133" t="n">
        <f aca="false">C336-D336</f>
        <v>0</v>
      </c>
    </row>
    <row r="337" customFormat="false" ht="15" hidden="false" customHeight="false" outlineLevel="0" collapsed="false">
      <c r="A337" s="130" t="n">
        <v>35</v>
      </c>
      <c r="B337" s="145" t="s">
        <v>569</v>
      </c>
      <c r="C337" s="132" t="n">
        <v>415000</v>
      </c>
      <c r="D337" s="147" t="n">
        <v>415000</v>
      </c>
      <c r="E337" s="133" t="n">
        <f aca="false">C337-D337</f>
        <v>0</v>
      </c>
    </row>
    <row r="338" customFormat="false" ht="15" hidden="false" customHeight="false" outlineLevel="0" collapsed="false">
      <c r="A338" s="130" t="n">
        <v>36</v>
      </c>
      <c r="B338" s="145" t="s">
        <v>570</v>
      </c>
      <c r="C338" s="132" t="n">
        <v>415000</v>
      </c>
      <c r="D338" s="147" t="n">
        <v>415000</v>
      </c>
      <c r="E338" s="133" t="n">
        <f aca="false">C338-D338</f>
        <v>0</v>
      </c>
    </row>
    <row r="339" customFormat="false" ht="15" hidden="false" customHeight="false" outlineLevel="0" collapsed="false">
      <c r="A339" s="130" t="n">
        <v>37</v>
      </c>
      <c r="B339" s="145" t="s">
        <v>571</v>
      </c>
      <c r="C339" s="132" t="n">
        <v>415000</v>
      </c>
      <c r="D339" s="147" t="n">
        <f aca="false">275000+90000+50000</f>
        <v>415000</v>
      </c>
      <c r="E339" s="133" t="n">
        <f aca="false">C339-D339</f>
        <v>0</v>
      </c>
    </row>
    <row r="340" customFormat="false" ht="15" hidden="false" customHeight="false" outlineLevel="0" collapsed="false">
      <c r="A340" s="130" t="n">
        <v>38</v>
      </c>
      <c r="B340" s="145" t="s">
        <v>572</v>
      </c>
      <c r="C340" s="132" t="n">
        <v>415000</v>
      </c>
      <c r="D340" s="147" t="n">
        <f aca="false">200000+215000</f>
        <v>415000</v>
      </c>
      <c r="E340" s="133" t="n">
        <f aca="false">C340-D340</f>
        <v>0</v>
      </c>
    </row>
    <row r="341" customFormat="false" ht="15" hidden="false" customHeight="false" outlineLevel="0" collapsed="false">
      <c r="A341" s="130" t="n">
        <v>40</v>
      </c>
      <c r="B341" s="145" t="s">
        <v>573</v>
      </c>
      <c r="C341" s="132" t="n">
        <v>415000</v>
      </c>
      <c r="D341" s="147" t="n">
        <v>415000</v>
      </c>
      <c r="E341" s="133" t="n">
        <f aca="false">C341-D341</f>
        <v>0</v>
      </c>
    </row>
    <row r="342" customFormat="false" ht="19.7" hidden="false" customHeight="false" outlineLevel="0" collapsed="false">
      <c r="A342" s="138"/>
      <c r="B342" s="139" t="s">
        <v>24</v>
      </c>
      <c r="C342" s="154" t="n">
        <f aca="false">SUM(C303:C341)</f>
        <v>16185000</v>
      </c>
      <c r="D342" s="141" t="n">
        <f aca="false">SUM(D303:D341)</f>
        <v>15010000</v>
      </c>
      <c r="E342" s="142" t="n">
        <f aca="false">SUM(E303:E341)</f>
        <v>1175000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J61"/>
  <sheetViews>
    <sheetView showFormulas="false" showGridLines="true" showRowColHeaders="true" showZeros="true" rightToLeft="false" tabSelected="false" showOutlineSymbols="true" defaultGridColor="true" view="normal" topLeftCell="A14" colorId="64" zoomScale="123" zoomScaleNormal="123" zoomScalePageLayoutView="100" workbookViewId="0">
      <selection pane="topLeft" activeCell="I40" activeCellId="0" sqref="I40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8.71"/>
    <col collapsed="false" customWidth="true" hidden="false" outlineLevel="0" max="3" min="3" style="1" width="15.57"/>
    <col collapsed="false" customWidth="true" hidden="false" outlineLevel="0" max="4" min="4" style="1" width="18.14"/>
    <col collapsed="false" customWidth="true" hidden="false" outlineLevel="0" max="5" min="5" style="1" width="14.57"/>
    <col collapsed="false" customWidth="true" hidden="false" outlineLevel="0" max="6" min="6" style="1" width="9"/>
  </cols>
  <sheetData>
    <row r="4" customFormat="false" ht="15" hidden="false" customHeight="false" outlineLevel="0" collapsed="false">
      <c r="A4" s="155" t="s">
        <v>574</v>
      </c>
      <c r="B4" s="156"/>
      <c r="C4" s="156"/>
      <c r="D4" s="156"/>
      <c r="E4" s="156"/>
      <c r="F4" s="156"/>
      <c r="G4" s="156"/>
    </row>
    <row r="5" customFormat="false" ht="15" hidden="false" customHeight="false" outlineLevel="0" collapsed="false">
      <c r="A5" s="157" t="s">
        <v>575</v>
      </c>
      <c r="B5" s="158" t="s">
        <v>576</v>
      </c>
      <c r="C5" s="158"/>
      <c r="D5" s="158"/>
      <c r="E5" s="159"/>
      <c r="F5" s="156"/>
      <c r="G5" s="156"/>
    </row>
    <row r="6" customFormat="false" ht="12.75" hidden="false" customHeight="true" outlineLevel="0" collapsed="false"/>
    <row r="7" customFormat="false" ht="29.25" hidden="false" customHeight="true" outlineLevel="0" collapsed="false">
      <c r="A7" s="160" t="s">
        <v>577</v>
      </c>
      <c r="B7" s="161" t="s">
        <v>578</v>
      </c>
      <c r="C7" s="160" t="s">
        <v>579</v>
      </c>
      <c r="D7" s="162" t="s">
        <v>580</v>
      </c>
      <c r="E7" s="163" t="s">
        <v>581</v>
      </c>
      <c r="F7" s="164" t="s">
        <v>582</v>
      </c>
    </row>
    <row r="8" customFormat="false" ht="6.75" hidden="false" customHeight="true" outlineLevel="0" collapsed="false">
      <c r="A8" s="165"/>
      <c r="B8" s="166"/>
      <c r="C8" s="167"/>
      <c r="D8" s="167"/>
      <c r="E8" s="167"/>
      <c r="F8" s="168"/>
    </row>
    <row r="9" customFormat="false" ht="15" hidden="false" customHeight="false" outlineLevel="0" collapsed="false">
      <c r="A9" s="169" t="s">
        <v>583</v>
      </c>
      <c r="B9" s="170" t="n">
        <v>20</v>
      </c>
      <c r="C9" s="171" t="n">
        <f aca="false">'LICENCE PRO. 1ère ANNEE'!C57</f>
        <v>8330000</v>
      </c>
      <c r="D9" s="171" t="n">
        <f aca="false">'LICENCE PRO. 1ère ANNEE'!D57</f>
        <v>6811500</v>
      </c>
      <c r="E9" s="172" t="n">
        <f aca="false">C9-D9</f>
        <v>1518500</v>
      </c>
      <c r="F9" s="173"/>
    </row>
    <row r="10" customFormat="false" ht="15" hidden="false" customHeight="false" outlineLevel="0" collapsed="false">
      <c r="A10" s="169" t="s">
        <v>584</v>
      </c>
      <c r="B10" s="170" t="n">
        <v>35</v>
      </c>
      <c r="C10" s="171" t="n">
        <f aca="false">'LICENCE PRO. 2è-3è-4è ANNEE'!C149</f>
        <v>14577500</v>
      </c>
      <c r="D10" s="171" t="n">
        <f aca="false">'LICENCE PRO. 2è-3è-4è ANNEE'!D149</f>
        <v>7067500</v>
      </c>
      <c r="E10" s="172" t="n">
        <f aca="false">C10-D10</f>
        <v>7510000</v>
      </c>
      <c r="F10" s="173"/>
    </row>
    <row r="11" customFormat="false" ht="15" hidden="false" customHeight="false" outlineLevel="0" collapsed="false">
      <c r="A11" s="169" t="s">
        <v>585</v>
      </c>
      <c r="B11" s="170" t="n">
        <v>24</v>
      </c>
      <c r="C11" s="171" t="e">
        <f aca="false">#REF!</f>
        <v>#REF!</v>
      </c>
      <c r="D11" s="171" t="n">
        <f aca="false">'LICENCE PRO. 2è-3è-4è ANNEE'!C183</f>
        <v>0</v>
      </c>
      <c r="E11" s="172" t="e">
        <f aca="false">C11-D11</f>
        <v>#REF!</v>
      </c>
      <c r="F11" s="173"/>
    </row>
    <row r="12" customFormat="false" ht="15" hidden="false" customHeight="false" outlineLevel="0" collapsed="false">
      <c r="A12" s="169" t="s">
        <v>586</v>
      </c>
      <c r="B12" s="170" t="n">
        <v>23</v>
      </c>
      <c r="C12" s="171" t="e">
        <f aca="false">#REF!</f>
        <v>#REF!</v>
      </c>
      <c r="D12" s="171" t="n">
        <f aca="false">'LICENCE PRO. 2è-3è-4è ANNEE'!C216</f>
        <v>0</v>
      </c>
      <c r="E12" s="172" t="e">
        <f aca="false">C12-D12</f>
        <v>#REF!</v>
      </c>
      <c r="F12" s="173"/>
    </row>
    <row r="13" customFormat="false" ht="6.75" hidden="false" customHeight="true" outlineLevel="0" collapsed="false">
      <c r="A13" s="174"/>
      <c r="B13" s="175"/>
      <c r="C13" s="176"/>
      <c r="D13" s="176"/>
      <c r="E13" s="176"/>
      <c r="F13" s="177"/>
    </row>
    <row r="14" customFormat="false" ht="15" hidden="false" customHeight="false" outlineLevel="0" collapsed="false">
      <c r="A14" s="169" t="s">
        <v>587</v>
      </c>
      <c r="B14" s="170" t="n">
        <v>18</v>
      </c>
      <c r="C14" s="171" t="n">
        <f aca="false">'LICENCE PRO. 1ère ANNEE'!C86</f>
        <v>7497000</v>
      </c>
      <c r="D14" s="171" t="n">
        <f aca="false">'LICENCE PRO. 1ère ANNEE'!D86</f>
        <v>6580000</v>
      </c>
      <c r="E14" s="171" t="n">
        <f aca="false">C14-D14</f>
        <v>917000</v>
      </c>
      <c r="F14" s="178"/>
    </row>
    <row r="15" customFormat="false" ht="15" hidden="false" customHeight="false" outlineLevel="0" collapsed="false">
      <c r="A15" s="179" t="s">
        <v>588</v>
      </c>
      <c r="B15" s="170" t="n">
        <v>19</v>
      </c>
      <c r="C15" s="171" t="n">
        <f aca="false">'LICENCE PRO. 2è-3è-4è ANNEE'!C249</f>
        <v>7913500</v>
      </c>
      <c r="D15" s="171" t="n">
        <f aca="false">'LICENCE PRO. 2è-3è-4è ANNEE'!D249</f>
        <v>3856000</v>
      </c>
      <c r="E15" s="171" t="n">
        <f aca="false">C15-D15</f>
        <v>4057500</v>
      </c>
      <c r="F15" s="178"/>
    </row>
    <row r="16" customFormat="false" ht="15" hidden="false" customHeight="false" outlineLevel="0" collapsed="false">
      <c r="A16" s="179" t="s">
        <v>589</v>
      </c>
      <c r="B16" s="170" t="n">
        <v>17</v>
      </c>
      <c r="C16" s="171" t="e">
        <f aca="false">#REF!</f>
        <v>#REF!</v>
      </c>
      <c r="D16" s="171" t="n">
        <f aca="false">'LICENCE PRO. 2è-3è-4è ANNEE'!C278</f>
        <v>0</v>
      </c>
      <c r="E16" s="171" t="e">
        <f aca="false">C16-D16</f>
        <v>#REF!</v>
      </c>
      <c r="F16" s="178"/>
    </row>
    <row r="17" customFormat="false" ht="15" hidden="false" customHeight="false" outlineLevel="0" collapsed="false">
      <c r="A17" s="179" t="s">
        <v>590</v>
      </c>
      <c r="B17" s="170" t="n">
        <v>22</v>
      </c>
      <c r="C17" s="171" t="e">
        <f aca="false">#REF!</f>
        <v>#REF!</v>
      </c>
      <c r="D17" s="171" t="n">
        <f aca="false">'LICENCE PRO. 2è-3è-4è ANNEE'!C310</f>
        <v>0</v>
      </c>
      <c r="E17" s="171" t="e">
        <f aca="false">C17-D17</f>
        <v>#REF!</v>
      </c>
      <c r="F17" s="178"/>
    </row>
    <row r="18" customFormat="false" ht="6.75" hidden="false" customHeight="true" outlineLevel="0" collapsed="false">
      <c r="A18" s="180"/>
      <c r="B18" s="180"/>
      <c r="C18" s="181"/>
      <c r="D18" s="181"/>
      <c r="E18" s="181"/>
      <c r="F18" s="182"/>
    </row>
    <row r="19" customFormat="false" ht="15" hidden="false" customHeight="false" outlineLevel="0" collapsed="false">
      <c r="A19" s="170" t="s">
        <v>591</v>
      </c>
      <c r="B19" s="170" t="n">
        <v>11</v>
      </c>
      <c r="C19" s="171" t="n">
        <f aca="false">'LICENCE PRO. 1ère ANNEE'!C110</f>
        <v>4998000</v>
      </c>
      <c r="D19" s="171" t="n">
        <f aca="false">'LICENCE PRO. 1ère ANNEE'!D110</f>
        <v>3864000</v>
      </c>
      <c r="E19" s="171" t="n">
        <f aca="false">C19-D19</f>
        <v>1134000</v>
      </c>
      <c r="F19" s="173"/>
    </row>
    <row r="20" customFormat="false" ht="15" hidden="false" customHeight="false" outlineLevel="0" collapsed="false">
      <c r="A20" s="170" t="s">
        <v>592</v>
      </c>
      <c r="B20" s="170" t="n">
        <v>21</v>
      </c>
      <c r="C20" s="171" t="n">
        <f aca="false">'LICENCE PRO. 2è-3è-4è ANNEE'!C342</f>
        <v>8746500</v>
      </c>
      <c r="D20" s="171" t="n">
        <f aca="false">'LICENCE PRO. 2è-3è-4è ANNEE'!D342</f>
        <v>4997500</v>
      </c>
      <c r="E20" s="171" t="n">
        <f aca="false">C20-D20</f>
        <v>3749000</v>
      </c>
      <c r="F20" s="173"/>
    </row>
    <row r="21" customFormat="false" ht="15" hidden="false" customHeight="false" outlineLevel="0" collapsed="false">
      <c r="A21" s="170" t="s">
        <v>593</v>
      </c>
      <c r="B21" s="170" t="n">
        <v>10</v>
      </c>
      <c r="C21" s="171" t="e">
        <f aca="false">#REF!</f>
        <v>#REF!</v>
      </c>
      <c r="D21" s="171" t="n">
        <f aca="false">'LICENCE PRO. 2è-3è-4è ANNEE'!C364</f>
        <v>0</v>
      </c>
      <c r="E21" s="171" t="e">
        <f aca="false">C21-D21</f>
        <v>#REF!</v>
      </c>
      <c r="F21" s="173"/>
    </row>
    <row r="22" customFormat="false" ht="15" hidden="false" customHeight="false" outlineLevel="0" collapsed="false">
      <c r="A22" s="170" t="s">
        <v>594</v>
      </c>
      <c r="B22" s="170" t="n">
        <v>17</v>
      </c>
      <c r="C22" s="171" t="e">
        <f aca="false">#REF!</f>
        <v>#REF!</v>
      </c>
      <c r="D22" s="171" t="n">
        <f aca="false">'LICENCE PRO. 2è-3è-4è ANNEE'!C392</f>
        <v>0</v>
      </c>
      <c r="E22" s="171" t="e">
        <f aca="false">C22-D22</f>
        <v>#REF!</v>
      </c>
      <c r="F22" s="173"/>
    </row>
    <row r="23" customFormat="false" ht="6.75" hidden="false" customHeight="true" outlineLevel="0" collapsed="false">
      <c r="A23" s="183"/>
      <c r="B23" s="184"/>
      <c r="C23" s="185"/>
      <c r="D23" s="185"/>
      <c r="E23" s="185"/>
      <c r="F23" s="186"/>
    </row>
    <row r="24" customFormat="false" ht="0.75" hidden="false" customHeight="true" outlineLevel="0" collapsed="false">
      <c r="A24" s="187"/>
      <c r="B24" s="187"/>
      <c r="C24" s="187"/>
      <c r="D24" s="187"/>
      <c r="E24" s="187"/>
      <c r="F24" s="187"/>
    </row>
    <row r="25" customFormat="false" ht="15" hidden="false" customHeight="false" outlineLevel="0" collapsed="false">
      <c r="A25" s="169" t="s">
        <v>595</v>
      </c>
      <c r="B25" s="170" t="n">
        <v>12</v>
      </c>
      <c r="C25" s="171" t="n">
        <f aca="false">'LICENCE PRO. 1ère ANNEE'!C202</f>
        <v>4581500</v>
      </c>
      <c r="D25" s="171" t="n">
        <f aca="false">'LICENCE PRO. 1ère ANNEE'!D202</f>
        <v>4481500</v>
      </c>
      <c r="E25" s="188" t="n">
        <f aca="false">C25-D25</f>
        <v>100000</v>
      </c>
      <c r="F25" s="178"/>
    </row>
    <row r="26" customFormat="false" ht="15" hidden="false" customHeight="false" outlineLevel="0" collapsed="false">
      <c r="A26" s="169" t="s">
        <v>596</v>
      </c>
      <c r="B26" s="170" t="n">
        <v>7</v>
      </c>
      <c r="C26" s="171" t="n">
        <f aca="false">Feuille11!C431</f>
        <v>2499000</v>
      </c>
      <c r="D26" s="171" t="n">
        <f aca="false">Feuille11!D431</f>
        <v>1866000</v>
      </c>
      <c r="E26" s="188" t="n">
        <f aca="false">C26-D26</f>
        <v>633000</v>
      </c>
      <c r="F26" s="178"/>
    </row>
    <row r="27" customFormat="false" ht="5.25" hidden="false" customHeight="true" outlineLevel="0" collapsed="false">
      <c r="A27" s="184"/>
      <c r="B27" s="175"/>
      <c r="C27" s="189"/>
      <c r="D27" s="189"/>
      <c r="E27" s="189"/>
      <c r="F27" s="186"/>
    </row>
    <row r="28" customFormat="false" ht="15" hidden="false" customHeight="false" outlineLevel="0" collapsed="false">
      <c r="A28" s="169" t="s">
        <v>597</v>
      </c>
      <c r="B28" s="170" t="n">
        <v>13</v>
      </c>
      <c r="C28" s="171" t="n">
        <f aca="false">'LICENCE PRO. 1ère ANNEE'!C26</f>
        <v>5414500</v>
      </c>
      <c r="D28" s="171" t="n">
        <f aca="false">'LICENCE PRO. 1ère ANNEE'!D26</f>
        <v>4674500</v>
      </c>
      <c r="E28" s="171" t="n">
        <f aca="false">C28-D28</f>
        <v>740000</v>
      </c>
      <c r="F28" s="178"/>
    </row>
    <row r="29" customFormat="false" ht="15" hidden="false" customHeight="false" outlineLevel="0" collapsed="false">
      <c r="A29" s="169" t="s">
        <v>598</v>
      </c>
      <c r="B29" s="170" t="n">
        <v>15</v>
      </c>
      <c r="C29" s="171" t="n">
        <f aca="false">'LICENCE PRO. 2è-3è-4è ANNEE'!C49</f>
        <v>5831000</v>
      </c>
      <c r="D29" s="171" t="n">
        <f aca="false">'LICENCE PRO. 2è-3è-4è ANNEE'!D49</f>
        <v>4791000</v>
      </c>
      <c r="E29" s="171" t="n">
        <f aca="false">C29-D29</f>
        <v>1040000</v>
      </c>
      <c r="F29" s="178"/>
    </row>
    <row r="30" customFormat="false" ht="15" hidden="false" customHeight="false" outlineLevel="0" collapsed="false">
      <c r="A30" s="169" t="s">
        <v>599</v>
      </c>
      <c r="B30" s="170" t="n">
        <v>12</v>
      </c>
      <c r="C30" s="171" t="e">
        <f aca="false">#REF!</f>
        <v>#REF!</v>
      </c>
      <c r="D30" s="171" t="n">
        <f aca="false">'LICENCE PRO. 2è-3è-4è ANNEE'!C71</f>
        <v>0</v>
      </c>
      <c r="E30" s="171" t="e">
        <f aca="false">C30-D30</f>
        <v>#REF!</v>
      </c>
      <c r="F30" s="178"/>
    </row>
    <row r="31" customFormat="false" ht="15" hidden="false" customHeight="false" outlineLevel="0" collapsed="false">
      <c r="A31" s="169" t="s">
        <v>600</v>
      </c>
      <c r="B31" s="170" t="n">
        <v>22</v>
      </c>
      <c r="C31" s="171" t="e">
        <f aca="false">#REF!</f>
        <v>#REF!</v>
      </c>
      <c r="D31" s="171" t="n">
        <f aca="false">'LICENCE PRO. 2è-3è-4è ANNEE'!C102</f>
        <v>0</v>
      </c>
      <c r="E31" s="171" t="e">
        <f aca="false">C31-D31</f>
        <v>#REF!</v>
      </c>
      <c r="F31" s="178"/>
    </row>
    <row r="32" customFormat="false" ht="8.25" hidden="false" customHeight="true" outlineLevel="0" collapsed="false">
      <c r="A32" s="184"/>
      <c r="B32" s="175"/>
      <c r="C32" s="189"/>
      <c r="D32" s="189"/>
      <c r="E32" s="190"/>
      <c r="F32" s="191"/>
    </row>
    <row r="33" customFormat="false" ht="15" hidden="false" customHeight="false" outlineLevel="0" collapsed="false">
      <c r="A33" s="169" t="s">
        <v>601</v>
      </c>
      <c r="B33" s="170" t="n">
        <v>12</v>
      </c>
      <c r="C33" s="171" t="e">
        <f aca="false">#REF!</f>
        <v>#REF!</v>
      </c>
      <c r="D33" s="171" t="n">
        <f aca="false">'LICENCE PRO. 2è-3è-4è ANNEE'!C23</f>
        <v>0</v>
      </c>
      <c r="E33" s="188" t="e">
        <f aca="false">C33-D33</f>
        <v>#REF!</v>
      </c>
      <c r="F33" s="178"/>
    </row>
    <row r="34" customFormat="false" ht="9" hidden="false" customHeight="true" outlineLevel="0" collapsed="false">
      <c r="A34" s="192"/>
      <c r="B34" s="193"/>
      <c r="C34" s="194"/>
      <c r="D34" s="194"/>
      <c r="E34" s="194"/>
      <c r="F34" s="195"/>
    </row>
    <row r="35" customFormat="false" ht="12.75" hidden="false" customHeight="true" outlineLevel="0" collapsed="false">
      <c r="A35" s="196" t="s">
        <v>602</v>
      </c>
      <c r="B35" s="197" t="n">
        <v>21</v>
      </c>
      <c r="C35" s="188" t="n">
        <f aca="false">'LICENCE PRO. 1ère ANNEE'!C262</f>
        <v>8330000</v>
      </c>
      <c r="D35" s="188" t="n">
        <f aca="false">'LICENCE PRO. 1ère ANNEE'!D262</f>
        <v>7040500</v>
      </c>
      <c r="E35" s="188" t="n">
        <f aca="false">C35-D35</f>
        <v>1289500</v>
      </c>
      <c r="F35" s="198"/>
    </row>
    <row r="36" customFormat="false" ht="15" hidden="false" customHeight="false" outlineLevel="0" collapsed="false">
      <c r="A36" s="196" t="s">
        <v>603</v>
      </c>
      <c r="B36" s="199" t="n">
        <v>57</v>
      </c>
      <c r="C36" s="188" t="n">
        <f aca="false">'LICENCE PRO. 2è-3è-4è ANNEE'!C600</f>
        <v>23324000</v>
      </c>
      <c r="D36" s="188" t="n">
        <f aca="false">'LICENCE PRO. 2è-3è-4è ANNEE'!D600</f>
        <v>21272500</v>
      </c>
      <c r="E36" s="188" t="n">
        <f aca="false">C36-D36</f>
        <v>2051500</v>
      </c>
      <c r="F36" s="198"/>
    </row>
    <row r="37" customFormat="false" ht="8.25" hidden="false" customHeight="true" outlineLevel="0" collapsed="false">
      <c r="A37" s="200"/>
      <c r="B37" s="201"/>
      <c r="C37" s="181"/>
      <c r="D37" s="181"/>
      <c r="E37" s="181"/>
      <c r="F37" s="202"/>
    </row>
    <row r="38" customFormat="false" ht="15.75" hidden="false" customHeight="true" outlineLevel="0" collapsed="false">
      <c r="A38" s="196" t="s">
        <v>604</v>
      </c>
      <c r="B38" s="199" t="n">
        <v>9</v>
      </c>
      <c r="C38" s="188" t="n">
        <f aca="false">'LICENCE PRO. 1ère ANNEE'!C154</f>
        <v>3748500</v>
      </c>
      <c r="D38" s="188" t="n">
        <f aca="false">'LICENCE PRO. 1ère ANNEE'!D154</f>
        <v>2503500</v>
      </c>
      <c r="E38" s="188" t="n">
        <f aca="false">C38-D38</f>
        <v>1245000</v>
      </c>
      <c r="F38" s="198"/>
      <c r="H38" s="105"/>
    </row>
    <row r="39" customFormat="false" ht="9.75" hidden="false" customHeight="true" outlineLevel="0" collapsed="false">
      <c r="A39" s="200"/>
      <c r="B39" s="201"/>
      <c r="C39" s="181"/>
      <c r="D39" s="181"/>
      <c r="E39" s="181"/>
      <c r="F39" s="202"/>
    </row>
    <row r="40" customFormat="false" ht="15.75" hidden="false" customHeight="true" outlineLevel="0" collapsed="false">
      <c r="A40" s="196" t="s">
        <v>605</v>
      </c>
      <c r="B40" s="199" t="n">
        <v>11</v>
      </c>
      <c r="C40" s="188" t="n">
        <f aca="false">'LICENCE PRO. 1ère ANNEE'!C178</f>
        <v>4998000</v>
      </c>
      <c r="D40" s="188" t="n">
        <f aca="false">'LICENCE PRO. 1ère ANNEE'!D178</f>
        <v>4697500</v>
      </c>
      <c r="E40" s="188" t="n">
        <f aca="false">C40-D40</f>
        <v>300500</v>
      </c>
      <c r="F40" s="198"/>
      <c r="H40" s="105"/>
    </row>
    <row r="41" customFormat="false" ht="7.5" hidden="false" customHeight="true" outlineLevel="0" collapsed="false">
      <c r="A41" s="200"/>
      <c r="B41" s="201"/>
      <c r="C41" s="181"/>
      <c r="D41" s="181"/>
      <c r="E41" s="181"/>
      <c r="F41" s="202"/>
    </row>
    <row r="42" customFormat="false" ht="15" hidden="false" customHeight="false" outlineLevel="0" collapsed="false">
      <c r="A42" s="203" t="s">
        <v>606</v>
      </c>
      <c r="B42" s="204" t="n">
        <v>14</v>
      </c>
      <c r="C42" s="171" t="n">
        <f aca="false">'LICENCE PRO. 1ère ANNEE'!C133</f>
        <v>5831000</v>
      </c>
      <c r="D42" s="171" t="n">
        <f aca="false">'LICENCE PRO. 1ère ANNEE'!D133</f>
        <v>5831200</v>
      </c>
      <c r="E42" s="171" t="n">
        <f aca="false">C42-D42</f>
        <v>-200</v>
      </c>
      <c r="F42" s="178"/>
      <c r="J42" s="105"/>
    </row>
    <row r="43" customFormat="false" ht="15" hidden="false" customHeight="false" outlineLevel="0" collapsed="false">
      <c r="A43" s="203" t="s">
        <v>607</v>
      </c>
      <c r="B43" s="204" t="n">
        <v>14</v>
      </c>
      <c r="C43" s="171" t="e">
        <f aca="false">#REF!</f>
        <v>#REF!</v>
      </c>
      <c r="D43" s="171" t="n">
        <f aca="false">'LICENCE PRO. 2è-3è-4è ANNEE'!C417</f>
        <v>0</v>
      </c>
      <c r="E43" s="171" t="e">
        <f aca="false">C43-D43</f>
        <v>#REF!</v>
      </c>
      <c r="F43" s="178"/>
    </row>
    <row r="44" customFormat="false" ht="15" hidden="false" customHeight="false" outlineLevel="0" collapsed="false">
      <c r="A44" s="203" t="s">
        <v>608</v>
      </c>
      <c r="B44" s="204" t="n">
        <v>35</v>
      </c>
      <c r="C44" s="171" t="e">
        <f aca="false">#REF!</f>
        <v>#REF!</v>
      </c>
      <c r="D44" s="171" t="n">
        <f aca="false">'LICENCE PRO. 2è-3è-4è ANNEE'!C463</f>
        <v>0</v>
      </c>
      <c r="E44" s="171" t="e">
        <f aca="false">C44-D44</f>
        <v>#REF!</v>
      </c>
      <c r="F44" s="178"/>
    </row>
    <row r="45" customFormat="false" ht="15" hidden="false" customHeight="false" outlineLevel="0" collapsed="false">
      <c r="A45" s="203" t="s">
        <v>609</v>
      </c>
      <c r="B45" s="204" t="n">
        <v>59</v>
      </c>
      <c r="C45" s="171" t="e">
        <f aca="false">#REF!</f>
        <v>#REF!</v>
      </c>
      <c r="D45" s="171" t="n">
        <f aca="false">'LICENCE PRO. 2è-3è-4è ANNEE'!C532</f>
        <v>0</v>
      </c>
      <c r="E45" s="171" t="e">
        <f aca="false">C45-D45</f>
        <v>#REF!</v>
      </c>
      <c r="F45" s="178"/>
    </row>
    <row r="46" customFormat="false" ht="12" hidden="false" customHeight="true" outlineLevel="0" collapsed="false">
      <c r="A46" s="200"/>
      <c r="B46" s="201"/>
      <c r="C46" s="181"/>
      <c r="D46" s="181"/>
      <c r="E46" s="181"/>
      <c r="F46" s="202"/>
    </row>
    <row r="47" customFormat="false" ht="15" hidden="false" customHeight="false" outlineLevel="0" collapsed="false">
      <c r="A47" s="196" t="s">
        <v>610</v>
      </c>
      <c r="B47" s="199" t="n">
        <v>19</v>
      </c>
      <c r="C47" s="188" t="n">
        <f aca="false">'LICENCE PRO. 1ère ANNEE'!C232</f>
        <v>6247500</v>
      </c>
      <c r="D47" s="188" t="n">
        <f aca="false">'LICENCE PRO. 1ère ANNEE'!D232</f>
        <v>4164000</v>
      </c>
      <c r="E47" s="188" t="n">
        <f aca="false">C47-D47</f>
        <v>2083500</v>
      </c>
      <c r="F47" s="198"/>
    </row>
    <row r="48" customFormat="false" ht="15" hidden="false" customHeight="false" outlineLevel="0" collapsed="false">
      <c r="A48" s="196" t="s">
        <v>611</v>
      </c>
      <c r="B48" s="199" t="n">
        <v>10</v>
      </c>
      <c r="C48" s="188" t="n">
        <f aca="false">'LICENCE PRO. 2è-3è-4è ANNEE'!C642</f>
        <v>4998000</v>
      </c>
      <c r="D48" s="188" t="n">
        <f aca="false">'LICENCE PRO. 2è-3è-4è ANNEE'!D642</f>
        <v>2166000</v>
      </c>
      <c r="E48" s="188" t="n">
        <f aca="false">C48-D48</f>
        <v>2832000</v>
      </c>
      <c r="F48" s="198"/>
    </row>
    <row r="49" customFormat="false" ht="17.25" hidden="false" customHeight="true" outlineLevel="0" collapsed="false">
      <c r="A49" s="196" t="s">
        <v>612</v>
      </c>
      <c r="B49" s="199" t="n">
        <v>10</v>
      </c>
      <c r="C49" s="188" t="n">
        <f aca="false">Feuille11!C451</f>
        <v>4165000</v>
      </c>
      <c r="D49" s="188" t="n">
        <f aca="false">Feuille11!D451</f>
        <v>600000</v>
      </c>
      <c r="E49" s="188" t="n">
        <f aca="false">C49-D49</f>
        <v>3565000</v>
      </c>
      <c r="F49" s="198"/>
    </row>
    <row r="50" customFormat="false" ht="18.75" hidden="false" customHeight="true" outlineLevel="0" collapsed="false">
      <c r="A50" s="205"/>
      <c r="B50" s="206"/>
      <c r="C50" s="207"/>
      <c r="D50" s="207"/>
      <c r="E50" s="207"/>
      <c r="F50" s="208"/>
    </row>
    <row r="51" customFormat="false" ht="18.75" hidden="false" customHeight="true" outlineLevel="0" collapsed="false">
      <c r="A51" s="209" t="s">
        <v>613</v>
      </c>
      <c r="B51" s="210" t="n">
        <v>495</v>
      </c>
      <c r="C51" s="210" t="n">
        <v>242818000</v>
      </c>
      <c r="D51" s="211" t="n">
        <f aca="false">D9+D10+D11+D12+D14+D15+D16+D17+D19+D20+D21+D22+D25+D26+D28+D29+D30+D31+D33+D35+D36+D38+D40+D42+D43+D44+D45+D47+D48+D49</f>
        <v>97264700</v>
      </c>
      <c r="E51" s="210" t="n">
        <f aca="false">C51-D51</f>
        <v>145553300</v>
      </c>
      <c r="F51" s="212" t="n">
        <f aca="false">D51/C51</f>
        <v>0.400566267739624</v>
      </c>
    </row>
    <row r="52" customFormat="false" ht="15.75" hidden="false" customHeight="false" outlineLevel="0" collapsed="false">
      <c r="A52" s="213"/>
      <c r="B52" s="213"/>
      <c r="C52" s="214"/>
      <c r="D52" s="214"/>
      <c r="E52" s="214"/>
      <c r="F52" s="215"/>
    </row>
    <row r="53" customFormat="false" ht="15" hidden="false" customHeight="false" outlineLevel="0" collapsed="false">
      <c r="E53" s="105"/>
    </row>
    <row r="61" customFormat="false" ht="15" hidden="false" customHeight="false" outlineLevel="0" collapsed="false">
      <c r="G61" s="105"/>
      <c r="I61" s="105"/>
    </row>
  </sheetData>
  <mergeCells count="2">
    <mergeCell ref="B5:D5"/>
    <mergeCell ref="A24:F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301"/>
  <sheetViews>
    <sheetView showFormulas="false" showGridLines="true" showRowColHeaders="true" showZeros="true" rightToLeft="false" tabSelected="false" showOutlineSymbols="true" defaultGridColor="true" view="normal" topLeftCell="A103" colorId="64" zoomScale="123" zoomScaleNormal="123" zoomScalePageLayoutView="100" workbookViewId="0">
      <selection pane="topLeft" activeCell="J288" activeCellId="0" sqref="J288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30.85"/>
    <col collapsed="false" customWidth="true" hidden="false" outlineLevel="0" max="3" min="3" style="1" width="26.43"/>
    <col collapsed="false" customWidth="true" hidden="false" outlineLevel="0" max="4" min="4" style="1" width="12.71"/>
    <col collapsed="false" customWidth="true" hidden="false" outlineLevel="0" max="5" min="5" style="1" width="11.14"/>
    <col collapsed="false" customWidth="true" hidden="false" outlineLevel="0" max="6" min="6" style="1" width="13.71"/>
  </cols>
  <sheetData>
    <row r="3" customFormat="false" ht="15" hidden="false" customHeight="false" outlineLevel="0" collapsed="false">
      <c r="D3" s="2"/>
      <c r="E3" s="2"/>
    </row>
    <row r="5" customFormat="false" ht="26.8" hidden="false" customHeight="false" outlineLevel="0" collapsed="false">
      <c r="A5" s="216"/>
      <c r="B5" s="217" t="s">
        <v>614</v>
      </c>
      <c r="C5" s="218"/>
      <c r="D5" s="216"/>
      <c r="E5" s="216"/>
    </row>
    <row r="7" customFormat="false" ht="17.35" hidden="false" customHeight="false" outlineLevel="0" collapsed="false">
      <c r="A7" s="216"/>
      <c r="B7" s="219" t="s">
        <v>615</v>
      </c>
      <c r="C7" s="216"/>
      <c r="D7" s="216"/>
      <c r="E7" s="216"/>
    </row>
    <row r="8" customFormat="false" ht="17.35" hidden="false" customHeight="false" outlineLevel="0" collapsed="false">
      <c r="A8" s="216"/>
      <c r="B8" s="219"/>
      <c r="C8" s="219"/>
      <c r="D8" s="216"/>
      <c r="E8" s="216"/>
    </row>
    <row r="9" customFormat="false" ht="15" hidden="false" customHeight="false" outlineLevel="0" collapsed="false">
      <c r="A9" s="216"/>
      <c r="B9" s="216"/>
      <c r="C9" s="216"/>
      <c r="D9" s="216"/>
      <c r="E9" s="216"/>
    </row>
    <row r="10" customFormat="false" ht="37.3" hidden="false" customHeight="false" outlineLevel="0" collapsed="false">
      <c r="A10" s="220" t="s">
        <v>616</v>
      </c>
      <c r="B10" s="221" t="s">
        <v>617</v>
      </c>
      <c r="C10" s="220" t="s">
        <v>618</v>
      </c>
      <c r="D10" s="221" t="s">
        <v>619</v>
      </c>
      <c r="E10" s="222" t="s">
        <v>620</v>
      </c>
      <c r="F10" s="223" t="s">
        <v>621</v>
      </c>
    </row>
    <row r="11" customFormat="false" ht="15" hidden="false" customHeight="false" outlineLevel="0" collapsed="false">
      <c r="A11" s="224"/>
      <c r="B11" s="225" t="s">
        <v>622</v>
      </c>
      <c r="C11" s="226"/>
      <c r="D11" s="227" t="n">
        <v>326502590</v>
      </c>
      <c r="E11" s="228"/>
      <c r="F11" s="132" t="n">
        <f aca="false">D11</f>
        <v>326502590</v>
      </c>
    </row>
    <row r="12" customFormat="false" ht="35.05" hidden="false" customHeight="false" outlineLevel="0" collapsed="false">
      <c r="A12" s="229" t="n">
        <v>42743</v>
      </c>
      <c r="B12" s="230" t="s">
        <v>623</v>
      </c>
      <c r="C12" s="231" t="s">
        <v>624</v>
      </c>
      <c r="D12" s="232"/>
      <c r="E12" s="233" t="n">
        <v>910000</v>
      </c>
      <c r="F12" s="132" t="n">
        <f aca="false">F11-E12</f>
        <v>325592590</v>
      </c>
    </row>
    <row r="13" customFormat="false" ht="23.85" hidden="false" customHeight="false" outlineLevel="0" collapsed="false">
      <c r="A13" s="229" t="n">
        <v>42743</v>
      </c>
      <c r="B13" s="234" t="s">
        <v>625</v>
      </c>
      <c r="C13" s="231" t="s">
        <v>624</v>
      </c>
      <c r="D13" s="232"/>
      <c r="E13" s="233" t="n">
        <v>405000</v>
      </c>
      <c r="F13" s="132" t="n">
        <f aca="false">F12-E13</f>
        <v>325187590</v>
      </c>
    </row>
    <row r="14" customFormat="false" ht="57.45" hidden="false" customHeight="false" outlineLevel="0" collapsed="false">
      <c r="A14" s="229" t="n">
        <v>43108</v>
      </c>
      <c r="B14" s="235" t="s">
        <v>626</v>
      </c>
      <c r="C14" s="231" t="s">
        <v>627</v>
      </c>
      <c r="D14" s="232"/>
      <c r="E14" s="233" t="n">
        <v>120000</v>
      </c>
      <c r="F14" s="132" t="n">
        <f aca="false">F13-E14</f>
        <v>325067590</v>
      </c>
    </row>
    <row r="15" customFormat="false" ht="35.05" hidden="false" customHeight="false" outlineLevel="0" collapsed="false">
      <c r="A15" s="229" t="n">
        <v>43108</v>
      </c>
      <c r="B15" s="230" t="s">
        <v>628</v>
      </c>
      <c r="C15" s="231" t="s">
        <v>624</v>
      </c>
      <c r="D15" s="232"/>
      <c r="E15" s="233" t="n">
        <v>1340000</v>
      </c>
      <c r="F15" s="132" t="n">
        <f aca="false">F14-E15</f>
        <v>323727590</v>
      </c>
    </row>
    <row r="16" customFormat="false" ht="35.05" hidden="false" customHeight="false" outlineLevel="0" collapsed="false">
      <c r="A16" s="229" t="n">
        <v>43108</v>
      </c>
      <c r="B16" s="230" t="s">
        <v>629</v>
      </c>
      <c r="C16" s="231" t="s">
        <v>624</v>
      </c>
      <c r="D16" s="232"/>
      <c r="E16" s="233" t="n">
        <v>5495980</v>
      </c>
      <c r="F16" s="132" t="n">
        <f aca="false">F15-E16</f>
        <v>318231610</v>
      </c>
    </row>
    <row r="17" customFormat="false" ht="15" hidden="false" customHeight="false" outlineLevel="0" collapsed="false">
      <c r="A17" s="229" t="n">
        <v>43115</v>
      </c>
      <c r="B17" s="236" t="s">
        <v>630</v>
      </c>
      <c r="C17" s="231" t="s">
        <v>631</v>
      </c>
      <c r="D17" s="232"/>
      <c r="E17" s="233" t="n">
        <v>108600</v>
      </c>
      <c r="F17" s="132" t="n">
        <f aca="false">F16-E17</f>
        <v>318123010</v>
      </c>
    </row>
    <row r="18" customFormat="false" ht="15" hidden="false" customHeight="false" outlineLevel="0" collapsed="false">
      <c r="A18" s="229" t="n">
        <v>43117</v>
      </c>
      <c r="B18" s="236" t="s">
        <v>632</v>
      </c>
      <c r="C18" s="231" t="s">
        <v>624</v>
      </c>
      <c r="D18" s="232"/>
      <c r="E18" s="233" t="n">
        <v>674332</v>
      </c>
      <c r="F18" s="132" t="n">
        <f aca="false">F17-E18</f>
        <v>317448678</v>
      </c>
    </row>
    <row r="19" customFormat="false" ht="57.45" hidden="false" customHeight="false" outlineLevel="0" collapsed="false">
      <c r="A19" s="229" t="n">
        <v>43117</v>
      </c>
      <c r="B19" s="237" t="s">
        <v>633</v>
      </c>
      <c r="C19" s="231" t="s">
        <v>624</v>
      </c>
      <c r="D19" s="232"/>
      <c r="E19" s="233" t="n">
        <v>12815154</v>
      </c>
      <c r="F19" s="132" t="n">
        <f aca="false">F18-E19</f>
        <v>304633524</v>
      </c>
    </row>
    <row r="20" customFormat="false" ht="46.25" hidden="false" customHeight="false" outlineLevel="0" collapsed="false">
      <c r="A20" s="229" t="n">
        <v>43118</v>
      </c>
      <c r="B20" s="237" t="s">
        <v>634</v>
      </c>
      <c r="C20" s="231" t="s">
        <v>635</v>
      </c>
      <c r="D20" s="232"/>
      <c r="E20" s="233" t="n">
        <v>150000</v>
      </c>
      <c r="F20" s="132" t="n">
        <f aca="false">F19-E20</f>
        <v>304483524</v>
      </c>
    </row>
    <row r="21" customFormat="false" ht="15" hidden="false" customHeight="false" outlineLevel="0" collapsed="false">
      <c r="A21" s="229" t="n">
        <v>43118</v>
      </c>
      <c r="B21" s="238" t="s">
        <v>636</v>
      </c>
      <c r="C21" s="231" t="s">
        <v>637</v>
      </c>
      <c r="D21" s="232"/>
      <c r="E21" s="233" t="n">
        <v>3937500</v>
      </c>
      <c r="F21" s="132" t="n">
        <f aca="false">F20-E21</f>
        <v>300546024</v>
      </c>
    </row>
    <row r="22" customFormat="false" ht="35.05" hidden="false" customHeight="false" outlineLevel="0" collapsed="false">
      <c r="A22" s="229" t="n">
        <v>43118</v>
      </c>
      <c r="B22" s="237" t="s">
        <v>638</v>
      </c>
      <c r="C22" s="231" t="s">
        <v>639</v>
      </c>
      <c r="D22" s="232"/>
      <c r="E22" s="233" t="n">
        <v>600000</v>
      </c>
      <c r="F22" s="132" t="n">
        <f aca="false">F21-E22</f>
        <v>299946024</v>
      </c>
    </row>
    <row r="23" customFormat="false" ht="15" hidden="false" customHeight="false" outlineLevel="0" collapsed="false">
      <c r="A23" s="229" t="n">
        <v>43125</v>
      </c>
      <c r="B23" s="236" t="s">
        <v>640</v>
      </c>
      <c r="C23" s="231" t="s">
        <v>624</v>
      </c>
      <c r="D23" s="232"/>
      <c r="E23" s="233" t="n">
        <v>1040000</v>
      </c>
      <c r="F23" s="132" t="n">
        <f aca="false">F22-E23</f>
        <v>298906024</v>
      </c>
    </row>
    <row r="24" customFormat="false" ht="15" hidden="false" customHeight="false" outlineLevel="0" collapsed="false">
      <c r="A24" s="229" t="n">
        <v>43125</v>
      </c>
      <c r="B24" s="236" t="s">
        <v>641</v>
      </c>
      <c r="C24" s="231" t="s">
        <v>624</v>
      </c>
      <c r="D24" s="232"/>
      <c r="E24" s="233" t="n">
        <v>1771000</v>
      </c>
      <c r="F24" s="132" t="n">
        <f aca="false">F23-E24</f>
        <v>297135024</v>
      </c>
    </row>
    <row r="25" customFormat="false" ht="46.25" hidden="false" customHeight="false" outlineLevel="0" collapsed="false">
      <c r="A25" s="229" t="n">
        <v>43126</v>
      </c>
      <c r="B25" s="237" t="s">
        <v>642</v>
      </c>
      <c r="C25" s="231" t="s">
        <v>643</v>
      </c>
      <c r="D25" s="232"/>
      <c r="E25" s="233" t="n">
        <v>200000</v>
      </c>
      <c r="F25" s="132" t="n">
        <f aca="false">F24-E25</f>
        <v>296935024</v>
      </c>
    </row>
    <row r="26" customFormat="false" ht="46.25" hidden="false" customHeight="false" outlineLevel="0" collapsed="false">
      <c r="A26" s="229" t="n">
        <v>43130</v>
      </c>
      <c r="B26" s="237" t="s">
        <v>644</v>
      </c>
      <c r="C26" s="231" t="s">
        <v>645</v>
      </c>
      <c r="D26" s="232"/>
      <c r="E26" s="233" t="n">
        <v>500000</v>
      </c>
      <c r="F26" s="132" t="n">
        <f aca="false">F25-E26</f>
        <v>296435024</v>
      </c>
    </row>
    <row r="27" customFormat="false" ht="35.05" hidden="false" customHeight="false" outlineLevel="0" collapsed="false">
      <c r="A27" s="229" t="n">
        <v>43130</v>
      </c>
      <c r="B27" s="230" t="s">
        <v>646</v>
      </c>
      <c r="C27" s="231" t="s">
        <v>647</v>
      </c>
      <c r="D27" s="232"/>
      <c r="E27" s="233" t="n">
        <v>5000000</v>
      </c>
      <c r="F27" s="132" t="n">
        <f aca="false">F26-E27</f>
        <v>291435024</v>
      </c>
    </row>
    <row r="28" customFormat="false" ht="46.25" hidden="false" customHeight="false" outlineLevel="0" collapsed="false">
      <c r="A28" s="229" t="n">
        <v>43130</v>
      </c>
      <c r="B28" s="237" t="s">
        <v>648</v>
      </c>
      <c r="C28" s="239" t="s">
        <v>649</v>
      </c>
      <c r="D28" s="232"/>
      <c r="E28" s="233" t="n">
        <v>150000</v>
      </c>
      <c r="F28" s="132" t="n">
        <f aca="false">F27-E28</f>
        <v>291285024</v>
      </c>
    </row>
    <row r="29" customFormat="false" ht="15" hidden="false" customHeight="false" outlineLevel="0" collapsed="false">
      <c r="A29" s="229" t="s">
        <v>650</v>
      </c>
      <c r="B29" s="240" t="s">
        <v>651</v>
      </c>
      <c r="C29" s="241" t="s">
        <v>652</v>
      </c>
      <c r="D29" s="242" t="n">
        <v>1400000</v>
      </c>
      <c r="E29" s="233"/>
      <c r="F29" s="132" t="n">
        <f aca="false">F28+D29</f>
        <v>292685024</v>
      </c>
    </row>
    <row r="30" customFormat="false" ht="15" hidden="false" customHeight="false" outlineLevel="0" collapsed="false">
      <c r="A30" s="229" t="s">
        <v>653</v>
      </c>
      <c r="B30" s="240" t="s">
        <v>654</v>
      </c>
      <c r="C30" s="241" t="s">
        <v>652</v>
      </c>
      <c r="D30" s="242" t="n">
        <v>11474200</v>
      </c>
      <c r="E30" s="233"/>
      <c r="F30" s="132" t="n">
        <f aca="false">F29+D30</f>
        <v>304159224</v>
      </c>
    </row>
    <row r="31" customFormat="false" ht="15" hidden="false" customHeight="false" outlineLevel="0" collapsed="false">
      <c r="A31" s="229" t="n">
        <v>43133</v>
      </c>
      <c r="B31" s="243" t="s">
        <v>655</v>
      </c>
      <c r="C31" s="239" t="s">
        <v>656</v>
      </c>
      <c r="D31" s="232"/>
      <c r="E31" s="233" t="n">
        <v>68055</v>
      </c>
      <c r="F31" s="132" t="n">
        <f aca="false">F30-E31</f>
        <v>304091169</v>
      </c>
    </row>
    <row r="32" customFormat="false" ht="15" hidden="false" customHeight="false" outlineLevel="0" collapsed="false">
      <c r="A32" s="229" t="n">
        <v>43133</v>
      </c>
      <c r="B32" s="243" t="s">
        <v>657</v>
      </c>
      <c r="C32" s="239" t="s">
        <v>658</v>
      </c>
      <c r="D32" s="244"/>
      <c r="E32" s="233" t="n">
        <v>5500</v>
      </c>
      <c r="F32" s="132" t="n">
        <f aca="false">F31-E32</f>
        <v>304085669</v>
      </c>
    </row>
    <row r="33" customFormat="false" ht="15" hidden="false" customHeight="false" outlineLevel="0" collapsed="false">
      <c r="A33" s="229" t="n">
        <v>43133</v>
      </c>
      <c r="B33" s="243" t="s">
        <v>659</v>
      </c>
      <c r="C33" s="239" t="s">
        <v>660</v>
      </c>
      <c r="D33" s="245"/>
      <c r="E33" s="233" t="n">
        <v>50220</v>
      </c>
      <c r="F33" s="132" t="n">
        <f aca="false">F32-E33</f>
        <v>304035449</v>
      </c>
    </row>
    <row r="34" customFormat="false" ht="15" hidden="false" customHeight="false" outlineLevel="0" collapsed="false">
      <c r="A34" s="229" t="n">
        <v>43133</v>
      </c>
      <c r="B34" s="243" t="s">
        <v>657</v>
      </c>
      <c r="C34" s="231" t="s">
        <v>658</v>
      </c>
      <c r="D34" s="246"/>
      <c r="E34" s="233" t="n">
        <v>5500</v>
      </c>
      <c r="F34" s="132" t="n">
        <f aca="false">F33-E34</f>
        <v>304029949</v>
      </c>
    </row>
    <row r="35" customFormat="false" ht="15" hidden="false" customHeight="false" outlineLevel="0" collapsed="false">
      <c r="A35" s="229" t="n">
        <v>43133</v>
      </c>
      <c r="B35" s="247" t="s">
        <v>661</v>
      </c>
      <c r="C35" s="231" t="s">
        <v>624</v>
      </c>
      <c r="D35" s="246"/>
      <c r="E35" s="233" t="n">
        <v>405000</v>
      </c>
      <c r="F35" s="132" t="n">
        <f aca="false">F34-E35</f>
        <v>303624949</v>
      </c>
    </row>
    <row r="36" customFormat="false" ht="35.05" hidden="false" customHeight="false" outlineLevel="0" collapsed="false">
      <c r="A36" s="248" t="n">
        <v>43139</v>
      </c>
      <c r="B36" s="230" t="s">
        <v>662</v>
      </c>
      <c r="C36" s="231" t="s">
        <v>663</v>
      </c>
      <c r="D36" s="246"/>
      <c r="E36" s="233" t="n">
        <v>500000</v>
      </c>
      <c r="F36" s="132" t="n">
        <f aca="false">F35-E36</f>
        <v>303124949</v>
      </c>
    </row>
    <row r="37" customFormat="false" ht="46.25" hidden="false" customHeight="false" outlineLevel="0" collapsed="false">
      <c r="A37" s="248" t="n">
        <v>43144</v>
      </c>
      <c r="B37" s="230" t="s">
        <v>664</v>
      </c>
      <c r="C37" s="231" t="n">
        <v>842954</v>
      </c>
      <c r="D37" s="246"/>
      <c r="E37" s="233" t="n">
        <v>1566747</v>
      </c>
      <c r="F37" s="132" t="n">
        <f aca="false">F36-E37</f>
        <v>301558202</v>
      </c>
    </row>
    <row r="38" customFormat="false" ht="46.25" hidden="false" customHeight="false" outlineLevel="0" collapsed="false">
      <c r="A38" s="248" t="n">
        <v>43144</v>
      </c>
      <c r="B38" s="237" t="s">
        <v>665</v>
      </c>
      <c r="C38" s="231" t="n">
        <v>842955</v>
      </c>
      <c r="D38" s="246"/>
      <c r="E38" s="233" t="n">
        <v>2796920</v>
      </c>
      <c r="F38" s="132" t="n">
        <f aca="false">F37-E38</f>
        <v>298761282</v>
      </c>
    </row>
    <row r="39" customFormat="false" ht="46.25" hidden="false" customHeight="false" outlineLevel="0" collapsed="false">
      <c r="A39" s="248" t="n">
        <v>43144</v>
      </c>
      <c r="B39" s="249" t="s">
        <v>666</v>
      </c>
      <c r="C39" s="231" t="s">
        <v>624</v>
      </c>
      <c r="D39" s="246"/>
      <c r="E39" s="233" t="n">
        <v>2688000</v>
      </c>
      <c r="F39" s="132" t="n">
        <f aca="false">F38-E39</f>
        <v>296073282</v>
      </c>
    </row>
    <row r="40" customFormat="false" ht="35.05" hidden="false" customHeight="false" outlineLevel="0" collapsed="false">
      <c r="A40" s="248" t="n">
        <v>43147</v>
      </c>
      <c r="B40" s="237" t="s">
        <v>667</v>
      </c>
      <c r="C40" s="231" t="s">
        <v>624</v>
      </c>
      <c r="D40" s="245"/>
      <c r="E40" s="233" t="n">
        <v>855000</v>
      </c>
      <c r="F40" s="132" t="n">
        <f aca="false">F39-E40</f>
        <v>295218282</v>
      </c>
    </row>
    <row r="41" customFormat="false" ht="35.05" hidden="false" customHeight="false" outlineLevel="0" collapsed="false">
      <c r="A41" s="248" t="n">
        <v>43147</v>
      </c>
      <c r="B41" s="230" t="s">
        <v>668</v>
      </c>
      <c r="C41" s="231" t="s">
        <v>624</v>
      </c>
      <c r="D41" s="232"/>
      <c r="E41" s="233" t="n">
        <v>660000</v>
      </c>
      <c r="F41" s="132" t="n">
        <f aca="false">F40-E41</f>
        <v>294558282</v>
      </c>
    </row>
    <row r="42" customFormat="false" ht="46.25" hidden="false" customHeight="false" outlineLevel="0" collapsed="false">
      <c r="A42" s="248" t="n">
        <v>43147</v>
      </c>
      <c r="B42" s="230" t="s">
        <v>669</v>
      </c>
      <c r="C42" s="231" t="s">
        <v>624</v>
      </c>
      <c r="D42" s="232"/>
      <c r="E42" s="233" t="n">
        <v>660000</v>
      </c>
      <c r="F42" s="132" t="n">
        <f aca="false">F41-E42</f>
        <v>293898282</v>
      </c>
    </row>
    <row r="43" customFormat="false" ht="35.05" hidden="false" customHeight="false" outlineLevel="0" collapsed="false">
      <c r="A43" s="248" t="n">
        <v>43147</v>
      </c>
      <c r="B43" s="230" t="s">
        <v>670</v>
      </c>
      <c r="C43" s="231" t="s">
        <v>624</v>
      </c>
      <c r="D43" s="232"/>
      <c r="E43" s="233" t="n">
        <v>740000</v>
      </c>
      <c r="F43" s="132" t="n">
        <f aca="false">F42-E43</f>
        <v>293158282</v>
      </c>
    </row>
    <row r="44" customFormat="false" ht="35.05" hidden="false" customHeight="false" outlineLevel="0" collapsed="false">
      <c r="A44" s="248" t="n">
        <v>43147</v>
      </c>
      <c r="B44" s="237" t="s">
        <v>671</v>
      </c>
      <c r="C44" s="231" t="s">
        <v>624</v>
      </c>
      <c r="D44" s="232"/>
      <c r="E44" s="233" t="n">
        <v>1280000</v>
      </c>
      <c r="F44" s="132" t="n">
        <f aca="false">F43-E44</f>
        <v>291878282</v>
      </c>
    </row>
    <row r="45" customFormat="false" ht="35.05" hidden="false" customHeight="false" outlineLevel="0" collapsed="false">
      <c r="A45" s="248" t="n">
        <v>43147</v>
      </c>
      <c r="B45" s="237" t="s">
        <v>672</v>
      </c>
      <c r="C45" s="231" t="s">
        <v>624</v>
      </c>
      <c r="D45" s="232"/>
      <c r="E45" s="233" t="n">
        <v>1280000</v>
      </c>
      <c r="F45" s="132" t="n">
        <f aca="false">F44-E45</f>
        <v>290598282</v>
      </c>
    </row>
    <row r="46" customFormat="false" ht="35.05" hidden="false" customHeight="false" outlineLevel="0" collapsed="false">
      <c r="A46" s="248" t="n">
        <v>43150</v>
      </c>
      <c r="B46" s="230" t="s">
        <v>673</v>
      </c>
      <c r="C46" s="231" t="s">
        <v>674</v>
      </c>
      <c r="D46" s="232"/>
      <c r="E46" s="233" t="n">
        <v>608000</v>
      </c>
      <c r="F46" s="132" t="n">
        <f aca="false">F45-E46</f>
        <v>289990282</v>
      </c>
    </row>
    <row r="47" customFormat="false" ht="15" hidden="false" customHeight="false" outlineLevel="0" collapsed="false">
      <c r="A47" s="248" t="n">
        <v>43151</v>
      </c>
      <c r="B47" s="238" t="s">
        <v>675</v>
      </c>
      <c r="C47" s="231" t="s">
        <v>676</v>
      </c>
      <c r="D47" s="232"/>
      <c r="E47" s="233" t="n">
        <v>200000</v>
      </c>
      <c r="F47" s="132" t="n">
        <f aca="false">F46-E47</f>
        <v>289790282</v>
      </c>
    </row>
    <row r="48" customFormat="false" ht="15" hidden="false" customHeight="false" outlineLevel="0" collapsed="false">
      <c r="A48" s="248" t="n">
        <v>43154</v>
      </c>
      <c r="B48" s="236" t="s">
        <v>677</v>
      </c>
      <c r="C48" s="231" t="s">
        <v>624</v>
      </c>
      <c r="D48" s="232"/>
      <c r="E48" s="233" t="n">
        <v>674332</v>
      </c>
      <c r="F48" s="132" t="n">
        <f aca="false">F47-E48</f>
        <v>289115950</v>
      </c>
    </row>
    <row r="49" customFormat="false" ht="35.05" hidden="false" customHeight="false" outlineLevel="0" collapsed="false">
      <c r="A49" s="248" t="n">
        <v>43154</v>
      </c>
      <c r="B49" s="230" t="s">
        <v>678</v>
      </c>
      <c r="C49" s="231" t="s">
        <v>624</v>
      </c>
      <c r="D49" s="232"/>
      <c r="E49" s="233" t="n">
        <v>850000</v>
      </c>
      <c r="F49" s="132" t="n">
        <f aca="false">F48-E49</f>
        <v>288265950</v>
      </c>
      <c r="G49" s="1" t="s">
        <v>679</v>
      </c>
    </row>
    <row r="50" customFormat="false" ht="35.05" hidden="false" customHeight="false" outlineLevel="0" collapsed="false">
      <c r="A50" s="248" t="n">
        <v>43154</v>
      </c>
      <c r="B50" s="237" t="s">
        <v>680</v>
      </c>
      <c r="C50" s="231" t="s">
        <v>624</v>
      </c>
      <c r="D50" s="232"/>
      <c r="E50" s="233" t="n">
        <v>330000</v>
      </c>
      <c r="F50" s="132" t="n">
        <f aca="false">F49-E50</f>
        <v>287935950</v>
      </c>
    </row>
    <row r="51" customFormat="false" ht="46.25" hidden="false" customHeight="false" outlineLevel="0" collapsed="false">
      <c r="A51" s="248" t="n">
        <v>43155</v>
      </c>
      <c r="B51" s="237" t="s">
        <v>681</v>
      </c>
      <c r="C51" s="231" t="s">
        <v>624</v>
      </c>
      <c r="D51" s="232"/>
      <c r="E51" s="233" t="n">
        <v>2480000</v>
      </c>
      <c r="F51" s="132" t="n">
        <f aca="false">F50-E51</f>
        <v>285455950</v>
      </c>
    </row>
    <row r="52" customFormat="false" ht="46.25" hidden="false" customHeight="false" outlineLevel="0" collapsed="false">
      <c r="A52" s="248" t="n">
        <v>43155</v>
      </c>
      <c r="B52" s="237" t="s">
        <v>682</v>
      </c>
      <c r="C52" s="231" t="s">
        <v>624</v>
      </c>
      <c r="D52" s="232"/>
      <c r="E52" s="233" t="n">
        <v>1824000</v>
      </c>
      <c r="F52" s="132" t="n">
        <f aca="false">F51-E52</f>
        <v>283631950</v>
      </c>
    </row>
    <row r="53" customFormat="false" ht="46.25" hidden="false" customHeight="false" outlineLevel="0" collapsed="false">
      <c r="A53" s="248" t="n">
        <v>43157</v>
      </c>
      <c r="B53" s="249" t="s">
        <v>683</v>
      </c>
      <c r="C53" s="231" t="s">
        <v>624</v>
      </c>
      <c r="D53" s="232"/>
      <c r="E53" s="233" t="n">
        <v>560000</v>
      </c>
      <c r="F53" s="132" t="n">
        <f aca="false">F52-E53</f>
        <v>283071950</v>
      </c>
    </row>
    <row r="54" customFormat="false" ht="35.05" hidden="false" customHeight="false" outlineLevel="0" collapsed="false">
      <c r="A54" s="248" t="n">
        <v>43158</v>
      </c>
      <c r="B54" s="237" t="s">
        <v>684</v>
      </c>
      <c r="C54" s="239" t="s">
        <v>685</v>
      </c>
      <c r="D54" s="232"/>
      <c r="E54" s="233" t="n">
        <v>68250</v>
      </c>
      <c r="F54" s="132" t="n">
        <f aca="false">F53-E54</f>
        <v>283003700</v>
      </c>
    </row>
    <row r="55" customFormat="false" ht="35.05" hidden="false" customHeight="false" outlineLevel="0" collapsed="false">
      <c r="A55" s="248" t="n">
        <v>43158</v>
      </c>
      <c r="B55" s="237" t="s">
        <v>686</v>
      </c>
      <c r="C55" s="239" t="s">
        <v>687</v>
      </c>
      <c r="D55" s="232"/>
      <c r="E55" s="233" t="n">
        <v>99650</v>
      </c>
      <c r="F55" s="132" t="n">
        <f aca="false">F54-E55</f>
        <v>282904050</v>
      </c>
    </row>
    <row r="56" customFormat="false" ht="35.05" hidden="false" customHeight="false" outlineLevel="0" collapsed="false">
      <c r="A56" s="248" t="n">
        <v>43159</v>
      </c>
      <c r="B56" s="237" t="s">
        <v>688</v>
      </c>
      <c r="C56" s="231" t="s">
        <v>624</v>
      </c>
      <c r="D56" s="232"/>
      <c r="E56" s="233" t="n">
        <v>964000</v>
      </c>
      <c r="F56" s="132" t="n">
        <f aca="false">F55-E56</f>
        <v>281940050</v>
      </c>
    </row>
    <row r="57" customFormat="false" ht="46.25" hidden="false" customHeight="false" outlineLevel="0" collapsed="false">
      <c r="A57" s="248" t="s">
        <v>689</v>
      </c>
      <c r="B57" s="237" t="s">
        <v>690</v>
      </c>
      <c r="C57" s="239" t="s">
        <v>691</v>
      </c>
      <c r="D57" s="232"/>
      <c r="E57" s="233" t="n">
        <v>797500</v>
      </c>
      <c r="F57" s="132" t="n">
        <f aca="false">F56-E57</f>
        <v>281142550</v>
      </c>
    </row>
    <row r="58" customFormat="false" ht="46.25" hidden="false" customHeight="false" outlineLevel="0" collapsed="false">
      <c r="A58" s="248" t="n">
        <v>43159</v>
      </c>
      <c r="B58" s="237" t="s">
        <v>692</v>
      </c>
      <c r="C58" s="239" t="s">
        <v>693</v>
      </c>
      <c r="D58" s="232"/>
      <c r="E58" s="233" t="n">
        <v>70112</v>
      </c>
      <c r="F58" s="132" t="n">
        <f aca="false">F57-E58</f>
        <v>281072438</v>
      </c>
    </row>
    <row r="59" customFormat="false" ht="15" hidden="false" customHeight="false" outlineLevel="0" collapsed="false">
      <c r="A59" s="248" t="n">
        <v>43159</v>
      </c>
      <c r="B59" s="240" t="s">
        <v>651</v>
      </c>
      <c r="C59" s="241" t="s">
        <v>652</v>
      </c>
      <c r="D59" s="242" t="n">
        <v>1870000</v>
      </c>
      <c r="E59" s="233"/>
      <c r="F59" s="132" t="n">
        <f aca="false">F58+D59</f>
        <v>282942438</v>
      </c>
    </row>
    <row r="60" customFormat="false" ht="15" hidden="false" customHeight="false" outlineLevel="0" collapsed="false">
      <c r="A60" s="248" t="n">
        <v>43159</v>
      </c>
      <c r="B60" s="240" t="s">
        <v>694</v>
      </c>
      <c r="C60" s="241" t="s">
        <v>652</v>
      </c>
      <c r="D60" s="242" t="n">
        <f aca="false">5080000+15613000</f>
        <v>20693000</v>
      </c>
      <c r="E60" s="233"/>
      <c r="F60" s="132" t="n">
        <f aca="false">F59+D60</f>
        <v>303635438</v>
      </c>
    </row>
    <row r="61" customFormat="false" ht="23.85" hidden="false" customHeight="false" outlineLevel="0" collapsed="false">
      <c r="A61" s="248" t="n">
        <v>43161</v>
      </c>
      <c r="B61" s="234" t="s">
        <v>695</v>
      </c>
      <c r="C61" s="231" t="s">
        <v>624</v>
      </c>
      <c r="D61" s="232"/>
      <c r="E61" s="233" t="n">
        <v>405000</v>
      </c>
      <c r="F61" s="132" t="n">
        <f aca="false">F60-E61</f>
        <v>303230438</v>
      </c>
    </row>
    <row r="62" customFormat="false" ht="15" hidden="false" customHeight="false" outlineLevel="0" collapsed="false">
      <c r="A62" s="248" t="n">
        <v>42796</v>
      </c>
      <c r="B62" s="243" t="s">
        <v>696</v>
      </c>
      <c r="C62" s="239" t="s">
        <v>697</v>
      </c>
      <c r="D62" s="232"/>
      <c r="E62" s="233" t="n">
        <v>72589</v>
      </c>
      <c r="F62" s="132" t="n">
        <f aca="false">F61-E62</f>
        <v>303157849</v>
      </c>
    </row>
    <row r="63" customFormat="false" ht="15" hidden="false" customHeight="false" outlineLevel="0" collapsed="false">
      <c r="A63" s="248" t="n">
        <v>42796</v>
      </c>
      <c r="B63" s="243" t="s">
        <v>657</v>
      </c>
      <c r="C63" s="239" t="s">
        <v>658</v>
      </c>
      <c r="D63" s="232"/>
      <c r="E63" s="233" t="n">
        <v>5500</v>
      </c>
      <c r="F63" s="132" t="n">
        <f aca="false">F62-E63</f>
        <v>303152349</v>
      </c>
    </row>
    <row r="64" customFormat="false" ht="57.45" hidden="false" customHeight="false" outlineLevel="0" collapsed="false">
      <c r="A64" s="248" t="n">
        <v>42796</v>
      </c>
      <c r="B64" s="235" t="s">
        <v>698</v>
      </c>
      <c r="C64" s="239" t="s">
        <v>699</v>
      </c>
      <c r="D64" s="232"/>
      <c r="E64" s="233" t="n">
        <v>240000</v>
      </c>
      <c r="F64" s="132" t="n">
        <f aca="false">F63-E64</f>
        <v>302912349</v>
      </c>
    </row>
    <row r="65" customFormat="false" ht="35.05" hidden="false" customHeight="false" outlineLevel="0" collapsed="false">
      <c r="A65" s="248" t="n">
        <v>42796</v>
      </c>
      <c r="B65" s="230" t="s">
        <v>700</v>
      </c>
      <c r="C65" s="239" t="s">
        <v>701</v>
      </c>
      <c r="D65" s="250"/>
      <c r="E65" s="251" t="n">
        <v>15807088</v>
      </c>
      <c r="F65" s="132" t="n">
        <f aca="false">F64-E65</f>
        <v>287105261</v>
      </c>
    </row>
    <row r="66" customFormat="false" ht="35.05" hidden="false" customHeight="false" outlineLevel="0" collapsed="false">
      <c r="A66" s="248" t="n">
        <v>43161</v>
      </c>
      <c r="B66" s="230" t="s">
        <v>702</v>
      </c>
      <c r="C66" s="231" t="s">
        <v>624</v>
      </c>
      <c r="D66" s="245"/>
      <c r="E66" s="245" t="n">
        <v>112500</v>
      </c>
      <c r="F66" s="132" t="n">
        <f aca="false">F65-E66</f>
        <v>286992761</v>
      </c>
    </row>
    <row r="67" customFormat="false" ht="35.05" hidden="false" customHeight="false" outlineLevel="0" collapsed="false">
      <c r="A67" s="248" t="n">
        <v>43170</v>
      </c>
      <c r="B67" s="249" t="s">
        <v>703</v>
      </c>
      <c r="C67" s="231" t="s">
        <v>624</v>
      </c>
      <c r="D67" s="232"/>
      <c r="E67" s="233" t="n">
        <v>2926000</v>
      </c>
      <c r="F67" s="132" t="n">
        <f aca="false">F66-E67</f>
        <v>284066761</v>
      </c>
    </row>
    <row r="68" customFormat="false" ht="46.25" hidden="false" customHeight="false" outlineLevel="0" collapsed="false">
      <c r="A68" s="248" t="n">
        <v>43170</v>
      </c>
      <c r="B68" s="249" t="s">
        <v>704</v>
      </c>
      <c r="C68" s="231" t="s">
        <v>624</v>
      </c>
      <c r="D68" s="232"/>
      <c r="E68" s="233" t="n">
        <v>280000</v>
      </c>
      <c r="F68" s="132" t="n">
        <f aca="false">F67-E68</f>
        <v>283786761</v>
      </c>
    </row>
    <row r="69" customFormat="false" ht="15" hidden="false" customHeight="false" outlineLevel="0" collapsed="false">
      <c r="A69" s="252" t="n">
        <v>43170</v>
      </c>
      <c r="B69" s="238" t="s">
        <v>705</v>
      </c>
      <c r="C69" s="239" t="s">
        <v>706</v>
      </c>
      <c r="D69" s="232"/>
      <c r="E69" s="253" t="n">
        <v>2535254</v>
      </c>
      <c r="F69" s="132" t="n">
        <f aca="false">F68-E69</f>
        <v>281251507</v>
      </c>
    </row>
    <row r="70" customFormat="false" ht="15" hidden="false" customHeight="false" outlineLevel="0" collapsed="false">
      <c r="A70" s="252" t="n">
        <v>43170</v>
      </c>
      <c r="B70" s="238" t="s">
        <v>707</v>
      </c>
      <c r="C70" s="239" t="s">
        <v>708</v>
      </c>
      <c r="D70" s="245"/>
      <c r="E70" s="251" t="n">
        <v>1794950</v>
      </c>
      <c r="F70" s="132" t="n">
        <f aca="false">F69-E70</f>
        <v>279456557</v>
      </c>
    </row>
    <row r="71" customFormat="false" ht="15" hidden="false" customHeight="false" outlineLevel="0" collapsed="false">
      <c r="A71" s="252" t="n">
        <v>43173</v>
      </c>
      <c r="B71" s="236" t="s">
        <v>632</v>
      </c>
      <c r="C71" s="231" t="s">
        <v>624</v>
      </c>
      <c r="D71" s="232"/>
      <c r="E71" s="245" t="n">
        <v>674332</v>
      </c>
      <c r="F71" s="132" t="n">
        <f aca="false">F70-E71</f>
        <v>278782225</v>
      </c>
    </row>
    <row r="72" customFormat="false" ht="15" hidden="false" customHeight="false" outlineLevel="0" collapsed="false">
      <c r="A72" s="252" t="n">
        <v>43174</v>
      </c>
      <c r="B72" s="243" t="s">
        <v>709</v>
      </c>
      <c r="C72" s="239" t="s">
        <v>710</v>
      </c>
      <c r="D72" s="232"/>
      <c r="E72" s="251" t="n">
        <v>469796</v>
      </c>
      <c r="F72" s="132" t="n">
        <f aca="false">F71-E72</f>
        <v>278312429</v>
      </c>
    </row>
    <row r="73" customFormat="false" ht="15" hidden="false" customHeight="false" outlineLevel="0" collapsed="false">
      <c r="A73" s="252" t="n">
        <v>43174</v>
      </c>
      <c r="B73" s="243" t="s">
        <v>657</v>
      </c>
      <c r="C73" s="231" t="s">
        <v>658</v>
      </c>
      <c r="D73" s="232"/>
      <c r="E73" s="251" t="n">
        <v>5500</v>
      </c>
      <c r="F73" s="132" t="n">
        <f aca="false">F72-E73</f>
        <v>278306929</v>
      </c>
    </row>
    <row r="74" customFormat="false" ht="35.05" hidden="false" customHeight="false" outlineLevel="0" collapsed="false">
      <c r="A74" s="252" t="n">
        <v>43180</v>
      </c>
      <c r="B74" s="230" t="s">
        <v>711</v>
      </c>
      <c r="C74" s="239" t="s">
        <v>624</v>
      </c>
      <c r="D74" s="232"/>
      <c r="E74" s="251" t="n">
        <v>8510000</v>
      </c>
      <c r="F74" s="132" t="n">
        <f aca="false">F73-E74</f>
        <v>269796929</v>
      </c>
    </row>
    <row r="75" customFormat="false" ht="35.05" hidden="false" customHeight="false" outlineLevel="0" collapsed="false">
      <c r="A75" s="252" t="n">
        <v>43180</v>
      </c>
      <c r="B75" s="230" t="s">
        <v>712</v>
      </c>
      <c r="C75" s="239" t="s">
        <v>624</v>
      </c>
      <c r="D75" s="232"/>
      <c r="E75" s="251" t="n">
        <v>387375</v>
      </c>
      <c r="F75" s="132" t="n">
        <f aca="false">F74-E75</f>
        <v>269409554</v>
      </c>
    </row>
    <row r="76" customFormat="false" ht="35.05" hidden="false" customHeight="false" outlineLevel="0" collapsed="false">
      <c r="A76" s="252" t="n">
        <v>43180</v>
      </c>
      <c r="B76" s="230" t="s">
        <v>713</v>
      </c>
      <c r="C76" s="239" t="s">
        <v>624</v>
      </c>
      <c r="D76" s="232"/>
      <c r="E76" s="251" t="n">
        <v>841750</v>
      </c>
      <c r="F76" s="132" t="n">
        <f aca="false">F75-E76</f>
        <v>268567804</v>
      </c>
    </row>
    <row r="77" customFormat="false" ht="35.05" hidden="false" customHeight="false" outlineLevel="0" collapsed="false">
      <c r="A77" s="252" t="n">
        <v>43180</v>
      </c>
      <c r="B77" s="230" t="s">
        <v>714</v>
      </c>
      <c r="C77" s="239" t="s">
        <v>624</v>
      </c>
      <c r="D77" s="232"/>
      <c r="E77" s="251" t="n">
        <v>955656</v>
      </c>
      <c r="F77" s="132" t="n">
        <f aca="false">F76-E77</f>
        <v>267612148</v>
      </c>
    </row>
    <row r="78" customFormat="false" ht="46.25" hidden="false" customHeight="false" outlineLevel="0" collapsed="false">
      <c r="A78" s="252" t="n">
        <v>43180</v>
      </c>
      <c r="B78" s="249" t="s">
        <v>715</v>
      </c>
      <c r="C78" s="231" t="s">
        <v>624</v>
      </c>
      <c r="D78" s="254"/>
      <c r="E78" s="251" t="n">
        <v>2953500</v>
      </c>
      <c r="F78" s="132" t="n">
        <f aca="false">F77-E78</f>
        <v>264658648</v>
      </c>
    </row>
    <row r="79" customFormat="false" ht="35.05" hidden="false" customHeight="false" outlineLevel="0" collapsed="false">
      <c r="A79" s="252" t="n">
        <v>43181</v>
      </c>
      <c r="B79" s="237" t="s">
        <v>716</v>
      </c>
      <c r="C79" s="231" t="s">
        <v>624</v>
      </c>
      <c r="D79" s="255"/>
      <c r="E79" s="251" t="n">
        <v>266000</v>
      </c>
      <c r="F79" s="132" t="n">
        <f aca="false">F78-E79</f>
        <v>264392648</v>
      </c>
    </row>
    <row r="80" customFormat="false" ht="57.45" hidden="false" customHeight="false" outlineLevel="0" collapsed="false">
      <c r="A80" s="252" t="n">
        <v>43181</v>
      </c>
      <c r="B80" s="230" t="s">
        <v>717</v>
      </c>
      <c r="C80" s="231" t="s">
        <v>718</v>
      </c>
      <c r="D80" s="250"/>
      <c r="E80" s="251" t="n">
        <v>257200</v>
      </c>
      <c r="F80" s="132" t="n">
        <f aca="false">F79-E80</f>
        <v>264135448</v>
      </c>
    </row>
    <row r="81" customFormat="false" ht="15" hidden="false" customHeight="false" outlineLevel="0" collapsed="false">
      <c r="A81" s="252" t="n">
        <v>43190</v>
      </c>
      <c r="B81" s="240" t="s">
        <v>651</v>
      </c>
      <c r="C81" s="241" t="s">
        <v>652</v>
      </c>
      <c r="D81" s="242" t="n">
        <f aca="false">20000*24</f>
        <v>480000</v>
      </c>
      <c r="E81" s="251"/>
      <c r="F81" s="132" t="n">
        <f aca="false">F80+D81</f>
        <v>264615448</v>
      </c>
    </row>
    <row r="82" customFormat="false" ht="15" hidden="false" customHeight="false" outlineLevel="0" collapsed="false">
      <c r="A82" s="252" t="n">
        <v>43190</v>
      </c>
      <c r="B82" s="240" t="s">
        <v>719</v>
      </c>
      <c r="C82" s="241" t="s">
        <v>652</v>
      </c>
      <c r="D82" s="242" t="n">
        <f aca="false">350000+515000+88765975-949500</f>
        <v>88681475</v>
      </c>
      <c r="E82" s="251"/>
      <c r="F82" s="132" t="n">
        <f aca="false">F81+D82</f>
        <v>353296923</v>
      </c>
    </row>
    <row r="83" customFormat="false" ht="35.05" hidden="false" customHeight="false" outlineLevel="0" collapsed="false">
      <c r="A83" s="252" t="n">
        <v>43192</v>
      </c>
      <c r="B83" s="230" t="s">
        <v>702</v>
      </c>
      <c r="C83" s="231" t="s">
        <v>624</v>
      </c>
      <c r="D83" s="245"/>
      <c r="E83" s="245" t="n">
        <v>58500</v>
      </c>
      <c r="F83" s="132" t="n">
        <f aca="false">F82-E83</f>
        <v>353238423</v>
      </c>
    </row>
    <row r="84" customFormat="false" ht="23.85" hidden="false" customHeight="false" outlineLevel="0" collapsed="false">
      <c r="A84" s="252" t="n">
        <v>43192</v>
      </c>
      <c r="B84" s="234" t="s">
        <v>720</v>
      </c>
      <c r="C84" s="231" t="s">
        <v>624</v>
      </c>
      <c r="D84" s="232"/>
      <c r="E84" s="233" t="n">
        <v>405000</v>
      </c>
      <c r="F84" s="132" t="n">
        <f aca="false">F83-E84</f>
        <v>352833423</v>
      </c>
    </row>
    <row r="85" customFormat="false" ht="46.25" hidden="false" customHeight="false" outlineLevel="0" collapsed="false">
      <c r="A85" s="252" t="n">
        <v>43192</v>
      </c>
      <c r="B85" s="230" t="s">
        <v>721</v>
      </c>
      <c r="C85" s="231" t="s">
        <v>722</v>
      </c>
      <c r="D85" s="250"/>
      <c r="E85" s="251" t="n">
        <v>100000</v>
      </c>
      <c r="F85" s="132" t="n">
        <f aca="false">F84-E85</f>
        <v>352733423</v>
      </c>
    </row>
    <row r="86" customFormat="false" ht="46.25" hidden="false" customHeight="false" outlineLevel="0" collapsed="false">
      <c r="A86" s="252" t="n">
        <v>43192</v>
      </c>
      <c r="B86" s="230" t="s">
        <v>721</v>
      </c>
      <c r="C86" s="231" t="s">
        <v>723</v>
      </c>
      <c r="D86" s="250"/>
      <c r="E86" s="251" t="n">
        <v>100000</v>
      </c>
      <c r="F86" s="132" t="n">
        <f aca="false">F85-E86</f>
        <v>352633423</v>
      </c>
    </row>
    <row r="87" customFormat="false" ht="46.25" hidden="false" customHeight="false" outlineLevel="0" collapsed="false">
      <c r="A87" s="252" t="n">
        <v>43192</v>
      </c>
      <c r="B87" s="237" t="s">
        <v>724</v>
      </c>
      <c r="C87" s="231" t="s">
        <v>725</v>
      </c>
      <c r="D87" s="250"/>
      <c r="E87" s="251" t="n">
        <v>2109000</v>
      </c>
      <c r="F87" s="132" t="n">
        <f aca="false">F86-E87</f>
        <v>350524423</v>
      </c>
    </row>
    <row r="88" customFormat="false" ht="35.05" hidden="false" customHeight="false" outlineLevel="0" collapsed="false">
      <c r="A88" s="252" t="n">
        <v>43192</v>
      </c>
      <c r="B88" s="237" t="s">
        <v>726</v>
      </c>
      <c r="C88" s="231" t="s">
        <v>727</v>
      </c>
      <c r="D88" s="250"/>
      <c r="E88" s="251" t="n">
        <v>8723000</v>
      </c>
      <c r="F88" s="132" t="n">
        <f aca="false">F87-E88</f>
        <v>341801423</v>
      </c>
    </row>
    <row r="89" customFormat="false" ht="35.05" hidden="false" customHeight="false" outlineLevel="0" collapsed="false">
      <c r="A89" s="252" t="n">
        <v>43192</v>
      </c>
      <c r="B89" s="237" t="s">
        <v>728</v>
      </c>
      <c r="C89" s="231" t="s">
        <v>729</v>
      </c>
      <c r="D89" s="256"/>
      <c r="E89" s="251" t="n">
        <v>233000</v>
      </c>
      <c r="F89" s="132" t="n">
        <f aca="false">F88-E89</f>
        <v>341568423</v>
      </c>
    </row>
    <row r="90" customFormat="false" ht="68.65" hidden="false" customHeight="false" outlineLevel="0" collapsed="false">
      <c r="A90" s="257" t="n">
        <v>43192</v>
      </c>
      <c r="B90" s="230" t="s">
        <v>730</v>
      </c>
      <c r="C90" s="231" t="s">
        <v>731</v>
      </c>
      <c r="D90" s="256"/>
      <c r="E90" s="251" t="n">
        <v>100000</v>
      </c>
      <c r="F90" s="132" t="n">
        <f aca="false">F89-E90</f>
        <v>341468423</v>
      </c>
    </row>
    <row r="91" customFormat="false" ht="15" hidden="false" customHeight="false" outlineLevel="0" collapsed="false">
      <c r="A91" s="252" t="n">
        <v>43194</v>
      </c>
      <c r="B91" s="236" t="s">
        <v>732</v>
      </c>
      <c r="C91" s="258" t="s">
        <v>733</v>
      </c>
      <c r="D91" s="256"/>
      <c r="E91" s="251" t="n">
        <v>300609</v>
      </c>
      <c r="F91" s="132" t="n">
        <f aca="false">F90-E91</f>
        <v>341167814</v>
      </c>
    </row>
    <row r="92" customFormat="false" ht="15" hidden="false" customHeight="false" outlineLevel="0" collapsed="false">
      <c r="A92" s="252" t="n">
        <v>43194</v>
      </c>
      <c r="B92" s="236" t="s">
        <v>732</v>
      </c>
      <c r="C92" s="258" t="s">
        <v>734</v>
      </c>
      <c r="D92" s="250"/>
      <c r="E92" s="251" t="n">
        <v>101900</v>
      </c>
      <c r="F92" s="132" t="n">
        <f aca="false">F91-E92</f>
        <v>341065914</v>
      </c>
      <c r="G92" s="105"/>
    </row>
    <row r="93" customFormat="false" ht="15" hidden="false" customHeight="false" outlineLevel="0" collapsed="false">
      <c r="A93" s="252" t="n">
        <v>43195</v>
      </c>
      <c r="B93" s="243" t="s">
        <v>735</v>
      </c>
      <c r="C93" s="239" t="s">
        <v>736</v>
      </c>
      <c r="D93" s="256"/>
      <c r="E93" s="259" t="n">
        <v>72589</v>
      </c>
      <c r="F93" s="132" t="n">
        <f aca="false">F92-E93</f>
        <v>340993325</v>
      </c>
    </row>
    <row r="94" customFormat="false" ht="15" hidden="false" customHeight="false" outlineLevel="0" collapsed="false">
      <c r="A94" s="252" t="n">
        <v>43195</v>
      </c>
      <c r="B94" s="243" t="s">
        <v>657</v>
      </c>
      <c r="C94" s="239" t="s">
        <v>658</v>
      </c>
      <c r="D94" s="256"/>
      <c r="E94" s="259" t="n">
        <v>5500</v>
      </c>
      <c r="F94" s="132" t="n">
        <f aca="false">F93-E94</f>
        <v>340987825</v>
      </c>
    </row>
    <row r="95" customFormat="false" ht="15" hidden="false" customHeight="false" outlineLevel="0" collapsed="false">
      <c r="A95" s="252" t="n">
        <v>43195</v>
      </c>
      <c r="B95" s="243" t="s">
        <v>737</v>
      </c>
      <c r="C95" s="239" t="s">
        <v>652</v>
      </c>
      <c r="D95" s="256" t="n">
        <v>25625</v>
      </c>
      <c r="E95" s="259"/>
      <c r="F95" s="132" t="n">
        <f aca="false">F94+D95</f>
        <v>341013450</v>
      </c>
    </row>
    <row r="96" customFormat="false" ht="46.25" hidden="false" customHeight="false" outlineLevel="0" collapsed="false">
      <c r="A96" s="252" t="n">
        <v>43196</v>
      </c>
      <c r="B96" s="237" t="s">
        <v>738</v>
      </c>
      <c r="C96" s="231" t="s">
        <v>739</v>
      </c>
      <c r="D96" s="250"/>
      <c r="E96" s="259" t="n">
        <v>2170300</v>
      </c>
      <c r="F96" s="132" t="n">
        <f aca="false">F95-E96</f>
        <v>338843150</v>
      </c>
    </row>
    <row r="97" customFormat="false" ht="46.25" hidden="false" customHeight="false" outlineLevel="0" collapsed="false">
      <c r="A97" s="252" t="n">
        <v>43196</v>
      </c>
      <c r="B97" s="237" t="s">
        <v>740</v>
      </c>
      <c r="C97" s="231" t="s">
        <v>741</v>
      </c>
      <c r="D97" s="250"/>
      <c r="E97" s="259" t="n">
        <v>1267300</v>
      </c>
      <c r="F97" s="132" t="n">
        <f aca="false">F96-E97</f>
        <v>337575850</v>
      </c>
    </row>
    <row r="98" customFormat="false" ht="46.25" hidden="false" customHeight="false" outlineLevel="0" collapsed="false">
      <c r="A98" s="252" t="n">
        <v>43196</v>
      </c>
      <c r="B98" s="237" t="s">
        <v>742</v>
      </c>
      <c r="C98" s="231" t="s">
        <v>743</v>
      </c>
      <c r="D98" s="250"/>
      <c r="E98" s="259" t="n">
        <v>1942300</v>
      </c>
      <c r="F98" s="132" t="n">
        <f aca="false">F97-E98</f>
        <v>335633550</v>
      </c>
      <c r="G98" s="105"/>
    </row>
    <row r="99" customFormat="false" ht="23.85" hidden="false" customHeight="false" outlineLevel="0" collapsed="false">
      <c r="A99" s="252" t="n">
        <v>43196</v>
      </c>
      <c r="B99" s="237" t="s">
        <v>744</v>
      </c>
      <c r="C99" s="231" t="s">
        <v>745</v>
      </c>
      <c r="D99" s="250"/>
      <c r="E99" s="259" t="n">
        <v>516500</v>
      </c>
      <c r="F99" s="132" t="n">
        <f aca="false">F98-E99</f>
        <v>335117050</v>
      </c>
    </row>
    <row r="100" customFormat="false" ht="35.05" hidden="false" customHeight="false" outlineLevel="0" collapsed="false">
      <c r="A100" s="252" t="n">
        <v>43196</v>
      </c>
      <c r="B100" s="237" t="s">
        <v>746</v>
      </c>
      <c r="C100" s="231" t="s">
        <v>747</v>
      </c>
      <c r="D100" s="250"/>
      <c r="E100" s="259" t="n">
        <v>10506577</v>
      </c>
      <c r="F100" s="132" t="n">
        <f aca="false">F99-E100</f>
        <v>324610473</v>
      </c>
    </row>
    <row r="101" customFormat="false" ht="57.45" hidden="false" customHeight="false" outlineLevel="0" collapsed="false">
      <c r="A101" s="252" t="n">
        <v>43196</v>
      </c>
      <c r="B101" s="237" t="s">
        <v>748</v>
      </c>
      <c r="C101" s="231" t="s">
        <v>749</v>
      </c>
      <c r="D101" s="250"/>
      <c r="E101" s="259" t="n">
        <v>4602315</v>
      </c>
      <c r="F101" s="132" t="n">
        <f aca="false">F100-E101</f>
        <v>320008158</v>
      </c>
    </row>
    <row r="102" customFormat="false" ht="57.45" hidden="false" customHeight="false" outlineLevel="0" collapsed="false">
      <c r="A102" s="252" t="n">
        <v>43196</v>
      </c>
      <c r="B102" s="237" t="s">
        <v>750</v>
      </c>
      <c r="C102" s="231" t="s">
        <v>751</v>
      </c>
      <c r="D102" s="250"/>
      <c r="E102" s="259" t="n">
        <v>3529936</v>
      </c>
      <c r="F102" s="132" t="n">
        <f aca="false">F101-E102</f>
        <v>316478222</v>
      </c>
    </row>
    <row r="103" customFormat="false" ht="35.05" hidden="false" customHeight="false" outlineLevel="0" collapsed="false">
      <c r="A103" s="252" t="n">
        <v>43202</v>
      </c>
      <c r="B103" s="237" t="s">
        <v>752</v>
      </c>
      <c r="C103" s="231" t="s">
        <v>624</v>
      </c>
      <c r="D103" s="245"/>
      <c r="E103" s="251" t="n">
        <v>1310000</v>
      </c>
      <c r="F103" s="132" t="n">
        <f aca="false">F102-E103</f>
        <v>315168222</v>
      </c>
    </row>
    <row r="104" customFormat="false" ht="23.85" hidden="false" customHeight="false" outlineLevel="0" collapsed="false">
      <c r="A104" s="252" t="n">
        <v>43202</v>
      </c>
      <c r="B104" s="237" t="s">
        <v>753</v>
      </c>
      <c r="C104" s="231" t="s">
        <v>624</v>
      </c>
      <c r="D104" s="232"/>
      <c r="E104" s="251" t="n">
        <v>6544000</v>
      </c>
      <c r="F104" s="132" t="n">
        <f aca="false">F103-E104</f>
        <v>308624222</v>
      </c>
    </row>
    <row r="105" customFormat="false" ht="57.45" hidden="false" customHeight="false" outlineLevel="0" collapsed="false">
      <c r="A105" s="252" t="n">
        <v>43202</v>
      </c>
      <c r="B105" s="230" t="s">
        <v>754</v>
      </c>
      <c r="C105" s="231" t="s">
        <v>624</v>
      </c>
      <c r="D105" s="254"/>
      <c r="E105" s="259" t="n">
        <v>7611000</v>
      </c>
      <c r="F105" s="132" t="n">
        <f aca="false">F104-E105</f>
        <v>301013222</v>
      </c>
    </row>
    <row r="106" customFormat="false" ht="57.45" hidden="false" customHeight="false" outlineLevel="0" collapsed="false">
      <c r="A106" s="252" t="n">
        <v>43209</v>
      </c>
      <c r="B106" s="235" t="s">
        <v>755</v>
      </c>
      <c r="C106" s="239" t="s">
        <v>756</v>
      </c>
      <c r="D106" s="255"/>
      <c r="E106" s="259" t="n">
        <v>120000</v>
      </c>
      <c r="F106" s="132" t="n">
        <f aca="false">F105-E106</f>
        <v>300893222</v>
      </c>
    </row>
    <row r="107" customFormat="false" ht="46.25" hidden="false" customHeight="false" outlineLevel="0" collapsed="false">
      <c r="A107" s="252" t="n">
        <v>37011</v>
      </c>
      <c r="B107" s="260" t="s">
        <v>757</v>
      </c>
      <c r="C107" s="239" t="s">
        <v>758</v>
      </c>
      <c r="D107" s="245"/>
      <c r="E107" s="259" t="n">
        <v>252619</v>
      </c>
      <c r="F107" s="132" t="n">
        <f aca="false">F106-E107</f>
        <v>300640603</v>
      </c>
      <c r="G107" s="261" t="n">
        <v>43227</v>
      </c>
    </row>
    <row r="108" customFormat="false" ht="15" hidden="false" customHeight="false" outlineLevel="0" collapsed="false">
      <c r="A108" s="252" t="n">
        <v>43210</v>
      </c>
      <c r="B108" s="236" t="s">
        <v>759</v>
      </c>
      <c r="C108" s="231" t="s">
        <v>624</v>
      </c>
      <c r="D108" s="256"/>
      <c r="E108" s="259" t="n">
        <v>685768</v>
      </c>
      <c r="F108" s="132" t="n">
        <f aca="false">F107-E108</f>
        <v>299954835</v>
      </c>
    </row>
    <row r="109" customFormat="false" ht="15" hidden="false" customHeight="false" outlineLevel="0" collapsed="false">
      <c r="A109" s="252" t="n">
        <v>43220</v>
      </c>
      <c r="B109" s="240" t="s">
        <v>651</v>
      </c>
      <c r="C109" s="241" t="s">
        <v>652</v>
      </c>
      <c r="D109" s="262" t="n">
        <f aca="false">8*20000</f>
        <v>160000</v>
      </c>
      <c r="E109" s="259"/>
      <c r="F109" s="132" t="n">
        <f aca="false">F108+D109</f>
        <v>300114835</v>
      </c>
    </row>
    <row r="110" customFormat="false" ht="15" hidden="false" customHeight="false" outlineLevel="0" collapsed="false">
      <c r="A110" s="252" t="n">
        <v>43220</v>
      </c>
      <c r="B110" s="240" t="s">
        <v>760</v>
      </c>
      <c r="C110" s="241" t="s">
        <v>652</v>
      </c>
      <c r="D110" s="242" t="n">
        <f aca="false">5483625-25625</f>
        <v>5458000</v>
      </c>
      <c r="E110" s="251"/>
      <c r="F110" s="132" t="n">
        <f aca="false">F109+D110</f>
        <v>305572835</v>
      </c>
    </row>
    <row r="111" customFormat="false" ht="46.25" hidden="false" customHeight="false" outlineLevel="0" collapsed="false">
      <c r="A111" s="252" t="n">
        <v>43222</v>
      </c>
      <c r="B111" s="237" t="s">
        <v>761</v>
      </c>
      <c r="C111" s="239" t="s">
        <v>762</v>
      </c>
      <c r="D111" s="232"/>
      <c r="E111" s="251" t="n">
        <v>150000</v>
      </c>
      <c r="F111" s="132" t="n">
        <f aca="false">F110-E111</f>
        <v>305422835</v>
      </c>
    </row>
    <row r="112" customFormat="false" ht="35.05" hidden="false" customHeight="false" outlineLevel="0" collapsed="false">
      <c r="A112" s="252" t="n">
        <v>43222</v>
      </c>
      <c r="B112" s="230" t="s">
        <v>763</v>
      </c>
      <c r="C112" s="231" t="s">
        <v>624</v>
      </c>
      <c r="D112" s="232"/>
      <c r="E112" s="251" t="n">
        <v>500000</v>
      </c>
      <c r="F112" s="132" t="n">
        <f aca="false">F111-E112</f>
        <v>304922835</v>
      </c>
    </row>
    <row r="113" customFormat="false" ht="23.85" hidden="false" customHeight="false" outlineLevel="0" collapsed="false">
      <c r="A113" s="252" t="n">
        <v>43222</v>
      </c>
      <c r="B113" s="234" t="s">
        <v>764</v>
      </c>
      <c r="C113" s="231" t="s">
        <v>624</v>
      </c>
      <c r="D113" s="232"/>
      <c r="E113" s="251" t="n">
        <v>405000</v>
      </c>
      <c r="F113" s="132" t="n">
        <f aca="false">F112-E113</f>
        <v>304517835</v>
      </c>
    </row>
    <row r="114" customFormat="false" ht="46.25" hidden="false" customHeight="false" outlineLevel="0" collapsed="false">
      <c r="A114" s="252" t="n">
        <v>43222</v>
      </c>
      <c r="B114" s="230" t="s">
        <v>765</v>
      </c>
      <c r="C114" s="239" t="s">
        <v>766</v>
      </c>
      <c r="D114" s="232"/>
      <c r="E114" s="251" t="n">
        <v>279000</v>
      </c>
      <c r="F114" s="132" t="n">
        <f aca="false">F113-E114</f>
        <v>304238835</v>
      </c>
    </row>
    <row r="115" customFormat="false" ht="15" hidden="false" customHeight="false" outlineLevel="0" collapsed="false">
      <c r="A115" s="252" t="n">
        <v>43222</v>
      </c>
      <c r="B115" s="237" t="s">
        <v>767</v>
      </c>
      <c r="C115" s="231" t="s">
        <v>652</v>
      </c>
      <c r="D115" s="232" t="n">
        <v>5000000</v>
      </c>
      <c r="E115" s="251"/>
      <c r="F115" s="132" t="n">
        <f aca="false">F114+D115</f>
        <v>309238835</v>
      </c>
    </row>
    <row r="116" customFormat="false" ht="23.85" hidden="false" customHeight="false" outlineLevel="0" collapsed="false">
      <c r="A116" s="252" t="n">
        <v>43223</v>
      </c>
      <c r="B116" s="237" t="s">
        <v>768</v>
      </c>
      <c r="C116" s="239" t="s">
        <v>769</v>
      </c>
      <c r="D116" s="245"/>
      <c r="E116" s="251" t="n">
        <v>145550</v>
      </c>
      <c r="F116" s="132" t="n">
        <f aca="false">F115-E116</f>
        <v>309093285</v>
      </c>
    </row>
    <row r="117" customFormat="false" ht="35.05" hidden="false" customHeight="false" outlineLevel="0" collapsed="false">
      <c r="A117" s="252" t="n">
        <v>43223</v>
      </c>
      <c r="B117" s="237" t="s">
        <v>770</v>
      </c>
      <c r="C117" s="239" t="s">
        <v>771</v>
      </c>
      <c r="D117" s="245"/>
      <c r="E117" s="251" t="n">
        <v>800000</v>
      </c>
      <c r="F117" s="132" t="n">
        <f aca="false">F116-E117</f>
        <v>308293285</v>
      </c>
    </row>
    <row r="118" customFormat="false" ht="35.05" hidden="false" customHeight="false" outlineLevel="0" collapsed="false">
      <c r="A118" s="252" t="n">
        <v>43223</v>
      </c>
      <c r="B118" s="237" t="s">
        <v>772</v>
      </c>
      <c r="C118" s="239" t="s">
        <v>773</v>
      </c>
      <c r="D118" s="245"/>
      <c r="E118" s="251" t="n">
        <v>5000000</v>
      </c>
      <c r="F118" s="132" t="n">
        <f aca="false">F117-E118</f>
        <v>303293285</v>
      </c>
    </row>
    <row r="119" customFormat="false" ht="35.05" hidden="false" customHeight="false" outlineLevel="0" collapsed="false">
      <c r="A119" s="252" t="n">
        <v>43223</v>
      </c>
      <c r="B119" s="237" t="s">
        <v>774</v>
      </c>
      <c r="C119" s="231" t="s">
        <v>624</v>
      </c>
      <c r="D119" s="245"/>
      <c r="E119" s="251" t="n">
        <v>54000</v>
      </c>
      <c r="F119" s="132" t="n">
        <f aca="false">F118-E119</f>
        <v>303239285</v>
      </c>
    </row>
    <row r="120" customFormat="false" ht="23.85" hidden="false" customHeight="false" outlineLevel="0" collapsed="false">
      <c r="A120" s="252" t="n">
        <v>43226</v>
      </c>
      <c r="B120" s="237" t="s">
        <v>775</v>
      </c>
      <c r="C120" s="239" t="s">
        <v>776</v>
      </c>
      <c r="D120" s="245"/>
      <c r="E120" s="251" t="n">
        <v>307420</v>
      </c>
      <c r="F120" s="132" t="n">
        <f aca="false">F119-E120</f>
        <v>302931865</v>
      </c>
    </row>
    <row r="121" customFormat="false" ht="15" hidden="false" customHeight="false" outlineLevel="0" collapsed="false">
      <c r="A121" s="252" t="n">
        <v>43226</v>
      </c>
      <c r="B121" s="236" t="s">
        <v>777</v>
      </c>
      <c r="C121" s="239" t="s">
        <v>778</v>
      </c>
      <c r="D121" s="245"/>
      <c r="E121" s="251" t="n">
        <v>216500</v>
      </c>
      <c r="F121" s="132" t="n">
        <f aca="false">F120-E121</f>
        <v>302715365</v>
      </c>
    </row>
    <row r="122" customFormat="false" ht="15" hidden="false" customHeight="false" outlineLevel="0" collapsed="false">
      <c r="A122" s="252" t="n">
        <v>43229</v>
      </c>
      <c r="B122" s="243" t="s">
        <v>779</v>
      </c>
      <c r="C122" s="239" t="s">
        <v>780</v>
      </c>
      <c r="D122" s="256"/>
      <c r="E122" s="259" t="n">
        <v>79103</v>
      </c>
      <c r="F122" s="132" t="n">
        <f aca="false">F121-E122</f>
        <v>302636262</v>
      </c>
    </row>
    <row r="123" customFormat="false" ht="15" hidden="false" customHeight="false" outlineLevel="0" collapsed="false">
      <c r="A123" s="252" t="n">
        <v>43229</v>
      </c>
      <c r="B123" s="243" t="s">
        <v>657</v>
      </c>
      <c r="C123" s="239" t="s">
        <v>658</v>
      </c>
      <c r="D123" s="256"/>
      <c r="E123" s="259" t="n">
        <v>5500</v>
      </c>
      <c r="F123" s="132" t="n">
        <f aca="false">F122-E123</f>
        <v>302630762</v>
      </c>
    </row>
    <row r="124" customFormat="false" ht="57.45" hidden="false" customHeight="false" outlineLevel="0" collapsed="false">
      <c r="A124" s="252" t="n">
        <v>43231</v>
      </c>
      <c r="B124" s="230" t="s">
        <v>754</v>
      </c>
      <c r="C124" s="231" t="s">
        <v>624</v>
      </c>
      <c r="D124" s="256"/>
      <c r="E124" s="259" t="n">
        <v>4461200</v>
      </c>
      <c r="F124" s="132" t="n">
        <f aca="false">F123-E124</f>
        <v>298169562</v>
      </c>
    </row>
    <row r="125" customFormat="false" ht="35.05" hidden="false" customHeight="false" outlineLevel="0" collapsed="false">
      <c r="A125" s="252" t="n">
        <v>43234</v>
      </c>
      <c r="B125" s="230" t="s">
        <v>781</v>
      </c>
      <c r="C125" s="239" t="s">
        <v>782</v>
      </c>
      <c r="D125" s="256"/>
      <c r="E125" s="259" t="n">
        <v>120000</v>
      </c>
      <c r="F125" s="132" t="n">
        <f aca="false">F124-E125</f>
        <v>298049562</v>
      </c>
    </row>
    <row r="126" customFormat="false" ht="15" hidden="false" customHeight="false" outlineLevel="0" collapsed="false">
      <c r="A126" s="252" t="n">
        <v>43234</v>
      </c>
      <c r="B126" s="236" t="s">
        <v>783</v>
      </c>
      <c r="C126" s="231" t="s">
        <v>624</v>
      </c>
      <c r="D126" s="256"/>
      <c r="E126" s="259" t="n">
        <v>685768</v>
      </c>
      <c r="F126" s="132" t="n">
        <f aca="false">F125-E126</f>
        <v>297363794</v>
      </c>
    </row>
    <row r="127" customFormat="false" ht="35.05" hidden="false" customHeight="false" outlineLevel="0" collapsed="false">
      <c r="A127" s="252" t="n">
        <v>43234</v>
      </c>
      <c r="B127" s="230" t="s">
        <v>784</v>
      </c>
      <c r="C127" s="231" t="s">
        <v>624</v>
      </c>
      <c r="D127" s="256"/>
      <c r="E127" s="259" t="n">
        <v>784000</v>
      </c>
      <c r="F127" s="132" t="n">
        <f aca="false">F126-E127</f>
        <v>296579794</v>
      </c>
    </row>
    <row r="128" customFormat="false" ht="46.25" hidden="false" customHeight="false" outlineLevel="0" collapsed="false">
      <c r="A128" s="252" t="n">
        <v>43236</v>
      </c>
      <c r="B128" s="230" t="s">
        <v>785</v>
      </c>
      <c r="C128" s="231" t="s">
        <v>624</v>
      </c>
      <c r="D128" s="256"/>
      <c r="E128" s="259" t="n">
        <v>1175000</v>
      </c>
      <c r="F128" s="132" t="n">
        <f aca="false">F127-E128</f>
        <v>295404794</v>
      </c>
    </row>
    <row r="129" customFormat="false" ht="46.25" hidden="false" customHeight="false" outlineLevel="0" collapsed="false">
      <c r="A129" s="252" t="n">
        <v>43236</v>
      </c>
      <c r="B129" s="230" t="s">
        <v>786</v>
      </c>
      <c r="C129" s="231" t="s">
        <v>624</v>
      </c>
      <c r="D129" s="256"/>
      <c r="E129" s="259" t="n">
        <v>1400000</v>
      </c>
      <c r="F129" s="132" t="n">
        <f aca="false">F128-E129</f>
        <v>294004794</v>
      </c>
    </row>
    <row r="130" customFormat="false" ht="35.05" hidden="false" customHeight="false" outlineLevel="0" collapsed="false">
      <c r="A130" s="252" t="n">
        <v>43236</v>
      </c>
      <c r="B130" s="237" t="s">
        <v>787</v>
      </c>
      <c r="C130" s="239" t="s">
        <v>788</v>
      </c>
      <c r="D130" s="256"/>
      <c r="E130" s="259" t="n">
        <v>4415000</v>
      </c>
      <c r="F130" s="132" t="n">
        <f aca="false">F129-E130</f>
        <v>289589794</v>
      </c>
    </row>
    <row r="131" customFormat="false" ht="23.85" hidden="false" customHeight="false" outlineLevel="0" collapsed="false">
      <c r="A131" s="252" t="n">
        <v>43236</v>
      </c>
      <c r="B131" s="237" t="s">
        <v>789</v>
      </c>
      <c r="C131" s="239" t="s">
        <v>790</v>
      </c>
      <c r="D131" s="256"/>
      <c r="E131" s="259" t="n">
        <v>7680000</v>
      </c>
      <c r="F131" s="132" t="n">
        <f aca="false">F130-E131</f>
        <v>281909794</v>
      </c>
    </row>
    <row r="132" customFormat="false" ht="35.05" hidden="false" customHeight="false" outlineLevel="0" collapsed="false">
      <c r="A132" s="252" t="n">
        <v>43236</v>
      </c>
      <c r="B132" s="230" t="s">
        <v>791</v>
      </c>
      <c r="C132" s="231" t="s">
        <v>624</v>
      </c>
      <c r="D132" s="256"/>
      <c r="E132" s="259" t="n">
        <v>700000</v>
      </c>
      <c r="F132" s="132" t="n">
        <f aca="false">F131-E132</f>
        <v>281209794</v>
      </c>
    </row>
    <row r="133" customFormat="false" ht="57.45" hidden="false" customHeight="false" outlineLevel="0" collapsed="false">
      <c r="A133" s="252" t="n">
        <v>43242</v>
      </c>
      <c r="B133" s="230" t="s">
        <v>754</v>
      </c>
      <c r="C133" s="231" t="s">
        <v>624</v>
      </c>
      <c r="D133" s="245"/>
      <c r="E133" s="251" t="n">
        <v>456000</v>
      </c>
      <c r="F133" s="132" t="n">
        <f aca="false">F132-E133</f>
        <v>280753794</v>
      </c>
    </row>
    <row r="134" customFormat="false" ht="15" hidden="false" customHeight="false" outlineLevel="0" collapsed="false">
      <c r="A134" s="252" t="n">
        <v>43242</v>
      </c>
      <c r="B134" s="236" t="s">
        <v>777</v>
      </c>
      <c r="C134" s="239" t="s">
        <v>792</v>
      </c>
      <c r="D134" s="245"/>
      <c r="E134" s="251" t="n">
        <v>150000</v>
      </c>
      <c r="F134" s="132" t="n">
        <f aca="false">F133-E134</f>
        <v>280603794</v>
      </c>
    </row>
    <row r="135" customFormat="false" ht="46.25" hidden="false" customHeight="false" outlineLevel="0" collapsed="false">
      <c r="A135" s="252" t="n">
        <v>43244</v>
      </c>
      <c r="B135" s="237" t="s">
        <v>793</v>
      </c>
      <c r="C135" s="239" t="s">
        <v>794</v>
      </c>
      <c r="D135" s="245"/>
      <c r="E135" s="251" t="n">
        <v>119950</v>
      </c>
      <c r="F135" s="132" t="n">
        <f aca="false">F134-E135</f>
        <v>280483844</v>
      </c>
    </row>
    <row r="136" customFormat="false" ht="46.25" hidden="false" customHeight="false" outlineLevel="0" collapsed="false">
      <c r="A136" s="252" t="n">
        <v>43244</v>
      </c>
      <c r="B136" s="237" t="s">
        <v>795</v>
      </c>
      <c r="C136" s="239" t="s">
        <v>796</v>
      </c>
      <c r="D136" s="245"/>
      <c r="E136" s="251" t="n">
        <v>64875</v>
      </c>
      <c r="F136" s="132" t="n">
        <f aca="false">F135-E136</f>
        <v>280418969</v>
      </c>
    </row>
    <row r="137" customFormat="false" ht="15" hidden="false" customHeight="false" outlineLevel="0" collapsed="false">
      <c r="A137" s="252" t="n">
        <v>43251</v>
      </c>
      <c r="B137" s="240" t="s">
        <v>651</v>
      </c>
      <c r="C137" s="241" t="s">
        <v>652</v>
      </c>
      <c r="D137" s="245" t="n">
        <v>60000</v>
      </c>
      <c r="E137" s="251"/>
      <c r="F137" s="132" t="n">
        <f aca="false">F136+D137</f>
        <v>280478969</v>
      </c>
    </row>
    <row r="138" customFormat="false" ht="15" hidden="false" customHeight="false" outlineLevel="0" collapsed="false">
      <c r="A138" s="252" t="n">
        <v>43251</v>
      </c>
      <c r="B138" s="240" t="s">
        <v>797</v>
      </c>
      <c r="C138" s="241" t="s">
        <v>652</v>
      </c>
      <c r="D138" s="245" t="n">
        <v>8322000</v>
      </c>
      <c r="E138" s="251"/>
      <c r="F138" s="132" t="n">
        <f aca="false">F137+D138</f>
        <v>288800969</v>
      </c>
    </row>
    <row r="139" customFormat="false" ht="23.85" hidden="false" customHeight="false" outlineLevel="0" collapsed="false">
      <c r="A139" s="252" t="n">
        <v>43254</v>
      </c>
      <c r="B139" s="234" t="s">
        <v>798</v>
      </c>
      <c r="C139" s="231" t="s">
        <v>624</v>
      </c>
      <c r="D139" s="245"/>
      <c r="E139" s="251" t="n">
        <v>405000</v>
      </c>
      <c r="F139" s="132" t="n">
        <f aca="false">F138-E139</f>
        <v>288395969</v>
      </c>
    </row>
    <row r="140" customFormat="false" ht="35.05" hidden="false" customHeight="false" outlineLevel="0" collapsed="false">
      <c r="A140" s="252" t="n">
        <v>43256</v>
      </c>
      <c r="B140" s="237" t="s">
        <v>774</v>
      </c>
      <c r="C140" s="231" t="s">
        <v>624</v>
      </c>
      <c r="D140" s="245"/>
      <c r="E140" s="251" t="n">
        <v>63000</v>
      </c>
      <c r="F140" s="132" t="n">
        <f aca="false">F139-E140</f>
        <v>288332969</v>
      </c>
    </row>
    <row r="141" customFormat="false" ht="46.25" hidden="false" customHeight="false" outlineLevel="0" collapsed="false">
      <c r="A141" s="252" t="n">
        <v>43256</v>
      </c>
      <c r="B141" s="230" t="s">
        <v>799</v>
      </c>
      <c r="C141" s="231" t="s">
        <v>624</v>
      </c>
      <c r="D141" s="245"/>
      <c r="E141" s="251" t="n">
        <v>400000</v>
      </c>
      <c r="F141" s="132" t="n">
        <f aca="false">F140-E141</f>
        <v>287932969</v>
      </c>
    </row>
    <row r="142" customFormat="false" ht="35.05" hidden="false" customHeight="false" outlineLevel="0" collapsed="false">
      <c r="A142" s="252" t="n">
        <v>43256</v>
      </c>
      <c r="B142" s="249" t="s">
        <v>800</v>
      </c>
      <c r="C142" s="231" t="s">
        <v>624</v>
      </c>
      <c r="D142" s="245"/>
      <c r="E142" s="251" t="n">
        <v>1582500</v>
      </c>
      <c r="F142" s="132" t="n">
        <f aca="false">F141-E142</f>
        <v>286350469</v>
      </c>
    </row>
    <row r="143" customFormat="false" ht="46.25" hidden="false" customHeight="false" outlineLevel="0" collapsed="false">
      <c r="A143" s="252" t="n">
        <v>43256</v>
      </c>
      <c r="B143" s="230" t="s">
        <v>801</v>
      </c>
      <c r="C143" s="231" t="s">
        <v>624</v>
      </c>
      <c r="D143" s="245"/>
      <c r="E143" s="251" t="n">
        <v>2400000</v>
      </c>
      <c r="F143" s="132" t="n">
        <f aca="false">F142-E143</f>
        <v>283950469</v>
      </c>
    </row>
    <row r="144" customFormat="false" ht="35.05" hidden="false" customHeight="false" outlineLevel="0" collapsed="false">
      <c r="A144" s="252" t="n">
        <v>43256</v>
      </c>
      <c r="B144" s="230" t="s">
        <v>802</v>
      </c>
      <c r="C144" s="239" t="s">
        <v>803</v>
      </c>
      <c r="D144" s="245"/>
      <c r="E144" s="251" t="n">
        <v>4000000</v>
      </c>
      <c r="F144" s="132" t="n">
        <f aca="false">F143-E144</f>
        <v>279950469</v>
      </c>
    </row>
    <row r="145" customFormat="false" ht="46.25" hidden="false" customHeight="false" outlineLevel="0" collapsed="false">
      <c r="A145" s="252" t="n">
        <v>43256</v>
      </c>
      <c r="B145" s="230" t="s">
        <v>804</v>
      </c>
      <c r="C145" s="239" t="s">
        <v>805</v>
      </c>
      <c r="D145" s="245"/>
      <c r="E145" s="251" t="n">
        <v>200000</v>
      </c>
      <c r="F145" s="132" t="n">
        <f aca="false">F144-E145</f>
        <v>279750469</v>
      </c>
    </row>
    <row r="146" customFormat="false" ht="35.05" hidden="false" customHeight="false" outlineLevel="0" collapsed="false">
      <c r="A146" s="252" t="n">
        <v>43264</v>
      </c>
      <c r="B146" s="230" t="s">
        <v>806</v>
      </c>
      <c r="C146" s="231" t="s">
        <v>624</v>
      </c>
      <c r="D146" s="245"/>
      <c r="E146" s="251" t="n">
        <v>280000</v>
      </c>
      <c r="F146" s="132" t="n">
        <f aca="false">F145-E146</f>
        <v>279470469</v>
      </c>
    </row>
    <row r="147" customFormat="false" ht="15" hidden="false" customHeight="false" outlineLevel="0" collapsed="false">
      <c r="A147" s="252" t="n">
        <v>43265</v>
      </c>
      <c r="B147" s="243" t="s">
        <v>807</v>
      </c>
      <c r="C147" s="239" t="s">
        <v>808</v>
      </c>
      <c r="D147" s="256"/>
      <c r="E147" s="259" t="n">
        <v>79103</v>
      </c>
      <c r="F147" s="132" t="n">
        <f aca="false">F146-E147</f>
        <v>279391366</v>
      </c>
    </row>
    <row r="148" customFormat="false" ht="15" hidden="false" customHeight="false" outlineLevel="0" collapsed="false">
      <c r="A148" s="252" t="n">
        <v>43265</v>
      </c>
      <c r="B148" s="243" t="s">
        <v>657</v>
      </c>
      <c r="C148" s="239" t="s">
        <v>658</v>
      </c>
      <c r="D148" s="256"/>
      <c r="E148" s="259" t="n">
        <v>5500</v>
      </c>
      <c r="F148" s="132" t="n">
        <f aca="false">F147-E148</f>
        <v>279385866</v>
      </c>
    </row>
    <row r="149" customFormat="false" ht="35.05" hidden="false" customHeight="false" outlineLevel="0" collapsed="false">
      <c r="A149" s="252" t="n">
        <v>43270</v>
      </c>
      <c r="B149" s="230" t="s">
        <v>809</v>
      </c>
      <c r="C149" s="231" t="s">
        <v>624</v>
      </c>
      <c r="D149" s="245"/>
      <c r="E149" s="251" t="n">
        <v>1400000</v>
      </c>
      <c r="F149" s="132" t="n">
        <f aca="false">F148-E149</f>
        <v>277985866</v>
      </c>
    </row>
    <row r="150" customFormat="false" ht="15" hidden="false" customHeight="false" outlineLevel="0" collapsed="false">
      <c r="A150" s="252" t="n">
        <v>43269</v>
      </c>
      <c r="B150" s="236" t="s">
        <v>810</v>
      </c>
      <c r="C150" s="231" t="s">
        <v>624</v>
      </c>
      <c r="D150" s="256"/>
      <c r="E150" s="259" t="n">
        <v>685768</v>
      </c>
      <c r="F150" s="132" t="n">
        <f aca="false">F149-E150</f>
        <v>277300098</v>
      </c>
    </row>
    <row r="151" customFormat="false" ht="35.05" hidden="false" customHeight="false" outlineLevel="0" collapsed="false">
      <c r="A151" s="252" t="n">
        <v>43270</v>
      </c>
      <c r="B151" s="237" t="s">
        <v>811</v>
      </c>
      <c r="C151" s="239" t="s">
        <v>812</v>
      </c>
      <c r="D151" s="245"/>
      <c r="E151" s="251" t="n">
        <v>4034400</v>
      </c>
      <c r="F151" s="132" t="n">
        <f aca="false">F150-E151</f>
        <v>273265698</v>
      </c>
    </row>
    <row r="152" customFormat="false" ht="46.25" hidden="false" customHeight="false" outlineLevel="0" collapsed="false">
      <c r="A152" s="252" t="n">
        <v>43270</v>
      </c>
      <c r="B152" s="230" t="s">
        <v>813</v>
      </c>
      <c r="C152" s="239" t="s">
        <v>814</v>
      </c>
      <c r="D152" s="232"/>
      <c r="E152" s="251" t="n">
        <v>279000</v>
      </c>
      <c r="F152" s="132" t="n">
        <f aca="false">F151-E152</f>
        <v>272986698</v>
      </c>
    </row>
    <row r="153" customFormat="false" ht="23.85" hidden="false" customHeight="false" outlineLevel="0" collapsed="false">
      <c r="A153" s="252" t="n">
        <v>43271</v>
      </c>
      <c r="B153" s="237" t="s">
        <v>815</v>
      </c>
      <c r="C153" s="239" t="s">
        <v>816</v>
      </c>
      <c r="D153" s="245"/>
      <c r="E153" s="251" t="n">
        <v>40000</v>
      </c>
      <c r="F153" s="132" t="n">
        <f aca="false">F152-E153</f>
        <v>272946698</v>
      </c>
    </row>
    <row r="154" customFormat="false" ht="35.05" hidden="false" customHeight="false" outlineLevel="0" collapsed="false">
      <c r="A154" s="252" t="n">
        <v>43271</v>
      </c>
      <c r="B154" s="237" t="s">
        <v>774</v>
      </c>
      <c r="C154" s="231" t="s">
        <v>624</v>
      </c>
      <c r="D154" s="245"/>
      <c r="E154" s="251" t="n">
        <v>18000</v>
      </c>
      <c r="F154" s="132" t="n">
        <f aca="false">F153-E154</f>
        <v>272928698</v>
      </c>
    </row>
    <row r="155" customFormat="false" ht="46.25" hidden="false" customHeight="false" outlineLevel="0" collapsed="false">
      <c r="A155" s="252" t="n">
        <v>43273</v>
      </c>
      <c r="B155" s="230" t="s">
        <v>817</v>
      </c>
      <c r="C155" s="239" t="s">
        <v>818</v>
      </c>
      <c r="D155" s="245"/>
      <c r="E155" s="251" t="n">
        <v>2876475</v>
      </c>
      <c r="F155" s="132" t="n">
        <f aca="false">F154-E155</f>
        <v>270052223</v>
      </c>
    </row>
    <row r="156" customFormat="false" ht="15" hidden="false" customHeight="false" outlineLevel="0" collapsed="false">
      <c r="A156" s="252" t="n">
        <v>43281</v>
      </c>
      <c r="B156" s="240" t="s">
        <v>651</v>
      </c>
      <c r="C156" s="241" t="s">
        <v>652</v>
      </c>
      <c r="D156" s="245" t="n">
        <v>420000</v>
      </c>
      <c r="E156" s="251"/>
      <c r="F156" s="132" t="n">
        <f aca="false">F155+D156</f>
        <v>270472223</v>
      </c>
    </row>
    <row r="157" customFormat="false" ht="15" hidden="false" customHeight="false" outlineLevel="0" collapsed="false">
      <c r="A157" s="252" t="n">
        <v>43281</v>
      </c>
      <c r="B157" s="240" t="s">
        <v>819</v>
      </c>
      <c r="C157" s="241" t="s">
        <v>652</v>
      </c>
      <c r="D157" s="245" t="n">
        <v>15029950</v>
      </c>
      <c r="E157" s="251"/>
      <c r="F157" s="132" t="n">
        <f aca="false">F156+D157</f>
        <v>285502173</v>
      </c>
    </row>
    <row r="158" customFormat="false" ht="15" hidden="false" customHeight="false" outlineLevel="0" collapsed="false">
      <c r="A158" s="252" t="n">
        <v>39632</v>
      </c>
      <c r="B158" s="236" t="s">
        <v>732</v>
      </c>
      <c r="C158" s="258" t="s">
        <v>820</v>
      </c>
      <c r="D158" s="245"/>
      <c r="E158" s="251" t="n">
        <v>114154</v>
      </c>
      <c r="F158" s="132" t="n">
        <f aca="false">F157-E158</f>
        <v>285388019</v>
      </c>
    </row>
    <row r="159" customFormat="false" ht="15" hidden="false" customHeight="false" outlineLevel="0" collapsed="false">
      <c r="A159" s="252" t="n">
        <v>43284</v>
      </c>
      <c r="B159" s="236" t="s">
        <v>732</v>
      </c>
      <c r="C159" s="258" t="s">
        <v>821</v>
      </c>
      <c r="D159" s="245"/>
      <c r="E159" s="251" t="n">
        <v>300609</v>
      </c>
      <c r="F159" s="132" t="n">
        <f aca="false">F158-E159</f>
        <v>285087410</v>
      </c>
    </row>
    <row r="160" customFormat="false" ht="23.85" hidden="false" customHeight="false" outlineLevel="0" collapsed="false">
      <c r="A160" s="252" t="n">
        <v>43284</v>
      </c>
      <c r="B160" s="234" t="s">
        <v>822</v>
      </c>
      <c r="C160" s="231" t="s">
        <v>624</v>
      </c>
      <c r="D160" s="245"/>
      <c r="E160" s="251" t="n">
        <v>405000</v>
      </c>
      <c r="F160" s="132" t="n">
        <f aca="false">F159-E160</f>
        <v>284682410</v>
      </c>
    </row>
    <row r="161" customFormat="false" ht="46.25" hidden="false" customHeight="false" outlineLevel="0" collapsed="false">
      <c r="A161" s="252" t="n">
        <v>43284</v>
      </c>
      <c r="B161" s="230" t="s">
        <v>823</v>
      </c>
      <c r="C161" s="258" t="s">
        <v>824</v>
      </c>
      <c r="D161" s="245"/>
      <c r="E161" s="251" t="n">
        <v>100000</v>
      </c>
      <c r="F161" s="132" t="n">
        <f aca="false">F160-E161</f>
        <v>284582410</v>
      </c>
    </row>
    <row r="162" customFormat="false" ht="23.85" hidden="false" customHeight="false" outlineLevel="0" collapsed="false">
      <c r="A162" s="252" t="n">
        <v>43286</v>
      </c>
      <c r="B162" s="237" t="s">
        <v>825</v>
      </c>
      <c r="C162" s="258" t="s">
        <v>826</v>
      </c>
      <c r="D162" s="250"/>
      <c r="E162" s="259" t="n">
        <v>840000</v>
      </c>
      <c r="F162" s="132" t="n">
        <f aca="false">F161-E162</f>
        <v>283742410</v>
      </c>
    </row>
    <row r="163" customFormat="false" ht="35.05" hidden="false" customHeight="false" outlineLevel="0" collapsed="false">
      <c r="A163" s="252" t="n">
        <v>43286</v>
      </c>
      <c r="B163" s="249" t="s">
        <v>827</v>
      </c>
      <c r="C163" s="231" t="s">
        <v>624</v>
      </c>
      <c r="D163" s="250"/>
      <c r="E163" s="259" t="n">
        <v>1854000</v>
      </c>
      <c r="F163" s="132" t="n">
        <f aca="false">F162-E163</f>
        <v>281888410</v>
      </c>
    </row>
    <row r="164" customFormat="false" ht="15" hidden="false" customHeight="false" outlineLevel="0" collapsed="false">
      <c r="A164" s="252" t="n">
        <v>43291</v>
      </c>
      <c r="B164" s="243" t="s">
        <v>828</v>
      </c>
      <c r="C164" s="239" t="s">
        <v>829</v>
      </c>
      <c r="D164" s="256"/>
      <c r="E164" s="259" t="n">
        <v>79103</v>
      </c>
      <c r="F164" s="132" t="n">
        <f aca="false">F163-E164</f>
        <v>281809307</v>
      </c>
    </row>
    <row r="165" customFormat="false" ht="15" hidden="false" customHeight="false" outlineLevel="0" collapsed="false">
      <c r="A165" s="252" t="s">
        <v>830</v>
      </c>
      <c r="B165" s="243" t="s">
        <v>657</v>
      </c>
      <c r="C165" s="239" t="s">
        <v>658</v>
      </c>
      <c r="D165" s="256"/>
      <c r="E165" s="259" t="n">
        <v>5500</v>
      </c>
      <c r="F165" s="132" t="n">
        <f aca="false">F164-E165</f>
        <v>281803807</v>
      </c>
    </row>
    <row r="166" customFormat="false" ht="15" hidden="false" customHeight="false" outlineLevel="0" collapsed="false">
      <c r="A166" s="252" t="n">
        <v>43291</v>
      </c>
      <c r="B166" s="243" t="s">
        <v>831</v>
      </c>
      <c r="C166" s="239" t="s">
        <v>832</v>
      </c>
      <c r="D166" s="256"/>
      <c r="E166" s="259" t="n">
        <v>935820</v>
      </c>
      <c r="F166" s="132" t="n">
        <f aca="false">F165-E166</f>
        <v>280867987</v>
      </c>
    </row>
    <row r="167" customFormat="false" ht="15" hidden="false" customHeight="false" outlineLevel="0" collapsed="false">
      <c r="A167" s="252" t="n">
        <v>43291</v>
      </c>
      <c r="B167" s="243" t="s">
        <v>657</v>
      </c>
      <c r="C167" s="231" t="s">
        <v>658</v>
      </c>
      <c r="D167" s="256"/>
      <c r="E167" s="259" t="n">
        <v>5500</v>
      </c>
      <c r="F167" s="132" t="n">
        <f aca="false">F166-E167</f>
        <v>280862487</v>
      </c>
    </row>
    <row r="168" customFormat="false" ht="15" hidden="false" customHeight="false" outlineLevel="0" collapsed="false">
      <c r="A168" s="252" t="n">
        <v>43292</v>
      </c>
      <c r="B168" s="236" t="s">
        <v>833</v>
      </c>
      <c r="C168" s="231" t="s">
        <v>624</v>
      </c>
      <c r="D168" s="256"/>
      <c r="E168" s="259" t="n">
        <v>685768</v>
      </c>
      <c r="F168" s="132" t="n">
        <f aca="false">F167-E168</f>
        <v>280176719</v>
      </c>
    </row>
    <row r="169" customFormat="false" ht="57.45" hidden="false" customHeight="false" outlineLevel="0" collapsed="false">
      <c r="A169" s="252" t="n">
        <v>43292</v>
      </c>
      <c r="B169" s="230" t="s">
        <v>754</v>
      </c>
      <c r="C169" s="231" t="s">
        <v>624</v>
      </c>
      <c r="D169" s="245"/>
      <c r="E169" s="251" t="n">
        <v>1288000</v>
      </c>
      <c r="F169" s="132" t="n">
        <f aca="false">F168-E169</f>
        <v>278888719</v>
      </c>
    </row>
    <row r="170" customFormat="false" ht="35.05" hidden="false" customHeight="false" outlineLevel="0" collapsed="false">
      <c r="A170" s="252" t="n">
        <v>43292</v>
      </c>
      <c r="B170" s="230" t="s">
        <v>834</v>
      </c>
      <c r="C170" s="231" t="s">
        <v>624</v>
      </c>
      <c r="D170" s="245"/>
      <c r="E170" s="251" t="n">
        <v>1885000</v>
      </c>
      <c r="F170" s="132" t="n">
        <f aca="false">F169-E170</f>
        <v>277003719</v>
      </c>
    </row>
    <row r="171" customFormat="false" ht="35.05" hidden="false" customHeight="false" outlineLevel="0" collapsed="false">
      <c r="A171" s="252" t="n">
        <v>43292</v>
      </c>
      <c r="B171" s="230" t="s">
        <v>835</v>
      </c>
      <c r="C171" s="231" t="s">
        <v>624</v>
      </c>
      <c r="D171" s="245"/>
      <c r="E171" s="251" t="n">
        <v>561000</v>
      </c>
      <c r="F171" s="132" t="n">
        <f aca="false">F170-E171</f>
        <v>276442719</v>
      </c>
    </row>
    <row r="172" customFormat="false" ht="15" hidden="false" customHeight="false" outlineLevel="0" collapsed="false">
      <c r="A172" s="252" t="n">
        <v>43292</v>
      </c>
      <c r="B172" s="236" t="s">
        <v>836</v>
      </c>
      <c r="C172" s="231" t="s">
        <v>624</v>
      </c>
      <c r="D172" s="245"/>
      <c r="E172" s="251" t="n">
        <v>330000</v>
      </c>
      <c r="F172" s="132" t="n">
        <f aca="false">F171-E172</f>
        <v>276112719</v>
      </c>
    </row>
    <row r="173" customFormat="false" ht="35.05" hidden="false" customHeight="false" outlineLevel="0" collapsed="false">
      <c r="A173" s="252" t="n">
        <v>43293</v>
      </c>
      <c r="B173" s="230" t="s">
        <v>837</v>
      </c>
      <c r="C173" s="258" t="s">
        <v>838</v>
      </c>
      <c r="D173" s="245"/>
      <c r="E173" s="251" t="n">
        <v>1959500</v>
      </c>
      <c r="F173" s="132" t="n">
        <f aca="false">F172-E173</f>
        <v>274153219</v>
      </c>
    </row>
    <row r="174" customFormat="false" ht="46.25" hidden="false" customHeight="false" outlineLevel="0" collapsed="false">
      <c r="A174" s="252" t="n">
        <v>43294</v>
      </c>
      <c r="B174" s="230" t="s">
        <v>839</v>
      </c>
      <c r="C174" s="231" t="s">
        <v>624</v>
      </c>
      <c r="D174" s="245"/>
      <c r="E174" s="251" t="n">
        <v>1850000</v>
      </c>
      <c r="F174" s="132" t="n">
        <f aca="false">F173-E174</f>
        <v>272303219</v>
      </c>
    </row>
    <row r="175" customFormat="false" ht="46.25" hidden="false" customHeight="false" outlineLevel="0" collapsed="false">
      <c r="A175" s="252" t="n">
        <v>43299</v>
      </c>
      <c r="B175" s="237" t="s">
        <v>840</v>
      </c>
      <c r="C175" s="239" t="s">
        <v>841</v>
      </c>
      <c r="D175" s="245"/>
      <c r="E175" s="251" t="n">
        <v>10383030</v>
      </c>
      <c r="F175" s="132" t="n">
        <f aca="false">F174-E175</f>
        <v>261920189</v>
      </c>
    </row>
    <row r="176" customFormat="false" ht="15" hidden="false" customHeight="false" outlineLevel="0" collapsed="false">
      <c r="A176" s="252" t="n">
        <v>43311</v>
      </c>
      <c r="B176" s="236" t="s">
        <v>842</v>
      </c>
      <c r="C176" s="239" t="s">
        <v>843</v>
      </c>
      <c r="D176" s="245"/>
      <c r="E176" s="251" t="n">
        <v>167120</v>
      </c>
      <c r="F176" s="132" t="n">
        <f aca="false">F175-E176</f>
        <v>261753069</v>
      </c>
    </row>
    <row r="177" customFormat="false" ht="35.05" hidden="false" customHeight="false" outlineLevel="0" collapsed="false">
      <c r="A177" s="252" t="n">
        <v>43311</v>
      </c>
      <c r="B177" s="237" t="s">
        <v>844</v>
      </c>
      <c r="C177" s="239" t="s">
        <v>845</v>
      </c>
      <c r="D177" s="245"/>
      <c r="E177" s="251" t="n">
        <v>1854200</v>
      </c>
      <c r="F177" s="132" t="n">
        <f aca="false">F176-E177</f>
        <v>259898869</v>
      </c>
    </row>
    <row r="178" customFormat="false" ht="23.85" hidden="false" customHeight="false" outlineLevel="0" collapsed="false">
      <c r="A178" s="252" t="n">
        <v>43312</v>
      </c>
      <c r="B178" s="237" t="s">
        <v>846</v>
      </c>
      <c r="C178" s="239" t="s">
        <v>847</v>
      </c>
      <c r="D178" s="245"/>
      <c r="E178" s="251" t="n">
        <v>153000</v>
      </c>
      <c r="F178" s="132" t="n">
        <f aca="false">F177-E178</f>
        <v>259745869</v>
      </c>
    </row>
    <row r="179" customFormat="false" ht="35.05" hidden="false" customHeight="false" outlineLevel="0" collapsed="false">
      <c r="A179" s="252" t="n">
        <v>43312</v>
      </c>
      <c r="B179" s="237" t="s">
        <v>848</v>
      </c>
      <c r="C179" s="239" t="s">
        <v>849</v>
      </c>
      <c r="D179" s="245"/>
      <c r="E179" s="251" t="n">
        <v>600000</v>
      </c>
      <c r="F179" s="132" t="n">
        <f aca="false">F178-E179</f>
        <v>259145869</v>
      </c>
    </row>
    <row r="180" customFormat="false" ht="35.05" hidden="false" customHeight="false" outlineLevel="0" collapsed="false">
      <c r="A180" s="252" t="n">
        <v>43312</v>
      </c>
      <c r="B180" s="249" t="s">
        <v>850</v>
      </c>
      <c r="C180" s="231" t="s">
        <v>624</v>
      </c>
      <c r="D180" s="245"/>
      <c r="E180" s="251" t="n">
        <v>1882500</v>
      </c>
      <c r="F180" s="132" t="n">
        <f aca="false">F179-E180</f>
        <v>257263369</v>
      </c>
    </row>
    <row r="181" customFormat="false" ht="15" hidden="false" customHeight="false" outlineLevel="0" collapsed="false">
      <c r="A181" s="252" t="n">
        <v>43312</v>
      </c>
      <c r="B181" s="240" t="s">
        <v>651</v>
      </c>
      <c r="C181" s="241" t="s">
        <v>652</v>
      </c>
      <c r="D181" s="245" t="n">
        <v>220000</v>
      </c>
      <c r="E181" s="251"/>
      <c r="F181" s="132" t="n">
        <f aca="false">F180+D181</f>
        <v>257483369</v>
      </c>
    </row>
    <row r="182" customFormat="false" ht="15" hidden="false" customHeight="false" outlineLevel="0" collapsed="false">
      <c r="A182" s="252" t="n">
        <v>43312</v>
      </c>
      <c r="B182" s="240" t="s">
        <v>851</v>
      </c>
      <c r="C182" s="241" t="s">
        <v>652</v>
      </c>
      <c r="D182" s="245" t="n">
        <v>14237000</v>
      </c>
      <c r="E182" s="251"/>
      <c r="F182" s="132" t="n">
        <f aca="false">F181+D182</f>
        <v>271720369</v>
      </c>
    </row>
    <row r="183" customFormat="false" ht="23.85" hidden="false" customHeight="false" outlineLevel="0" collapsed="false">
      <c r="A183" s="252" t="n">
        <v>43314</v>
      </c>
      <c r="B183" s="234" t="s">
        <v>852</v>
      </c>
      <c r="C183" s="231" t="s">
        <v>624</v>
      </c>
      <c r="D183" s="245"/>
      <c r="E183" s="251" t="n">
        <v>405000</v>
      </c>
      <c r="F183" s="132" t="n">
        <f aca="false">F182-E183</f>
        <v>271315369</v>
      </c>
    </row>
    <row r="184" customFormat="false" ht="35.05" hidden="false" customHeight="false" outlineLevel="0" collapsed="false">
      <c r="A184" s="252" t="n">
        <v>43315</v>
      </c>
      <c r="B184" s="237" t="s">
        <v>853</v>
      </c>
      <c r="C184" s="239" t="s">
        <v>854</v>
      </c>
      <c r="D184" s="245"/>
      <c r="E184" s="251" t="n">
        <v>2255000</v>
      </c>
      <c r="F184" s="132" t="n">
        <f aca="false">F183-E184</f>
        <v>269060369</v>
      </c>
    </row>
    <row r="185" customFormat="false" ht="57.45" hidden="false" customHeight="false" outlineLevel="0" collapsed="false">
      <c r="A185" s="252" t="n">
        <v>43315</v>
      </c>
      <c r="B185" s="237" t="s">
        <v>855</v>
      </c>
      <c r="C185" s="239" t="s">
        <v>856</v>
      </c>
      <c r="D185" s="245"/>
      <c r="E185" s="251" t="n">
        <v>2000000</v>
      </c>
      <c r="F185" s="132" t="n">
        <f aca="false">F184-E185</f>
        <v>267060369</v>
      </c>
    </row>
    <row r="186" customFormat="false" ht="15" hidden="false" customHeight="false" outlineLevel="0" collapsed="false">
      <c r="A186" s="252" t="n">
        <v>43319</v>
      </c>
      <c r="B186" s="243" t="s">
        <v>857</v>
      </c>
      <c r="C186" s="239" t="s">
        <v>858</v>
      </c>
      <c r="D186" s="256"/>
      <c r="E186" s="259" t="n">
        <v>79103</v>
      </c>
      <c r="F186" s="132" t="n">
        <f aca="false">F185-E186</f>
        <v>266981266</v>
      </c>
    </row>
    <row r="187" customFormat="false" ht="15" hidden="false" customHeight="false" outlineLevel="0" collapsed="false">
      <c r="A187" s="252" t="n">
        <v>43319</v>
      </c>
      <c r="B187" s="243" t="s">
        <v>657</v>
      </c>
      <c r="C187" s="239" t="s">
        <v>658</v>
      </c>
      <c r="D187" s="256"/>
      <c r="E187" s="259" t="n">
        <v>5500</v>
      </c>
      <c r="F187" s="132" t="n">
        <f aca="false">F186-E187</f>
        <v>266975766</v>
      </c>
    </row>
    <row r="188" customFormat="false" ht="46.25" hidden="false" customHeight="false" outlineLevel="0" collapsed="false">
      <c r="A188" s="252" t="n">
        <v>43322</v>
      </c>
      <c r="B188" s="230" t="s">
        <v>859</v>
      </c>
      <c r="C188" s="239" t="s">
        <v>860</v>
      </c>
      <c r="D188" s="245"/>
      <c r="E188" s="251" t="n">
        <v>200000</v>
      </c>
      <c r="F188" s="132" t="n">
        <f aca="false">F187-E188</f>
        <v>266775766</v>
      </c>
    </row>
    <row r="189" customFormat="false" ht="15" hidden="false" customHeight="false" outlineLevel="0" collapsed="false">
      <c r="A189" s="252" t="n">
        <v>42963</v>
      </c>
      <c r="B189" s="236" t="s">
        <v>861</v>
      </c>
      <c r="C189" s="231" t="s">
        <v>624</v>
      </c>
      <c r="D189" s="256"/>
      <c r="E189" s="259" t="n">
        <v>685768</v>
      </c>
      <c r="F189" s="132" t="n">
        <f aca="false">F188-E189</f>
        <v>266089998</v>
      </c>
    </row>
    <row r="190" customFormat="false" ht="15" hidden="false" customHeight="false" outlineLevel="0" collapsed="false">
      <c r="A190" s="252" t="n">
        <v>43343</v>
      </c>
      <c r="B190" s="240" t="s">
        <v>651</v>
      </c>
      <c r="C190" s="241" t="s">
        <v>652</v>
      </c>
      <c r="D190" s="256" t="n">
        <v>440000</v>
      </c>
      <c r="E190" s="259"/>
      <c r="F190" s="132" t="n">
        <f aca="false">F189+D190</f>
        <v>266529998</v>
      </c>
    </row>
    <row r="191" customFormat="false" ht="15" hidden="false" customHeight="false" outlineLevel="0" collapsed="false">
      <c r="A191" s="252" t="n">
        <v>43343</v>
      </c>
      <c r="B191" s="240" t="s">
        <v>862</v>
      </c>
      <c r="C191" s="241" t="s">
        <v>652</v>
      </c>
      <c r="D191" s="245" t="n">
        <v>8522000</v>
      </c>
      <c r="E191" s="251"/>
      <c r="F191" s="132" t="n">
        <f aca="false">F190+D191</f>
        <v>275051998</v>
      </c>
    </row>
    <row r="192" customFormat="false" ht="23.85" hidden="false" customHeight="false" outlineLevel="0" collapsed="false">
      <c r="A192" s="252" t="n">
        <v>43346</v>
      </c>
      <c r="B192" s="234" t="s">
        <v>863</v>
      </c>
      <c r="C192" s="231" t="s">
        <v>624</v>
      </c>
      <c r="D192" s="245"/>
      <c r="E192" s="251" t="n">
        <v>405000</v>
      </c>
      <c r="F192" s="132" t="n">
        <f aca="false">F191-E192</f>
        <v>274646998</v>
      </c>
    </row>
    <row r="193" customFormat="false" ht="15" hidden="false" customHeight="false" outlineLevel="0" collapsed="false">
      <c r="A193" s="252" t="n">
        <v>43353</v>
      </c>
      <c r="B193" s="243" t="s">
        <v>864</v>
      </c>
      <c r="C193" s="239" t="s">
        <v>858</v>
      </c>
      <c r="D193" s="256"/>
      <c r="E193" s="259" t="n">
        <v>79103</v>
      </c>
      <c r="F193" s="132" t="n">
        <f aca="false">F192-E193</f>
        <v>274567895</v>
      </c>
    </row>
    <row r="194" customFormat="false" ht="15" hidden="false" customHeight="false" outlineLevel="0" collapsed="false">
      <c r="A194" s="252" t="n">
        <v>43353</v>
      </c>
      <c r="B194" s="243" t="s">
        <v>657</v>
      </c>
      <c r="C194" s="239" t="s">
        <v>658</v>
      </c>
      <c r="D194" s="256"/>
      <c r="E194" s="259" t="n">
        <v>5500</v>
      </c>
      <c r="F194" s="132" t="n">
        <f aca="false">F193-E194</f>
        <v>274562395</v>
      </c>
    </row>
    <row r="195" customFormat="false" ht="35.05" hidden="false" customHeight="false" outlineLevel="0" collapsed="false">
      <c r="A195" s="252" t="n">
        <v>43355</v>
      </c>
      <c r="B195" s="237" t="s">
        <v>774</v>
      </c>
      <c r="C195" s="231" t="s">
        <v>624</v>
      </c>
      <c r="D195" s="245"/>
      <c r="E195" s="251" t="n">
        <v>21000</v>
      </c>
      <c r="F195" s="132" t="n">
        <f aca="false">F194-E195</f>
        <v>274541395</v>
      </c>
    </row>
    <row r="196" customFormat="false" ht="57.45" hidden="false" customHeight="false" outlineLevel="0" collapsed="false">
      <c r="A196" s="252" t="n">
        <v>43355</v>
      </c>
      <c r="B196" s="230" t="s">
        <v>865</v>
      </c>
      <c r="C196" s="231" t="s">
        <v>624</v>
      </c>
      <c r="D196" s="245"/>
      <c r="E196" s="251" t="n">
        <v>1115000</v>
      </c>
      <c r="F196" s="132" t="n">
        <f aca="false">F195-E196</f>
        <v>273426395</v>
      </c>
    </row>
    <row r="197" customFormat="false" ht="68.65" hidden="false" customHeight="false" outlineLevel="0" collapsed="false">
      <c r="A197" s="252" t="n">
        <v>43355</v>
      </c>
      <c r="B197" s="230" t="s">
        <v>866</v>
      </c>
      <c r="C197" s="231" t="s">
        <v>624</v>
      </c>
      <c r="D197" s="245"/>
      <c r="E197" s="251" t="n">
        <v>945000</v>
      </c>
      <c r="F197" s="132" t="n">
        <f aca="false">F196-E197</f>
        <v>272481395</v>
      </c>
    </row>
    <row r="198" customFormat="false" ht="68.65" hidden="false" customHeight="false" outlineLevel="0" collapsed="false">
      <c r="A198" s="252" t="n">
        <v>43355</v>
      </c>
      <c r="B198" s="230" t="s">
        <v>867</v>
      </c>
      <c r="C198" s="231" t="s">
        <v>624</v>
      </c>
      <c r="D198" s="245"/>
      <c r="E198" s="251" t="n">
        <v>865000</v>
      </c>
      <c r="F198" s="132" t="n">
        <f aca="false">F197-E198</f>
        <v>271616395</v>
      </c>
    </row>
    <row r="199" customFormat="false" ht="35.05" hidden="false" customHeight="false" outlineLevel="0" collapsed="false">
      <c r="A199" s="252" t="n">
        <v>43355</v>
      </c>
      <c r="B199" s="230" t="s">
        <v>868</v>
      </c>
      <c r="C199" s="231" t="s">
        <v>624</v>
      </c>
      <c r="D199" s="245"/>
      <c r="E199" s="251" t="n">
        <v>457000</v>
      </c>
      <c r="F199" s="132" t="n">
        <f aca="false">F198-E199</f>
        <v>271159395</v>
      </c>
    </row>
    <row r="200" customFormat="false" ht="68.65" hidden="false" customHeight="false" outlineLevel="0" collapsed="false">
      <c r="A200" s="252" t="n">
        <v>43355</v>
      </c>
      <c r="B200" s="230" t="s">
        <v>869</v>
      </c>
      <c r="C200" s="231" t="s">
        <v>624</v>
      </c>
      <c r="D200" s="245"/>
      <c r="E200" s="251" t="n">
        <v>432000</v>
      </c>
      <c r="F200" s="132" t="n">
        <f aca="false">F199-E200</f>
        <v>270727395</v>
      </c>
    </row>
    <row r="201" customFormat="false" ht="15" hidden="false" customHeight="false" outlineLevel="0" collapsed="false">
      <c r="A201" s="252" t="n">
        <v>43356</v>
      </c>
      <c r="B201" s="236" t="s">
        <v>732</v>
      </c>
      <c r="C201" s="258" t="s">
        <v>870</v>
      </c>
      <c r="D201" s="245"/>
      <c r="E201" s="251" t="n">
        <v>114154</v>
      </c>
      <c r="F201" s="132" t="n">
        <f aca="false">F200-E201</f>
        <v>270613241</v>
      </c>
    </row>
    <row r="202" customFormat="false" ht="35.05" hidden="false" customHeight="false" outlineLevel="0" collapsed="false">
      <c r="A202" s="252" t="n">
        <v>43356</v>
      </c>
      <c r="B202" s="230" t="s">
        <v>871</v>
      </c>
      <c r="C202" s="258" t="s">
        <v>872</v>
      </c>
      <c r="D202" s="245"/>
      <c r="E202" s="251" t="n">
        <v>93000</v>
      </c>
      <c r="F202" s="132" t="n">
        <f aca="false">F201-E202</f>
        <v>270520241</v>
      </c>
    </row>
    <row r="203" customFormat="false" ht="35.05" hidden="false" customHeight="false" outlineLevel="0" collapsed="false">
      <c r="A203" s="252" t="n">
        <v>43356</v>
      </c>
      <c r="B203" s="230" t="s">
        <v>873</v>
      </c>
      <c r="C203" s="258" t="s">
        <v>874</v>
      </c>
      <c r="D203" s="245"/>
      <c r="E203" s="251" t="n">
        <v>93000</v>
      </c>
      <c r="F203" s="132" t="n">
        <f aca="false">F202-E203</f>
        <v>270427241</v>
      </c>
    </row>
    <row r="204" customFormat="false" ht="35.05" hidden="false" customHeight="false" outlineLevel="0" collapsed="false">
      <c r="A204" s="252" t="n">
        <v>43356</v>
      </c>
      <c r="B204" s="230" t="s">
        <v>875</v>
      </c>
      <c r="C204" s="258" t="s">
        <v>876</v>
      </c>
      <c r="D204" s="245"/>
      <c r="E204" s="251" t="n">
        <v>93000</v>
      </c>
      <c r="F204" s="132" t="n">
        <f aca="false">F203-E204</f>
        <v>270334241</v>
      </c>
    </row>
    <row r="205" customFormat="false" ht="15" hidden="false" customHeight="false" outlineLevel="0" collapsed="false">
      <c r="A205" s="252" t="n">
        <v>43357</v>
      </c>
      <c r="B205" s="236" t="s">
        <v>877</v>
      </c>
      <c r="C205" s="231" t="s">
        <v>624</v>
      </c>
      <c r="D205" s="256"/>
      <c r="E205" s="259" t="n">
        <v>685768</v>
      </c>
      <c r="F205" s="132" t="n">
        <f aca="false">F204-E205</f>
        <v>269648473</v>
      </c>
    </row>
    <row r="206" customFormat="false" ht="35.05" hidden="false" customHeight="false" outlineLevel="0" collapsed="false">
      <c r="A206" s="252" t="n">
        <v>43357</v>
      </c>
      <c r="B206" s="237" t="s">
        <v>878</v>
      </c>
      <c r="C206" s="239" t="s">
        <v>879</v>
      </c>
      <c r="D206" s="256"/>
      <c r="E206" s="259" t="n">
        <v>430000</v>
      </c>
      <c r="F206" s="132" t="n">
        <f aca="false">F205-E206</f>
        <v>269218473</v>
      </c>
    </row>
    <row r="207" customFormat="false" ht="35.05" hidden="false" customHeight="false" outlineLevel="0" collapsed="false">
      <c r="A207" s="252" t="n">
        <v>43363</v>
      </c>
      <c r="B207" s="237" t="s">
        <v>880</v>
      </c>
      <c r="C207" s="239" t="s">
        <v>881</v>
      </c>
      <c r="D207" s="250"/>
      <c r="E207" s="259" t="n">
        <v>1965450</v>
      </c>
      <c r="F207" s="132" t="n">
        <f aca="false">F206-E207</f>
        <v>267253023</v>
      </c>
    </row>
    <row r="208" customFormat="false" ht="23.85" hidden="false" customHeight="false" outlineLevel="0" collapsed="false">
      <c r="A208" s="252" t="n">
        <v>43363</v>
      </c>
      <c r="B208" s="230" t="s">
        <v>882</v>
      </c>
      <c r="C208" s="231" t="s">
        <v>624</v>
      </c>
      <c r="D208" s="250"/>
      <c r="E208" s="259" t="n">
        <v>105000</v>
      </c>
      <c r="F208" s="132" t="n">
        <f aca="false">F207-E208</f>
        <v>267148023</v>
      </c>
    </row>
    <row r="209" customFormat="false" ht="46.25" hidden="false" customHeight="false" outlineLevel="0" collapsed="false">
      <c r="A209" s="252" t="n">
        <v>43363</v>
      </c>
      <c r="B209" s="230" t="s">
        <v>883</v>
      </c>
      <c r="C209" s="239" t="s">
        <v>884</v>
      </c>
      <c r="D209" s="250"/>
      <c r="E209" s="259" t="n">
        <v>2084000</v>
      </c>
      <c r="F209" s="132" t="n">
        <f aca="false">F208-E209</f>
        <v>265064023</v>
      </c>
    </row>
    <row r="210" customFormat="false" ht="23.85" hidden="false" customHeight="false" outlineLevel="0" collapsed="false">
      <c r="A210" s="252" t="n">
        <v>43363</v>
      </c>
      <c r="B210" s="230" t="s">
        <v>882</v>
      </c>
      <c r="C210" s="239" t="s">
        <v>885</v>
      </c>
      <c r="D210" s="250"/>
      <c r="E210" s="259" t="n">
        <v>3641750</v>
      </c>
      <c r="F210" s="132" t="n">
        <f aca="false">F209-E210</f>
        <v>261422273</v>
      </c>
    </row>
    <row r="211" customFormat="false" ht="23.85" hidden="false" customHeight="false" outlineLevel="0" collapsed="false">
      <c r="A211" s="252" t="n">
        <v>43363</v>
      </c>
      <c r="B211" s="230" t="s">
        <v>882</v>
      </c>
      <c r="C211" s="239" t="s">
        <v>886</v>
      </c>
      <c r="D211" s="250"/>
      <c r="E211" s="259" t="n">
        <v>584500</v>
      </c>
      <c r="F211" s="132" t="n">
        <f aca="false">F210-E211</f>
        <v>260837773</v>
      </c>
    </row>
    <row r="212" customFormat="false" ht="23.85" hidden="false" customHeight="false" outlineLevel="0" collapsed="false">
      <c r="A212" s="252" t="n">
        <v>43363</v>
      </c>
      <c r="B212" s="230" t="s">
        <v>882</v>
      </c>
      <c r="C212" s="239" t="s">
        <v>887</v>
      </c>
      <c r="D212" s="250"/>
      <c r="E212" s="259" t="n">
        <v>255500</v>
      </c>
      <c r="F212" s="132" t="n">
        <f aca="false">F211-E212</f>
        <v>260582273</v>
      </c>
    </row>
    <row r="213" customFormat="false" ht="46.25" hidden="false" customHeight="false" outlineLevel="0" collapsed="false">
      <c r="A213" s="252" t="n">
        <v>43367</v>
      </c>
      <c r="B213" s="237" t="s">
        <v>888</v>
      </c>
      <c r="C213" s="239" t="s">
        <v>889</v>
      </c>
      <c r="D213" s="250"/>
      <c r="E213" s="259" t="n">
        <v>32000</v>
      </c>
      <c r="F213" s="132" t="n">
        <f aca="false">F212-E213</f>
        <v>260550273</v>
      </c>
    </row>
    <row r="214" customFormat="false" ht="23.85" hidden="false" customHeight="false" outlineLevel="0" collapsed="false">
      <c r="A214" s="252" t="n">
        <v>43363</v>
      </c>
      <c r="B214" s="230" t="s">
        <v>882</v>
      </c>
      <c r="C214" s="231" t="s">
        <v>624</v>
      </c>
      <c r="D214" s="250"/>
      <c r="E214" s="259" t="n">
        <v>371000</v>
      </c>
      <c r="F214" s="132" t="n">
        <f aca="false">F213-E214</f>
        <v>260179273</v>
      </c>
    </row>
    <row r="215" customFormat="false" ht="35.05" hidden="false" customHeight="false" outlineLevel="0" collapsed="false">
      <c r="A215" s="252" t="n">
        <v>43367</v>
      </c>
      <c r="B215" s="230" t="s">
        <v>890</v>
      </c>
      <c r="C215" s="239" t="s">
        <v>891</v>
      </c>
      <c r="D215" s="250"/>
      <c r="E215" s="259" t="n">
        <v>11340000</v>
      </c>
      <c r="F215" s="132" t="n">
        <f aca="false">F214-E215</f>
        <v>248839273</v>
      </c>
    </row>
    <row r="216" customFormat="false" ht="35.05" hidden="false" customHeight="false" outlineLevel="0" collapsed="false">
      <c r="A216" s="252" t="n">
        <v>43367</v>
      </c>
      <c r="B216" s="230" t="s">
        <v>892</v>
      </c>
      <c r="C216" s="239" t="s">
        <v>891</v>
      </c>
      <c r="D216" s="250"/>
      <c r="E216" s="259" t="n">
        <v>11445000</v>
      </c>
      <c r="F216" s="132" t="n">
        <f aca="false">F215-E216</f>
        <v>237394273</v>
      </c>
    </row>
    <row r="217" customFormat="false" ht="46.25" hidden="false" customHeight="false" outlineLevel="0" collapsed="false">
      <c r="A217" s="252" t="n">
        <v>43368</v>
      </c>
      <c r="B217" s="230" t="s">
        <v>893</v>
      </c>
      <c r="C217" s="239" t="s">
        <v>894</v>
      </c>
      <c r="D217" s="250"/>
      <c r="E217" s="259" t="n">
        <v>60000</v>
      </c>
      <c r="F217" s="132" t="n">
        <f aca="false">F216-E217</f>
        <v>237334273</v>
      </c>
    </row>
    <row r="218" customFormat="false" ht="46.25" hidden="false" customHeight="false" outlineLevel="0" collapsed="false">
      <c r="A218" s="252" t="n">
        <v>43368</v>
      </c>
      <c r="B218" s="230" t="s">
        <v>893</v>
      </c>
      <c r="C218" s="231" t="s">
        <v>624</v>
      </c>
      <c r="D218" s="250"/>
      <c r="E218" s="259" t="n">
        <v>630000</v>
      </c>
      <c r="F218" s="132" t="n">
        <f aca="false">F217-E218</f>
        <v>236704273</v>
      </c>
    </row>
    <row r="219" customFormat="false" ht="23.85" hidden="false" customHeight="false" outlineLevel="0" collapsed="false">
      <c r="A219" s="252" t="n">
        <v>43368</v>
      </c>
      <c r="B219" s="230" t="s">
        <v>895</v>
      </c>
      <c r="C219" s="239" t="s">
        <v>896</v>
      </c>
      <c r="D219" s="250"/>
      <c r="E219" s="259" t="n">
        <v>75000</v>
      </c>
      <c r="F219" s="132" t="n">
        <f aca="false">F218-E219</f>
        <v>236629273</v>
      </c>
    </row>
    <row r="220" customFormat="false" ht="23.85" hidden="false" customHeight="false" outlineLevel="0" collapsed="false">
      <c r="A220" s="252" t="n">
        <v>43368</v>
      </c>
      <c r="B220" s="230" t="s">
        <v>895</v>
      </c>
      <c r="C220" s="231" t="s">
        <v>624</v>
      </c>
      <c r="D220" s="250"/>
      <c r="E220" s="259" t="n">
        <v>560000</v>
      </c>
      <c r="F220" s="132" t="n">
        <f aca="false">F219-E220</f>
        <v>236069273</v>
      </c>
    </row>
    <row r="221" customFormat="false" ht="46.25" hidden="false" customHeight="false" outlineLevel="0" collapsed="false">
      <c r="A221" s="252" t="n">
        <v>43368</v>
      </c>
      <c r="B221" s="230" t="s">
        <v>897</v>
      </c>
      <c r="C221" s="231" t="s">
        <v>624</v>
      </c>
      <c r="D221" s="250"/>
      <c r="E221" s="259" t="n">
        <v>700000</v>
      </c>
      <c r="F221" s="132" t="n">
        <f aca="false">F220-E221</f>
        <v>235369273</v>
      </c>
    </row>
    <row r="222" customFormat="false" ht="46.25" hidden="false" customHeight="false" outlineLevel="0" collapsed="false">
      <c r="A222" s="252" t="n">
        <v>43368</v>
      </c>
      <c r="B222" s="230" t="s">
        <v>897</v>
      </c>
      <c r="C222" s="231" t="s">
        <v>624</v>
      </c>
      <c r="D222" s="250"/>
      <c r="E222" s="259" t="n">
        <v>200000</v>
      </c>
      <c r="F222" s="132" t="n">
        <f aca="false">F221-E222</f>
        <v>235169273</v>
      </c>
    </row>
    <row r="223" customFormat="false" ht="46.25" hidden="false" customHeight="false" outlineLevel="0" collapsed="false">
      <c r="A223" s="252" t="n">
        <v>43368</v>
      </c>
      <c r="B223" s="230" t="s">
        <v>898</v>
      </c>
      <c r="C223" s="239" t="s">
        <v>899</v>
      </c>
      <c r="D223" s="250"/>
      <c r="E223" s="259" t="n">
        <v>80000</v>
      </c>
      <c r="F223" s="132" t="n">
        <f aca="false">F222-E223</f>
        <v>235089273</v>
      </c>
    </row>
    <row r="224" customFormat="false" ht="46.25" hidden="false" customHeight="false" outlineLevel="0" collapsed="false">
      <c r="A224" s="252" t="n">
        <v>43368</v>
      </c>
      <c r="B224" s="230" t="s">
        <v>898</v>
      </c>
      <c r="C224" s="231" t="s">
        <v>624</v>
      </c>
      <c r="D224" s="250"/>
      <c r="E224" s="259" t="n">
        <v>1315000</v>
      </c>
      <c r="F224" s="132" t="n">
        <f aca="false">F223-E224</f>
        <v>233774273</v>
      </c>
    </row>
    <row r="225" customFormat="false" ht="46.25" hidden="false" customHeight="false" outlineLevel="0" collapsed="false">
      <c r="A225" s="252" t="n">
        <v>43368</v>
      </c>
      <c r="B225" s="230" t="s">
        <v>900</v>
      </c>
      <c r="C225" s="239" t="s">
        <v>901</v>
      </c>
      <c r="D225" s="250"/>
      <c r="E225" s="259" t="n">
        <v>570000</v>
      </c>
      <c r="F225" s="132" t="n">
        <f aca="false">F224-E225</f>
        <v>233204273</v>
      </c>
    </row>
    <row r="226" customFormat="false" ht="35.05" hidden="false" customHeight="false" outlineLevel="0" collapsed="false">
      <c r="A226" s="252" t="n">
        <v>43368</v>
      </c>
      <c r="B226" s="230" t="s">
        <v>902</v>
      </c>
      <c r="C226" s="239" t="s">
        <v>903</v>
      </c>
      <c r="D226" s="250"/>
      <c r="E226" s="259" t="n">
        <v>700000</v>
      </c>
      <c r="F226" s="132" t="n">
        <f aca="false">F225-E226</f>
        <v>232504273</v>
      </c>
    </row>
    <row r="227" customFormat="false" ht="35.05" hidden="false" customHeight="false" outlineLevel="0" collapsed="false">
      <c r="A227" s="252" t="n">
        <v>43368</v>
      </c>
      <c r="B227" s="230" t="s">
        <v>902</v>
      </c>
      <c r="C227" s="239" t="s">
        <v>904</v>
      </c>
      <c r="D227" s="250"/>
      <c r="E227" s="259" t="n">
        <v>100000</v>
      </c>
      <c r="F227" s="132" t="n">
        <f aca="false">F226-E227</f>
        <v>232404273</v>
      </c>
    </row>
    <row r="228" customFormat="false" ht="35.05" hidden="false" customHeight="false" outlineLevel="0" collapsed="false">
      <c r="A228" s="252" t="n">
        <v>43368</v>
      </c>
      <c r="B228" s="230" t="s">
        <v>902</v>
      </c>
      <c r="C228" s="231" t="s">
        <v>624</v>
      </c>
      <c r="D228" s="250"/>
      <c r="E228" s="259" t="n">
        <v>2600000</v>
      </c>
      <c r="F228" s="132" t="n">
        <f aca="false">F227-E228</f>
        <v>229804273</v>
      </c>
    </row>
    <row r="229" customFormat="false" ht="35.05" hidden="false" customHeight="false" outlineLevel="0" collapsed="false">
      <c r="A229" s="252" t="n">
        <v>43368</v>
      </c>
      <c r="B229" s="230" t="s">
        <v>905</v>
      </c>
      <c r="C229" s="239" t="s">
        <v>906</v>
      </c>
      <c r="D229" s="250"/>
      <c r="E229" s="259" t="n">
        <v>700000</v>
      </c>
      <c r="F229" s="132" t="n">
        <f aca="false">F228-E229</f>
        <v>229104273</v>
      </c>
    </row>
    <row r="230" customFormat="false" ht="35.05" hidden="false" customHeight="false" outlineLevel="0" collapsed="false">
      <c r="A230" s="252" t="n">
        <v>43368</v>
      </c>
      <c r="B230" s="230" t="s">
        <v>905</v>
      </c>
      <c r="C230" s="231" t="s">
        <v>624</v>
      </c>
      <c r="D230" s="250"/>
      <c r="E230" s="259" t="n">
        <v>2600000</v>
      </c>
      <c r="F230" s="132" t="n">
        <f aca="false">F229-E230</f>
        <v>226504273</v>
      </c>
    </row>
    <row r="231" customFormat="false" ht="35.05" hidden="false" customHeight="false" outlineLevel="0" collapsed="false">
      <c r="A231" s="252" t="n">
        <v>43368</v>
      </c>
      <c r="B231" s="230" t="s">
        <v>905</v>
      </c>
      <c r="C231" s="239" t="s">
        <v>907</v>
      </c>
      <c r="D231" s="250"/>
      <c r="E231" s="259" t="n">
        <v>100000</v>
      </c>
      <c r="F231" s="132" t="n">
        <f aca="false">F230-E231</f>
        <v>226404273</v>
      </c>
    </row>
    <row r="232" customFormat="false" ht="46.25" hidden="false" customHeight="false" outlineLevel="0" collapsed="false">
      <c r="A232" s="252" t="n">
        <v>43368</v>
      </c>
      <c r="B232" s="230" t="s">
        <v>908</v>
      </c>
      <c r="C232" s="231" t="s">
        <v>624</v>
      </c>
      <c r="D232" s="250"/>
      <c r="E232" s="259" t="n">
        <v>880000</v>
      </c>
      <c r="F232" s="132" t="n">
        <f aca="false">F231-E232</f>
        <v>225524273</v>
      </c>
    </row>
    <row r="233" customFormat="false" ht="46.25" hidden="false" customHeight="false" outlineLevel="0" collapsed="false">
      <c r="A233" s="252" t="n">
        <v>43368</v>
      </c>
      <c r="B233" s="230" t="s">
        <v>909</v>
      </c>
      <c r="C233" s="231" t="s">
        <v>624</v>
      </c>
      <c r="D233" s="250"/>
      <c r="E233" s="259" t="n">
        <v>1285000</v>
      </c>
      <c r="F233" s="132" t="n">
        <f aca="false">F232-E233</f>
        <v>224239273</v>
      </c>
    </row>
    <row r="234" customFormat="false" ht="46.25" hidden="false" customHeight="false" outlineLevel="0" collapsed="false">
      <c r="A234" s="252" t="n">
        <v>43368</v>
      </c>
      <c r="B234" s="230" t="s">
        <v>900</v>
      </c>
      <c r="C234" s="231" t="s">
        <v>624</v>
      </c>
      <c r="D234" s="250"/>
      <c r="E234" s="259" t="n">
        <v>1740000</v>
      </c>
      <c r="F234" s="132" t="n">
        <f aca="false">F233-E234</f>
        <v>222499273</v>
      </c>
    </row>
    <row r="235" customFormat="false" ht="15" hidden="false" customHeight="false" outlineLevel="0" collapsed="false">
      <c r="A235" s="252" t="n">
        <v>43373</v>
      </c>
      <c r="B235" s="240" t="s">
        <v>651</v>
      </c>
      <c r="C235" s="241" t="s">
        <v>652</v>
      </c>
      <c r="D235" s="250" t="n">
        <v>580000</v>
      </c>
      <c r="E235" s="259"/>
      <c r="F235" s="132" t="n">
        <f aca="false">F234+D235</f>
        <v>223079273</v>
      </c>
    </row>
    <row r="236" customFormat="false" ht="15" hidden="false" customHeight="false" outlineLevel="0" collapsed="false">
      <c r="A236" s="252" t="n">
        <v>43373</v>
      </c>
      <c r="B236" s="240" t="s">
        <v>910</v>
      </c>
      <c r="C236" s="241" t="s">
        <v>652</v>
      </c>
      <c r="D236" s="250" t="n">
        <v>17989000</v>
      </c>
      <c r="E236" s="259"/>
      <c r="F236" s="132" t="n">
        <f aca="false">F235+D236</f>
        <v>241068273</v>
      </c>
    </row>
    <row r="237" customFormat="false" ht="57.45" hidden="false" customHeight="false" outlineLevel="0" collapsed="false">
      <c r="A237" s="252" t="n">
        <v>43374</v>
      </c>
      <c r="B237" s="230" t="s">
        <v>911</v>
      </c>
      <c r="C237" s="231" t="s">
        <v>912</v>
      </c>
      <c r="D237" s="250"/>
      <c r="E237" s="259" t="n">
        <v>20345664</v>
      </c>
      <c r="F237" s="132" t="n">
        <f aca="false">F236-E237</f>
        <v>220722609</v>
      </c>
    </row>
    <row r="238" customFormat="false" ht="15" hidden="false" customHeight="false" outlineLevel="0" collapsed="false">
      <c r="A238" s="252" t="n">
        <v>43374</v>
      </c>
      <c r="B238" s="236" t="s">
        <v>732</v>
      </c>
      <c r="C238" s="258" t="s">
        <v>913</v>
      </c>
      <c r="D238" s="250"/>
      <c r="E238" s="259" t="n">
        <v>366676</v>
      </c>
      <c r="F238" s="132" t="n">
        <f aca="false">F237-E238</f>
        <v>220355933</v>
      </c>
    </row>
    <row r="239" customFormat="false" ht="23.85" hidden="false" customHeight="false" outlineLevel="0" collapsed="false">
      <c r="A239" s="252" t="n">
        <v>43374</v>
      </c>
      <c r="B239" s="234" t="s">
        <v>914</v>
      </c>
      <c r="C239" s="231" t="s">
        <v>624</v>
      </c>
      <c r="D239" s="245"/>
      <c r="E239" s="251" t="n">
        <v>405000</v>
      </c>
      <c r="F239" s="132" t="n">
        <f aca="false">F238-E239</f>
        <v>219950933</v>
      </c>
    </row>
    <row r="240" customFormat="false" ht="23.85" hidden="false" customHeight="false" outlineLevel="0" collapsed="false">
      <c r="A240" s="252" t="n">
        <v>43377</v>
      </c>
      <c r="B240" s="230" t="s">
        <v>915</v>
      </c>
      <c r="C240" s="258" t="s">
        <v>916</v>
      </c>
      <c r="D240" s="250"/>
      <c r="E240" s="259" t="n">
        <v>2273040</v>
      </c>
      <c r="F240" s="132" t="n">
        <f aca="false">F239-E240</f>
        <v>217677893</v>
      </c>
    </row>
    <row r="241" customFormat="false" ht="35.05" hidden="false" customHeight="false" outlineLevel="0" collapsed="false">
      <c r="A241" s="252" t="n">
        <v>43377</v>
      </c>
      <c r="B241" s="237" t="s">
        <v>774</v>
      </c>
      <c r="C241" s="231" t="s">
        <v>624</v>
      </c>
      <c r="D241" s="245"/>
      <c r="E241" s="251" t="n">
        <v>18000</v>
      </c>
      <c r="F241" s="132" t="n">
        <f aca="false">F240-E241</f>
        <v>217659893</v>
      </c>
    </row>
    <row r="242" customFormat="false" ht="15" hidden="false" customHeight="false" outlineLevel="0" collapsed="false">
      <c r="A242" s="252" t="n">
        <v>43382</v>
      </c>
      <c r="B242" s="243" t="s">
        <v>917</v>
      </c>
      <c r="C242" s="239" t="s">
        <v>918</v>
      </c>
      <c r="D242" s="256"/>
      <c r="E242" s="259" t="n">
        <v>79103</v>
      </c>
      <c r="F242" s="132" t="n">
        <f aca="false">F241-E242</f>
        <v>217580790</v>
      </c>
    </row>
    <row r="243" customFormat="false" ht="15" hidden="false" customHeight="false" outlineLevel="0" collapsed="false">
      <c r="A243" s="252" t="n">
        <v>43382</v>
      </c>
      <c r="B243" s="243" t="s">
        <v>657</v>
      </c>
      <c r="C243" s="239" t="s">
        <v>658</v>
      </c>
      <c r="D243" s="256"/>
      <c r="E243" s="259" t="n">
        <v>5500</v>
      </c>
      <c r="F243" s="132" t="n">
        <f aca="false">F242-E243</f>
        <v>217575290</v>
      </c>
    </row>
    <row r="244" customFormat="false" ht="15" hidden="false" customHeight="false" outlineLevel="0" collapsed="false">
      <c r="A244" s="252" t="n">
        <v>43384</v>
      </c>
      <c r="B244" s="236" t="s">
        <v>919</v>
      </c>
      <c r="C244" s="231" t="s">
        <v>624</v>
      </c>
      <c r="D244" s="256"/>
      <c r="E244" s="259" t="n">
        <v>685768</v>
      </c>
      <c r="F244" s="132" t="n">
        <f aca="false">F243-E244</f>
        <v>216889522</v>
      </c>
    </row>
    <row r="245" customFormat="false" ht="35.05" hidden="false" customHeight="false" outlineLevel="0" collapsed="false">
      <c r="A245" s="252" t="n">
        <v>43384</v>
      </c>
      <c r="B245" s="230" t="s">
        <v>920</v>
      </c>
      <c r="C245" s="231" t="s">
        <v>624</v>
      </c>
      <c r="D245" s="250"/>
      <c r="E245" s="259" t="n">
        <v>288000</v>
      </c>
      <c r="F245" s="132" t="n">
        <f aca="false">F244-E245</f>
        <v>216601522</v>
      </c>
    </row>
    <row r="246" customFormat="false" ht="35.05" hidden="false" customHeight="false" outlineLevel="0" collapsed="false">
      <c r="A246" s="252" t="n">
        <v>43384</v>
      </c>
      <c r="B246" s="230" t="s">
        <v>921</v>
      </c>
      <c r="C246" s="239" t="s">
        <v>922</v>
      </c>
      <c r="D246" s="250"/>
      <c r="E246" s="259" t="n">
        <v>2500000</v>
      </c>
      <c r="F246" s="132" t="n">
        <f aca="false">F245-E246</f>
        <v>214101522</v>
      </c>
    </row>
    <row r="247" customFormat="false" ht="35.05" hidden="false" customHeight="false" outlineLevel="0" collapsed="false">
      <c r="A247" s="252" t="n">
        <v>43395</v>
      </c>
      <c r="B247" s="230" t="s">
        <v>781</v>
      </c>
      <c r="C247" s="239" t="s">
        <v>923</v>
      </c>
      <c r="D247" s="250"/>
      <c r="E247" s="259" t="n">
        <v>118118</v>
      </c>
      <c r="F247" s="132" t="n">
        <f aca="false">F246-E247</f>
        <v>213983404</v>
      </c>
    </row>
    <row r="248" customFormat="false" ht="23.85" hidden="false" customHeight="false" outlineLevel="0" collapsed="false">
      <c r="A248" s="252" t="n">
        <v>43395</v>
      </c>
      <c r="B248" s="230" t="s">
        <v>895</v>
      </c>
      <c r="C248" s="231" t="s">
        <v>624</v>
      </c>
      <c r="D248" s="250"/>
      <c r="E248" s="259" t="n">
        <v>75000</v>
      </c>
      <c r="F248" s="132" t="n">
        <f aca="false">F247-E248</f>
        <v>213908404</v>
      </c>
    </row>
    <row r="249" customFormat="false" ht="23.85" hidden="false" customHeight="false" outlineLevel="0" collapsed="false">
      <c r="A249" s="252" t="n">
        <v>43395</v>
      </c>
      <c r="B249" s="230" t="s">
        <v>882</v>
      </c>
      <c r="C249" s="231" t="s">
        <v>624</v>
      </c>
      <c r="D249" s="250"/>
      <c r="E249" s="259" t="n">
        <v>56000</v>
      </c>
      <c r="F249" s="132" t="n">
        <f aca="false">F248-E249</f>
        <v>213852404</v>
      </c>
    </row>
    <row r="250" customFormat="false" ht="79.85" hidden="false" customHeight="false" outlineLevel="0" collapsed="false">
      <c r="A250" s="252" t="n">
        <v>43404</v>
      </c>
      <c r="B250" s="230" t="s">
        <v>924</v>
      </c>
      <c r="C250" s="231" t="s">
        <v>624</v>
      </c>
      <c r="D250" s="250"/>
      <c r="E250" s="259" t="n">
        <v>945000</v>
      </c>
      <c r="F250" s="132" t="n">
        <f aca="false">F249-E250</f>
        <v>212907404</v>
      </c>
    </row>
    <row r="251" customFormat="false" ht="46.25" hidden="false" customHeight="false" outlineLevel="0" collapsed="false">
      <c r="A251" s="252" t="n">
        <v>43397</v>
      </c>
      <c r="B251" s="230" t="s">
        <v>925</v>
      </c>
      <c r="C251" s="239" t="s">
        <v>926</v>
      </c>
      <c r="D251" s="250"/>
      <c r="E251" s="259" t="n">
        <v>8000000</v>
      </c>
      <c r="F251" s="132" t="n">
        <f aca="false">F250-E251</f>
        <v>204907404</v>
      </c>
    </row>
    <row r="252" customFormat="false" ht="15" hidden="false" customHeight="false" outlineLevel="0" collapsed="false">
      <c r="A252" s="252" t="n">
        <v>43404</v>
      </c>
      <c r="B252" s="240" t="s">
        <v>651</v>
      </c>
      <c r="C252" s="241" t="s">
        <v>652</v>
      </c>
      <c r="D252" s="250" t="n">
        <v>800000</v>
      </c>
      <c r="E252" s="259"/>
      <c r="F252" s="132" t="n">
        <f aca="false">F251+D252</f>
        <v>205707404</v>
      </c>
    </row>
    <row r="253" customFormat="false" ht="15" hidden="false" customHeight="false" outlineLevel="0" collapsed="false">
      <c r="A253" s="252" t="n">
        <v>43404</v>
      </c>
      <c r="B253" s="240" t="s">
        <v>927</v>
      </c>
      <c r="C253" s="241" t="s">
        <v>652</v>
      </c>
      <c r="D253" s="250" t="n">
        <v>29143550</v>
      </c>
      <c r="E253" s="259"/>
      <c r="F253" s="132" t="n">
        <f aca="false">F252+D253</f>
        <v>234850954</v>
      </c>
    </row>
    <row r="254" customFormat="false" ht="46.25" hidden="false" customHeight="false" outlineLevel="0" collapsed="false">
      <c r="A254" s="252" t="n">
        <v>43420</v>
      </c>
      <c r="B254" s="230" t="s">
        <v>928</v>
      </c>
      <c r="C254" s="258" t="s">
        <v>929</v>
      </c>
      <c r="D254" s="250"/>
      <c r="E254" s="259" t="n">
        <v>93000</v>
      </c>
      <c r="F254" s="132" t="n">
        <f aca="false">F253-E254</f>
        <v>234757954</v>
      </c>
    </row>
    <row r="255" customFormat="false" ht="35.05" hidden="false" customHeight="false" outlineLevel="0" collapsed="false">
      <c r="A255" s="252" t="n">
        <v>43409</v>
      </c>
      <c r="B255" s="230" t="s">
        <v>930</v>
      </c>
      <c r="C255" s="258" t="s">
        <v>931</v>
      </c>
      <c r="D255" s="250"/>
      <c r="E255" s="259" t="n">
        <v>1635000</v>
      </c>
      <c r="F255" s="132" t="n">
        <f aca="false">F254-E255</f>
        <v>233122954</v>
      </c>
    </row>
    <row r="256" customFormat="false" ht="57.45" hidden="false" customHeight="false" outlineLevel="0" collapsed="false">
      <c r="A256" s="252" t="n">
        <v>43409</v>
      </c>
      <c r="B256" s="230" t="s">
        <v>932</v>
      </c>
      <c r="C256" s="258" t="s">
        <v>933</v>
      </c>
      <c r="D256" s="250"/>
      <c r="E256" s="259" t="n">
        <v>3977500</v>
      </c>
      <c r="F256" s="132" t="n">
        <f aca="false">F255-E256</f>
        <v>229145454</v>
      </c>
    </row>
    <row r="257" customFormat="false" ht="15" hidden="false" customHeight="false" outlineLevel="0" collapsed="false">
      <c r="A257" s="252" t="n">
        <v>43410</v>
      </c>
      <c r="B257" s="237" t="s">
        <v>934</v>
      </c>
      <c r="C257" s="231" t="s">
        <v>652</v>
      </c>
      <c r="D257" s="250" t="n">
        <v>180000</v>
      </c>
      <c r="E257" s="259"/>
      <c r="F257" s="132" t="n">
        <f aca="false">F256+D257</f>
        <v>229325454</v>
      </c>
    </row>
    <row r="258" customFormat="false" ht="46.25" hidden="false" customHeight="false" outlineLevel="0" collapsed="false">
      <c r="A258" s="252" t="n">
        <v>43411</v>
      </c>
      <c r="B258" s="237" t="s">
        <v>935</v>
      </c>
      <c r="C258" s="258" t="s">
        <v>936</v>
      </c>
      <c r="D258" s="250"/>
      <c r="E258" s="259" t="n">
        <v>74850</v>
      </c>
      <c r="F258" s="132" t="n">
        <f aca="false">F257-E258</f>
        <v>229250604</v>
      </c>
    </row>
    <row r="259" customFormat="false" ht="35.05" hidden="false" customHeight="false" outlineLevel="0" collapsed="false">
      <c r="A259" s="252" t="n">
        <v>43406</v>
      </c>
      <c r="B259" s="230" t="s">
        <v>781</v>
      </c>
      <c r="C259" s="239" t="s">
        <v>937</v>
      </c>
      <c r="D259" s="250"/>
      <c r="E259" s="259" t="n">
        <v>118118</v>
      </c>
      <c r="F259" s="132" t="n">
        <f aca="false">F258-E259</f>
        <v>229132486</v>
      </c>
    </row>
    <row r="260" customFormat="false" ht="35.05" hidden="false" customHeight="false" outlineLevel="0" collapsed="false">
      <c r="A260" s="252" t="n">
        <v>43406</v>
      </c>
      <c r="B260" s="230" t="s">
        <v>938</v>
      </c>
      <c r="C260" s="258" t="s">
        <v>939</v>
      </c>
      <c r="D260" s="245"/>
      <c r="E260" s="251" t="n">
        <v>93000</v>
      </c>
      <c r="F260" s="132" t="n">
        <f aca="false">F259-E260</f>
        <v>229039486</v>
      </c>
    </row>
    <row r="261" customFormat="false" ht="35.05" hidden="false" customHeight="false" outlineLevel="0" collapsed="false">
      <c r="A261" s="252" t="n">
        <v>43409</v>
      </c>
      <c r="B261" s="230" t="s">
        <v>940</v>
      </c>
      <c r="C261" s="258" t="s">
        <v>941</v>
      </c>
      <c r="D261" s="250"/>
      <c r="E261" s="259" t="n">
        <v>1940000</v>
      </c>
      <c r="F261" s="132" t="n">
        <f aca="false">F260-E261</f>
        <v>227099486</v>
      </c>
    </row>
    <row r="262" customFormat="false" ht="15" hidden="false" customHeight="false" outlineLevel="0" collapsed="false">
      <c r="A262" s="252" t="n">
        <v>43412</v>
      </c>
      <c r="B262" s="243" t="s">
        <v>942</v>
      </c>
      <c r="C262" s="239" t="s">
        <v>943</v>
      </c>
      <c r="D262" s="256"/>
      <c r="E262" s="259" t="n">
        <v>79103</v>
      </c>
      <c r="F262" s="132" t="n">
        <f aca="false">F261-E262</f>
        <v>227020383</v>
      </c>
    </row>
    <row r="263" customFormat="false" ht="15" hidden="false" customHeight="false" outlineLevel="0" collapsed="false">
      <c r="A263" s="252" t="n">
        <v>43412</v>
      </c>
      <c r="B263" s="243" t="s">
        <v>657</v>
      </c>
      <c r="C263" s="239" t="s">
        <v>658</v>
      </c>
      <c r="D263" s="256"/>
      <c r="E263" s="259" t="n">
        <v>5500</v>
      </c>
      <c r="F263" s="132" t="n">
        <f aca="false">F262-E263</f>
        <v>227014883</v>
      </c>
    </row>
    <row r="264" customFormat="false" ht="46.25" hidden="false" customHeight="false" outlineLevel="0" collapsed="false">
      <c r="A264" s="252" t="n">
        <v>43384</v>
      </c>
      <c r="B264" s="230" t="s">
        <v>944</v>
      </c>
      <c r="C264" s="231" t="s">
        <v>624</v>
      </c>
      <c r="D264" s="250"/>
      <c r="E264" s="259" t="n">
        <v>520000</v>
      </c>
      <c r="F264" s="132" t="n">
        <f aca="false">F263-E264</f>
        <v>226494883</v>
      </c>
    </row>
    <row r="265" customFormat="false" ht="15" hidden="false" customHeight="false" outlineLevel="0" collapsed="false">
      <c r="A265" s="252" t="n">
        <v>43417</v>
      </c>
      <c r="B265" s="236" t="s">
        <v>945</v>
      </c>
      <c r="C265" s="231" t="s">
        <v>624</v>
      </c>
      <c r="D265" s="256"/>
      <c r="E265" s="259" t="n">
        <v>685768</v>
      </c>
      <c r="F265" s="132" t="n">
        <f aca="false">F264-E265</f>
        <v>225809115</v>
      </c>
    </row>
    <row r="266" customFormat="false" ht="35.05" hidden="false" customHeight="false" outlineLevel="0" collapsed="false">
      <c r="A266" s="252" t="n">
        <v>43426</v>
      </c>
      <c r="B266" s="230" t="s">
        <v>946</v>
      </c>
      <c r="C266" s="231" t="s">
        <v>624</v>
      </c>
      <c r="D266" s="250"/>
      <c r="E266" s="259" t="n">
        <v>19503000</v>
      </c>
      <c r="F266" s="132" t="n">
        <f aca="false">F265-E266</f>
        <v>206306115</v>
      </c>
    </row>
    <row r="267" customFormat="false" ht="35.05" hidden="false" customHeight="false" outlineLevel="0" collapsed="false">
      <c r="A267" s="252" t="n">
        <v>43426</v>
      </c>
      <c r="B267" s="230" t="s">
        <v>947</v>
      </c>
      <c r="C267" s="258" t="s">
        <v>948</v>
      </c>
      <c r="D267" s="250"/>
      <c r="E267" s="259" t="n">
        <v>5142220</v>
      </c>
      <c r="F267" s="132" t="n">
        <f aca="false">F266-E267</f>
        <v>201163895</v>
      </c>
    </row>
    <row r="268" customFormat="false" ht="35.05" hidden="false" customHeight="false" outlineLevel="0" collapsed="false">
      <c r="A268" s="252" t="n">
        <v>43426</v>
      </c>
      <c r="B268" s="230" t="s">
        <v>949</v>
      </c>
      <c r="C268" s="258" t="s">
        <v>950</v>
      </c>
      <c r="D268" s="250"/>
      <c r="E268" s="259" t="n">
        <v>3244200</v>
      </c>
      <c r="F268" s="132" t="n">
        <f aca="false">F267-E268</f>
        <v>197919695</v>
      </c>
    </row>
    <row r="269" customFormat="false" ht="46.25" hidden="false" customHeight="false" outlineLevel="0" collapsed="false">
      <c r="A269" s="252" t="n">
        <v>43433</v>
      </c>
      <c r="B269" s="230" t="s">
        <v>951</v>
      </c>
      <c r="C269" s="231" t="s">
        <v>624</v>
      </c>
      <c r="D269" s="250"/>
      <c r="E269" s="259" t="n">
        <v>2800000</v>
      </c>
      <c r="F269" s="132" t="n">
        <f aca="false">F268-E269</f>
        <v>195119695</v>
      </c>
    </row>
    <row r="270" customFormat="false" ht="35.05" hidden="false" customHeight="false" outlineLevel="0" collapsed="false">
      <c r="A270" s="252" t="n">
        <v>43433</v>
      </c>
      <c r="B270" s="230" t="s">
        <v>952</v>
      </c>
      <c r="C270" s="258" t="s">
        <v>953</v>
      </c>
      <c r="D270" s="250"/>
      <c r="E270" s="259" t="n">
        <v>310000</v>
      </c>
      <c r="F270" s="132" t="n">
        <f aca="false">F269-E270</f>
        <v>194809695</v>
      </c>
    </row>
    <row r="271" customFormat="false" ht="23.85" hidden="false" customHeight="false" outlineLevel="0" collapsed="false">
      <c r="A271" s="252" t="s">
        <v>954</v>
      </c>
      <c r="B271" s="230" t="s">
        <v>955</v>
      </c>
      <c r="C271" s="258" t="s">
        <v>956</v>
      </c>
      <c r="D271" s="250"/>
      <c r="E271" s="259" t="n">
        <v>121000</v>
      </c>
      <c r="F271" s="132" t="n">
        <f aca="false">F270-E271</f>
        <v>194688695</v>
      </c>
    </row>
    <row r="272" customFormat="false" ht="15" hidden="false" customHeight="false" outlineLevel="0" collapsed="false">
      <c r="A272" s="252" t="n">
        <v>43434</v>
      </c>
      <c r="B272" s="240" t="s">
        <v>651</v>
      </c>
      <c r="C272" s="241" t="s">
        <v>652</v>
      </c>
      <c r="D272" s="250" t="n">
        <v>1040000</v>
      </c>
      <c r="E272" s="259"/>
      <c r="F272" s="132" t="n">
        <f aca="false">F271+D272</f>
        <v>195728695</v>
      </c>
    </row>
    <row r="273" customFormat="false" ht="15" hidden="false" customHeight="false" outlineLevel="0" collapsed="false">
      <c r="A273" s="252" t="n">
        <v>43434</v>
      </c>
      <c r="B273" s="240" t="s">
        <v>957</v>
      </c>
      <c r="C273" s="241" t="s">
        <v>652</v>
      </c>
      <c r="D273" s="250" t="n">
        <v>14205000</v>
      </c>
      <c r="E273" s="259"/>
      <c r="F273" s="132" t="n">
        <f aca="false">F272+D273</f>
        <v>209933695</v>
      </c>
    </row>
    <row r="274" customFormat="false" ht="46.25" hidden="false" customHeight="false" outlineLevel="0" collapsed="false">
      <c r="A274" s="252" t="n">
        <v>43437</v>
      </c>
      <c r="B274" s="230" t="s">
        <v>958</v>
      </c>
      <c r="C274" s="231" t="s">
        <v>624</v>
      </c>
      <c r="D274" s="250"/>
      <c r="E274" s="259" t="n">
        <v>1820000</v>
      </c>
      <c r="F274" s="132" t="n">
        <f aca="false">F273-E274</f>
        <v>208113695</v>
      </c>
    </row>
    <row r="275" customFormat="false" ht="15" hidden="false" customHeight="false" outlineLevel="0" collapsed="false">
      <c r="A275" s="252" t="n">
        <v>43437</v>
      </c>
      <c r="B275" s="236" t="s">
        <v>732</v>
      </c>
      <c r="C275" s="258" t="s">
        <v>959</v>
      </c>
      <c r="D275" s="250"/>
      <c r="E275" s="259" t="n">
        <v>366676</v>
      </c>
      <c r="F275" s="132" t="n">
        <f aca="false">F274-E275</f>
        <v>207747019</v>
      </c>
    </row>
    <row r="276" customFormat="false" ht="15" hidden="false" customHeight="false" outlineLevel="0" collapsed="false">
      <c r="A276" s="252" t="n">
        <v>43437</v>
      </c>
      <c r="B276" s="236" t="s">
        <v>732</v>
      </c>
      <c r="C276" s="258" t="s">
        <v>960</v>
      </c>
      <c r="D276" s="250"/>
      <c r="E276" s="259" t="n">
        <v>114154</v>
      </c>
      <c r="F276" s="132" t="n">
        <f aca="false">F275-E276</f>
        <v>207632865</v>
      </c>
    </row>
    <row r="277" customFormat="false" ht="35.05" hidden="false" customHeight="false" outlineLevel="0" collapsed="false">
      <c r="A277" s="252" t="n">
        <v>43437</v>
      </c>
      <c r="B277" s="230" t="s">
        <v>781</v>
      </c>
      <c r="C277" s="239" t="s">
        <v>961</v>
      </c>
      <c r="D277" s="250"/>
      <c r="E277" s="259" t="n">
        <v>118118</v>
      </c>
      <c r="F277" s="132" t="n">
        <f aca="false">F276-E277</f>
        <v>207514747</v>
      </c>
    </row>
    <row r="278" customFormat="false" ht="35.05" hidden="false" customHeight="false" outlineLevel="0" collapsed="false">
      <c r="A278" s="252" t="n">
        <v>43407</v>
      </c>
      <c r="B278" s="237" t="s">
        <v>774</v>
      </c>
      <c r="C278" s="231" t="s">
        <v>624</v>
      </c>
      <c r="D278" s="245"/>
      <c r="E278" s="263" t="n">
        <v>19500</v>
      </c>
      <c r="F278" s="132" t="n">
        <f aca="false">F277-E278</f>
        <v>207495247</v>
      </c>
    </row>
    <row r="279" customFormat="false" ht="23.85" hidden="false" customHeight="false" outlineLevel="0" collapsed="false">
      <c r="A279" s="252" t="s">
        <v>962</v>
      </c>
      <c r="B279" s="234" t="s">
        <v>963</v>
      </c>
      <c r="C279" s="231" t="s">
        <v>624</v>
      </c>
      <c r="D279" s="245"/>
      <c r="E279" s="245" t="n">
        <v>405000</v>
      </c>
      <c r="F279" s="132" t="n">
        <f aca="false">F278-E279</f>
        <v>207090247</v>
      </c>
    </row>
    <row r="280" customFormat="false" ht="15" hidden="false" customHeight="false" outlineLevel="0" collapsed="false">
      <c r="A280" s="252" t="n">
        <v>43438</v>
      </c>
      <c r="B280" s="236" t="s">
        <v>964</v>
      </c>
      <c r="C280" s="231" t="s">
        <v>624</v>
      </c>
      <c r="D280" s="264"/>
      <c r="E280" s="265" t="n">
        <v>3955000</v>
      </c>
      <c r="F280" s="132" t="n">
        <f aca="false">F279-E280</f>
        <v>203135247</v>
      </c>
    </row>
    <row r="281" customFormat="false" ht="35.05" hidden="false" customHeight="false" outlineLevel="0" collapsed="false">
      <c r="A281" s="252" t="n">
        <v>43438</v>
      </c>
      <c r="B281" s="230" t="s">
        <v>965</v>
      </c>
      <c r="C281" s="231" t="s">
        <v>624</v>
      </c>
      <c r="D281" s="245"/>
      <c r="E281" s="263" t="n">
        <v>14902000</v>
      </c>
      <c r="F281" s="132" t="n">
        <f aca="false">F280-E281</f>
        <v>188233247</v>
      </c>
    </row>
    <row r="282" customFormat="false" ht="35.05" hidden="false" customHeight="false" outlineLevel="0" collapsed="false">
      <c r="A282" s="252" t="n">
        <v>43440</v>
      </c>
      <c r="B282" s="230" t="s">
        <v>966</v>
      </c>
      <c r="C282" s="231" t="s">
        <v>624</v>
      </c>
      <c r="D282" s="245"/>
      <c r="E282" s="263" t="n">
        <v>2200000</v>
      </c>
      <c r="F282" s="132" t="n">
        <f aca="false">F281-E282</f>
        <v>186033247</v>
      </c>
    </row>
    <row r="283" customFormat="false" ht="46.25" hidden="false" customHeight="false" outlineLevel="0" collapsed="false">
      <c r="A283" s="252" t="n">
        <v>43440</v>
      </c>
      <c r="B283" s="230" t="s">
        <v>967</v>
      </c>
      <c r="C283" s="231" t="s">
        <v>968</v>
      </c>
      <c r="D283" s="245"/>
      <c r="E283" s="263" t="n">
        <v>1500000</v>
      </c>
      <c r="F283" s="132" t="n">
        <f aca="false">F282-E283</f>
        <v>184533247</v>
      </c>
    </row>
    <row r="284" customFormat="false" ht="35.05" hidden="false" customHeight="false" outlineLevel="0" collapsed="false">
      <c r="A284" s="252" t="n">
        <v>43440</v>
      </c>
      <c r="B284" s="230" t="s">
        <v>969</v>
      </c>
      <c r="C284" s="231" t="s">
        <v>970</v>
      </c>
      <c r="D284" s="245"/>
      <c r="E284" s="263" t="n">
        <v>80000</v>
      </c>
      <c r="F284" s="132" t="n">
        <f aca="false">F283-E284</f>
        <v>184453247</v>
      </c>
    </row>
    <row r="285" customFormat="false" ht="35.05" hidden="false" customHeight="false" outlineLevel="0" collapsed="false">
      <c r="A285" s="252" t="n">
        <v>43440</v>
      </c>
      <c r="B285" s="230" t="s">
        <v>971</v>
      </c>
      <c r="C285" s="231" t="s">
        <v>624</v>
      </c>
      <c r="D285" s="245"/>
      <c r="E285" s="263" t="n">
        <v>910000</v>
      </c>
      <c r="F285" s="132" t="n">
        <f aca="false">F284-E285</f>
        <v>183543247</v>
      </c>
    </row>
    <row r="286" customFormat="false" ht="35.05" hidden="false" customHeight="false" outlineLevel="0" collapsed="false">
      <c r="A286" s="252" t="n">
        <v>43440</v>
      </c>
      <c r="B286" s="230" t="s">
        <v>946</v>
      </c>
      <c r="C286" s="231" t="s">
        <v>624</v>
      </c>
      <c r="D286" s="250"/>
      <c r="E286" s="259" t="n">
        <v>1090000</v>
      </c>
      <c r="F286" s="132" t="n">
        <f aca="false">F285-E286</f>
        <v>182453247</v>
      </c>
    </row>
    <row r="287" customFormat="false" ht="35.05" hidden="false" customHeight="false" outlineLevel="0" collapsed="false">
      <c r="A287" s="252" t="n">
        <v>43441</v>
      </c>
      <c r="B287" s="230" t="s">
        <v>972</v>
      </c>
      <c r="C287" s="231" t="s">
        <v>973</v>
      </c>
      <c r="D287" s="256"/>
      <c r="E287" s="259" t="n">
        <v>700000</v>
      </c>
      <c r="F287" s="132" t="n">
        <f aca="false">F286-E287</f>
        <v>181753247</v>
      </c>
    </row>
    <row r="288" customFormat="false" ht="35.05" hidden="false" customHeight="false" outlineLevel="0" collapsed="false">
      <c r="A288" s="252" t="n">
        <v>43441</v>
      </c>
      <c r="B288" s="230" t="s">
        <v>972</v>
      </c>
      <c r="C288" s="231" t="s">
        <v>974</v>
      </c>
      <c r="D288" s="250"/>
      <c r="E288" s="259" t="n">
        <v>100000</v>
      </c>
      <c r="F288" s="132" t="n">
        <f aca="false">F287-E288</f>
        <v>181653247</v>
      </c>
    </row>
    <row r="289" customFormat="false" ht="35.05" hidden="false" customHeight="false" outlineLevel="0" collapsed="false">
      <c r="A289" s="252" t="n">
        <v>43441</v>
      </c>
      <c r="B289" s="230" t="s">
        <v>972</v>
      </c>
      <c r="C289" s="231" t="s">
        <v>624</v>
      </c>
      <c r="D289" s="250"/>
      <c r="E289" s="259" t="n">
        <v>2600000</v>
      </c>
      <c r="F289" s="132" t="n">
        <f aca="false">F288-E289</f>
        <v>179053247</v>
      </c>
    </row>
    <row r="290" customFormat="false" ht="15" hidden="false" customHeight="false" outlineLevel="0" collapsed="false">
      <c r="A290" s="252" t="n">
        <v>43444</v>
      </c>
      <c r="B290" s="243" t="s">
        <v>975</v>
      </c>
      <c r="C290" s="239" t="s">
        <v>976</v>
      </c>
      <c r="D290" s="256"/>
      <c r="E290" s="259" t="n">
        <v>79103</v>
      </c>
      <c r="F290" s="132" t="n">
        <f aca="false">F289-E290</f>
        <v>178974144</v>
      </c>
    </row>
    <row r="291" customFormat="false" ht="15" hidden="false" customHeight="false" outlineLevel="0" collapsed="false">
      <c r="A291" s="252" t="n">
        <v>43444</v>
      </c>
      <c r="B291" s="243" t="s">
        <v>657</v>
      </c>
      <c r="C291" s="239" t="s">
        <v>658</v>
      </c>
      <c r="D291" s="256"/>
      <c r="E291" s="259" t="n">
        <v>5500</v>
      </c>
      <c r="F291" s="132" t="n">
        <f aca="false">F290-E291</f>
        <v>178968644</v>
      </c>
    </row>
    <row r="292" customFormat="false" ht="46.25" hidden="false" customHeight="false" outlineLevel="0" collapsed="false">
      <c r="A292" s="252" t="n">
        <v>43452</v>
      </c>
      <c r="B292" s="230" t="s">
        <v>977</v>
      </c>
      <c r="C292" s="231" t="s">
        <v>624</v>
      </c>
      <c r="D292" s="250"/>
      <c r="E292" s="259" t="n">
        <v>104000</v>
      </c>
      <c r="F292" s="132" t="n">
        <f aca="false">F291-E292</f>
        <v>178864644</v>
      </c>
    </row>
    <row r="293" customFormat="false" ht="35.05" hidden="false" customHeight="false" outlineLevel="0" collapsed="false">
      <c r="A293" s="252" t="n">
        <v>43452</v>
      </c>
      <c r="B293" s="230" t="s">
        <v>971</v>
      </c>
      <c r="C293" s="231" t="s">
        <v>624</v>
      </c>
      <c r="D293" s="250"/>
      <c r="E293" s="259" t="n">
        <v>200000</v>
      </c>
      <c r="F293" s="132" t="n">
        <f aca="false">F292-E293</f>
        <v>178664644</v>
      </c>
    </row>
    <row r="294" customFormat="false" ht="15" hidden="false" customHeight="false" outlineLevel="0" collapsed="false">
      <c r="A294" s="252" t="n">
        <v>43452</v>
      </c>
      <c r="B294" s="236" t="s">
        <v>978</v>
      </c>
      <c r="C294" s="231" t="s">
        <v>624</v>
      </c>
      <c r="D294" s="256"/>
      <c r="E294" s="259" t="n">
        <v>685768</v>
      </c>
      <c r="F294" s="132" t="n">
        <f aca="false">F293-E294</f>
        <v>177978876</v>
      </c>
    </row>
    <row r="295" customFormat="false" ht="23.85" hidden="false" customHeight="false" outlineLevel="0" collapsed="false">
      <c r="A295" s="252" t="n">
        <v>43460</v>
      </c>
      <c r="B295" s="230" t="s">
        <v>979</v>
      </c>
      <c r="C295" s="231" t="s">
        <v>980</v>
      </c>
      <c r="D295" s="250"/>
      <c r="E295" s="259" t="n">
        <v>115678</v>
      </c>
      <c r="F295" s="132" t="n">
        <f aca="false">F294-E295</f>
        <v>177863198</v>
      </c>
    </row>
    <row r="296" customFormat="false" ht="15" hidden="false" customHeight="false" outlineLevel="0" collapsed="false">
      <c r="A296" s="252"/>
      <c r="B296" s="230"/>
      <c r="C296" s="231"/>
      <c r="D296" s="250"/>
      <c r="E296" s="259"/>
      <c r="F296" s="145"/>
    </row>
    <row r="297" customFormat="false" ht="15" hidden="false" customHeight="false" outlineLevel="0" collapsed="false">
      <c r="A297" s="252"/>
      <c r="B297" s="230"/>
      <c r="C297" s="231"/>
      <c r="D297" s="250"/>
      <c r="E297" s="259"/>
      <c r="F297" s="145"/>
    </row>
    <row r="298" customFormat="false" ht="15" hidden="false" customHeight="false" outlineLevel="0" collapsed="false">
      <c r="A298" s="252"/>
      <c r="B298" s="230"/>
      <c r="C298" s="231"/>
      <c r="D298" s="250"/>
      <c r="E298" s="259"/>
      <c r="F298" s="145"/>
    </row>
    <row r="299" customFormat="false" ht="15" hidden="false" customHeight="false" outlineLevel="0" collapsed="false">
      <c r="A299" s="252"/>
      <c r="B299" s="230"/>
      <c r="C299" s="231"/>
      <c r="D299" s="250"/>
      <c r="E299" s="259"/>
      <c r="F299" s="145"/>
    </row>
    <row r="300" customFormat="false" ht="17.35" hidden="false" customHeight="false" outlineLevel="0" collapsed="false">
      <c r="A300" s="266"/>
      <c r="B300" s="267" t="s">
        <v>981</v>
      </c>
      <c r="C300" s="268"/>
      <c r="D300" s="269" t="n">
        <f aca="false">SUM(D11:D299)</f>
        <v>572933390</v>
      </c>
      <c r="E300" s="270" t="n">
        <f aca="false">SUM(E12:E299)</f>
        <v>395070192</v>
      </c>
      <c r="F300" s="145"/>
    </row>
    <row r="301" customFormat="false" ht="17.35" hidden="false" customHeight="false" outlineLevel="0" collapsed="false">
      <c r="A301" s="266"/>
      <c r="B301" s="267" t="s">
        <v>982</v>
      </c>
      <c r="C301" s="268"/>
      <c r="D301" s="271" t="n">
        <f aca="false">D300-E300</f>
        <v>177863198</v>
      </c>
      <c r="E301" s="270"/>
      <c r="F301" s="1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1"/>
  <sheetViews>
    <sheetView showFormulas="false" showGridLines="true" showRowColHeaders="true" showZeros="true" rightToLeft="false" tabSelected="false" showOutlineSymbols="true" defaultGridColor="true" view="normal" topLeftCell="B232" colorId="64" zoomScale="123" zoomScaleNormal="123" zoomScalePageLayoutView="100" workbookViewId="0">
      <selection pane="topLeft" activeCell="F27" activeCellId="0" sqref="F27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30.71"/>
    <col collapsed="false" customWidth="true" hidden="false" outlineLevel="0" max="3" min="3" style="1" width="17.57"/>
    <col collapsed="false" customWidth="true" hidden="false" outlineLevel="0" max="4" min="4" style="1" width="15.43"/>
    <col collapsed="false" customWidth="true" hidden="false" outlineLevel="0" max="16383" min="16373" style="0" width="11.53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B1" s="124" t="s">
        <v>534</v>
      </c>
      <c r="E1" s="1"/>
    </row>
    <row r="2" customFormat="false" ht="15" hidden="false" customHeight="false" outlineLevel="0" collapsed="false">
      <c r="B2" s="125" t="s">
        <v>346</v>
      </c>
      <c r="E2" s="1"/>
    </row>
    <row r="3" customFormat="false" ht="15" hidden="false" customHeight="false" outlineLevel="0" collapsed="false">
      <c r="E3" s="1"/>
    </row>
    <row r="4" customFormat="false" ht="15" hidden="false" customHeight="false" outlineLevel="0" collapsed="false">
      <c r="A4" s="126" t="s">
        <v>3</v>
      </c>
      <c r="B4" s="272" t="s">
        <v>4</v>
      </c>
      <c r="C4" s="9" t="s">
        <v>5</v>
      </c>
      <c r="D4" s="128" t="s">
        <v>6</v>
      </c>
      <c r="E4" s="129" t="s">
        <v>7</v>
      </c>
    </row>
    <row r="5" customFormat="false" ht="15" hidden="false" customHeight="false" outlineLevel="0" collapsed="false">
      <c r="A5" s="130" t="n">
        <v>1</v>
      </c>
      <c r="B5" s="134" t="s">
        <v>535</v>
      </c>
      <c r="C5" s="132" t="n">
        <v>415000</v>
      </c>
      <c r="D5" s="147" t="n">
        <f aca="false">415000</f>
        <v>415000</v>
      </c>
      <c r="E5" s="133" t="n">
        <f aca="false">C5-D5</f>
        <v>0</v>
      </c>
    </row>
    <row r="6" customFormat="false" ht="15" hidden="false" customHeight="false" outlineLevel="0" collapsed="false">
      <c r="A6" s="130" t="n">
        <v>2</v>
      </c>
      <c r="B6" s="134" t="s">
        <v>538</v>
      </c>
      <c r="C6" s="132" t="n">
        <v>415000</v>
      </c>
      <c r="D6" s="147" t="n">
        <v>415000</v>
      </c>
      <c r="E6" s="133" t="n">
        <f aca="false">C6-D6</f>
        <v>0</v>
      </c>
    </row>
    <row r="7" customFormat="false" ht="15" hidden="false" customHeight="false" outlineLevel="0" collapsed="false">
      <c r="A7" s="130" t="n">
        <v>3</v>
      </c>
      <c r="B7" s="145" t="s">
        <v>543</v>
      </c>
      <c r="C7" s="132" t="n">
        <v>415000</v>
      </c>
      <c r="D7" s="147" t="n">
        <f aca="false">200000+215000</f>
        <v>415000</v>
      </c>
      <c r="E7" s="133" t="n">
        <f aca="false">C7-D7</f>
        <v>0</v>
      </c>
    </row>
    <row r="8" customFormat="false" ht="15" hidden="false" customHeight="false" outlineLevel="0" collapsed="false">
      <c r="A8" s="130" t="n">
        <v>4</v>
      </c>
      <c r="B8" s="145" t="s">
        <v>545</v>
      </c>
      <c r="C8" s="132" t="n">
        <v>415000</v>
      </c>
      <c r="D8" s="147" t="n">
        <f aca="false">415000</f>
        <v>415000</v>
      </c>
      <c r="E8" s="133" t="n">
        <f aca="false">C8-D8</f>
        <v>0</v>
      </c>
    </row>
    <row r="9" customFormat="false" ht="15" hidden="false" customHeight="false" outlineLevel="0" collapsed="false">
      <c r="A9" s="130" t="n">
        <v>5</v>
      </c>
      <c r="B9" s="145" t="s">
        <v>553</v>
      </c>
      <c r="C9" s="132" t="n">
        <v>415000</v>
      </c>
      <c r="D9" s="147" t="n">
        <v>415000</v>
      </c>
      <c r="E9" s="133" t="n">
        <f aca="false">C9-D9</f>
        <v>0</v>
      </c>
    </row>
    <row r="10" customFormat="false" ht="15" hidden="false" customHeight="false" outlineLevel="0" collapsed="false">
      <c r="A10" s="130" t="n">
        <v>6</v>
      </c>
      <c r="B10" s="145" t="s">
        <v>556</v>
      </c>
      <c r="C10" s="132" t="n">
        <v>415000</v>
      </c>
      <c r="D10" s="147" t="n">
        <v>415000</v>
      </c>
      <c r="E10" s="133" t="n">
        <f aca="false">C10-D10</f>
        <v>0</v>
      </c>
    </row>
    <row r="11" customFormat="false" ht="15" hidden="false" customHeight="false" outlineLevel="0" collapsed="false">
      <c r="A11" s="130" t="n">
        <v>7</v>
      </c>
      <c r="B11" s="145" t="s">
        <v>559</v>
      </c>
      <c r="C11" s="132" t="n">
        <v>415000</v>
      </c>
      <c r="D11" s="147" t="n">
        <f aca="false">415000</f>
        <v>415000</v>
      </c>
      <c r="E11" s="133" t="n">
        <f aca="false">C11-D11</f>
        <v>0</v>
      </c>
    </row>
    <row r="12" customFormat="false" ht="15" hidden="false" customHeight="false" outlineLevel="0" collapsed="false">
      <c r="A12" s="130" t="n">
        <v>8</v>
      </c>
      <c r="B12" s="145" t="s">
        <v>564</v>
      </c>
      <c r="C12" s="132" t="n">
        <v>415000</v>
      </c>
      <c r="D12" s="147" t="n">
        <v>415000</v>
      </c>
      <c r="E12" s="133" t="n">
        <f aca="false">C12-D12</f>
        <v>0</v>
      </c>
    </row>
    <row r="26" customFormat="false" ht="15" hidden="false" customHeight="false" outlineLevel="0" collapsed="false">
      <c r="D26" s="2"/>
    </row>
    <row r="27" customFormat="false" ht="17.35" hidden="false" customHeight="false" outlineLevel="0" collapsed="false">
      <c r="A27" s="3"/>
      <c r="B27" s="33" t="s">
        <v>0</v>
      </c>
      <c r="C27" s="33"/>
      <c r="D27" s="33"/>
      <c r="E27" s="33"/>
    </row>
    <row r="28" customFormat="false" ht="15" hidden="false" customHeight="false" outlineLevel="0" collapsed="false">
      <c r="A28" s="3"/>
      <c r="B28" s="3"/>
      <c r="D28" s="2"/>
    </row>
    <row r="29" customFormat="false" ht="15" hidden="false" customHeight="false" outlineLevel="0" collapsed="false">
      <c r="A29" s="3"/>
      <c r="B29" s="3"/>
      <c r="D29" s="2"/>
    </row>
    <row r="30" customFormat="false" ht="17.55" hidden="false" customHeight="false" outlineLevel="0" collapsed="false">
      <c r="A30" s="3"/>
      <c r="B30" s="3"/>
      <c r="C30" s="5" t="s">
        <v>1</v>
      </c>
      <c r="D30" s="6" t="s">
        <v>187</v>
      </c>
    </row>
    <row r="31" customFormat="false" ht="15" hidden="false" customHeight="false" outlineLevel="0" collapsed="false">
      <c r="A31" s="3"/>
      <c r="B31" s="3"/>
      <c r="D31" s="2"/>
    </row>
    <row r="32" customFormat="false" ht="24.75" hidden="false" customHeight="true" outlineLevel="0" collapsed="false">
      <c r="A32" s="114" t="s">
        <v>3</v>
      </c>
      <c r="B32" s="273" t="s">
        <v>4</v>
      </c>
      <c r="C32" s="52" t="s">
        <v>5</v>
      </c>
      <c r="D32" s="53" t="s">
        <v>6</v>
      </c>
      <c r="E32" s="274" t="s">
        <v>7</v>
      </c>
    </row>
    <row r="33" customFormat="false" ht="24.75" hidden="false" customHeight="true" outlineLevel="0" collapsed="false">
      <c r="A33" s="68" t="n">
        <v>1</v>
      </c>
      <c r="B33" s="115" t="s">
        <v>189</v>
      </c>
      <c r="C33" s="57" t="n">
        <v>416500</v>
      </c>
      <c r="D33" s="15" t="n">
        <f aca="false">216500+200000</f>
        <v>416500</v>
      </c>
      <c r="E33" s="275" t="n">
        <f aca="false">C33-D33</f>
        <v>0</v>
      </c>
    </row>
    <row r="34" customFormat="false" ht="24.75" hidden="false" customHeight="true" outlineLevel="0" collapsed="false">
      <c r="A34" s="68" t="n">
        <v>2</v>
      </c>
      <c r="B34" s="106" t="s">
        <v>190</v>
      </c>
      <c r="C34" s="14" t="n">
        <v>416500</v>
      </c>
      <c r="D34" s="15" t="n">
        <f aca="false">416500</f>
        <v>416500</v>
      </c>
      <c r="E34" s="36" t="n">
        <f aca="false">C34-D34</f>
        <v>0</v>
      </c>
    </row>
    <row r="35" customFormat="false" ht="24.75" hidden="false" customHeight="true" outlineLevel="0" collapsed="false">
      <c r="A35" s="68" t="n">
        <v>3</v>
      </c>
      <c r="B35" s="106" t="s">
        <v>192</v>
      </c>
      <c r="C35" s="14" t="n">
        <v>416500</v>
      </c>
      <c r="D35" s="15" t="n">
        <f aca="false">316000+100500</f>
        <v>416500</v>
      </c>
      <c r="E35" s="16" t="n">
        <f aca="false">C35-D35</f>
        <v>0</v>
      </c>
    </row>
    <row r="36" customFormat="false" ht="24.75" hidden="false" customHeight="true" outlineLevel="0" collapsed="false">
      <c r="A36" s="68" t="n">
        <v>4</v>
      </c>
      <c r="B36" s="106" t="s">
        <v>193</v>
      </c>
      <c r="C36" s="14" t="n">
        <v>416500</v>
      </c>
      <c r="D36" s="15" t="n">
        <f aca="false">416500</f>
        <v>416500</v>
      </c>
      <c r="E36" s="16" t="n">
        <f aca="false">C36-D36</f>
        <v>0</v>
      </c>
    </row>
    <row r="37" customFormat="false" ht="24.75" hidden="false" customHeight="true" outlineLevel="0" collapsed="false">
      <c r="A37" s="68" t="n">
        <v>5</v>
      </c>
      <c r="B37" s="106" t="s">
        <v>194</v>
      </c>
      <c r="C37" s="14" t="n">
        <v>416500</v>
      </c>
      <c r="D37" s="15" t="n">
        <f aca="false">216500+200000</f>
        <v>416500</v>
      </c>
      <c r="E37" s="16" t="n">
        <f aca="false">C37-D37</f>
        <v>0</v>
      </c>
    </row>
    <row r="38" customFormat="false" ht="24.75" hidden="false" customHeight="true" outlineLevel="0" collapsed="false">
      <c r="A38" s="68" t="n">
        <v>6</v>
      </c>
      <c r="B38" s="106" t="s">
        <v>195</v>
      </c>
      <c r="C38" s="14" t="n">
        <v>416500</v>
      </c>
      <c r="D38" s="15" t="n">
        <f aca="false">250000+166500</f>
        <v>416500</v>
      </c>
      <c r="E38" s="16" t="n">
        <f aca="false">C38-D38</f>
        <v>0</v>
      </c>
    </row>
    <row r="39" customFormat="false" ht="24.75" hidden="false" customHeight="true" outlineLevel="0" collapsed="false">
      <c r="A39" s="68" t="n">
        <v>7</v>
      </c>
      <c r="B39" s="106" t="s">
        <v>196</v>
      </c>
      <c r="C39" s="14" t="n">
        <v>416500</v>
      </c>
      <c r="D39" s="15" t="n">
        <f aca="false">216500+200000</f>
        <v>416500</v>
      </c>
      <c r="E39" s="16" t="n">
        <f aca="false">C39-D39</f>
        <v>0</v>
      </c>
    </row>
    <row r="40" customFormat="false" ht="24.75" hidden="false" customHeight="true" outlineLevel="0" collapsed="false">
      <c r="A40" s="68" t="n">
        <v>8</v>
      </c>
      <c r="B40" s="106" t="s">
        <v>198</v>
      </c>
      <c r="C40" s="14" t="n">
        <v>416500</v>
      </c>
      <c r="D40" s="15" t="n">
        <f aca="false">200000+216500</f>
        <v>416500</v>
      </c>
      <c r="E40" s="16" t="n">
        <f aca="false">C40-D40</f>
        <v>0</v>
      </c>
    </row>
    <row r="41" customFormat="false" ht="24.75" hidden="false" customHeight="true" outlineLevel="0" collapsed="false">
      <c r="A41" s="68" t="n">
        <v>9</v>
      </c>
      <c r="B41" s="106" t="s">
        <v>199</v>
      </c>
      <c r="C41" s="14" t="n">
        <v>416500</v>
      </c>
      <c r="D41" s="15" t="n">
        <f aca="false">315000+101000</f>
        <v>416000</v>
      </c>
      <c r="E41" s="16" t="n">
        <f aca="false">C41-D41</f>
        <v>500</v>
      </c>
    </row>
    <row r="42" customFormat="false" ht="24.75" hidden="false" customHeight="true" outlineLevel="0" collapsed="false">
      <c r="A42" s="25"/>
      <c r="B42" s="44"/>
      <c r="C42" s="27" t="n">
        <f aca="false">SUM(C33:C41)</f>
        <v>3748500</v>
      </c>
      <c r="D42" s="28" t="n">
        <f aca="false">SUM(D33:D41)</f>
        <v>3748000</v>
      </c>
      <c r="E42" s="29" t="n">
        <f aca="false">C42-D42</f>
        <v>500</v>
      </c>
    </row>
    <row r="43" customFormat="false" ht="15" hidden="false" customHeight="false" outlineLevel="0" collapsed="false">
      <c r="D43" s="2"/>
    </row>
    <row r="44" customFormat="false" ht="15" hidden="false" customHeight="false" outlineLevel="0" collapsed="false">
      <c r="D44" s="2"/>
    </row>
    <row r="45" customFormat="false" ht="17.35" hidden="false" customHeight="false" outlineLevel="0" collapsed="false">
      <c r="B45" s="33" t="s">
        <v>0</v>
      </c>
      <c r="C45" s="33"/>
      <c r="D45" s="33"/>
      <c r="E45" s="33"/>
    </row>
    <row r="46" customFormat="false" ht="15" hidden="false" customHeight="false" outlineLevel="0" collapsed="false">
      <c r="D46" s="2"/>
    </row>
    <row r="47" customFormat="false" ht="15" hidden="false" customHeight="false" outlineLevel="0" collapsed="false">
      <c r="A47" s="3"/>
      <c r="B47" s="3"/>
      <c r="D47" s="2"/>
    </row>
    <row r="48" customFormat="false" ht="17.25" hidden="false" customHeight="false" outlineLevel="0" collapsed="false">
      <c r="A48" s="3"/>
      <c r="B48" s="3"/>
      <c r="C48" s="5" t="s">
        <v>25</v>
      </c>
      <c r="D48" s="6" t="s">
        <v>187</v>
      </c>
    </row>
    <row r="49" customFormat="false" ht="15" hidden="false" customHeight="false" outlineLevel="0" collapsed="false">
      <c r="A49" s="3"/>
      <c r="B49" s="3"/>
      <c r="D49" s="2"/>
    </row>
    <row r="50" customFormat="false" ht="15" hidden="false" customHeight="false" outlineLevel="0" collapsed="false">
      <c r="A50" s="7" t="s">
        <v>3</v>
      </c>
      <c r="B50" s="273" t="s">
        <v>4</v>
      </c>
      <c r="C50" s="9" t="s">
        <v>5</v>
      </c>
      <c r="D50" s="10" t="s">
        <v>6</v>
      </c>
      <c r="E50" s="11" t="s">
        <v>7</v>
      </c>
    </row>
    <row r="51" customFormat="false" ht="24.75" hidden="false" customHeight="true" outlineLevel="0" collapsed="false">
      <c r="A51" s="68" t="n">
        <v>1</v>
      </c>
      <c r="B51" s="106" t="s">
        <v>201</v>
      </c>
      <c r="C51" s="35" t="n">
        <v>416500</v>
      </c>
      <c r="D51" s="15" t="n">
        <f aca="false">416500</f>
        <v>416500</v>
      </c>
      <c r="E51" s="36" t="n">
        <f aca="false">C51-D51</f>
        <v>0</v>
      </c>
    </row>
    <row r="52" customFormat="false" ht="24.75" hidden="false" customHeight="true" outlineLevel="0" collapsed="false">
      <c r="A52" s="68" t="n">
        <v>2</v>
      </c>
      <c r="B52" s="106" t="s">
        <v>203</v>
      </c>
      <c r="C52" s="35" t="n">
        <v>416500</v>
      </c>
      <c r="D52" s="38" t="n">
        <f aca="false">216500+150000+50000</f>
        <v>416500</v>
      </c>
      <c r="E52" s="36" t="n">
        <f aca="false">C52-D52</f>
        <v>0</v>
      </c>
    </row>
    <row r="53" customFormat="false" ht="24.75" hidden="false" customHeight="true" outlineLevel="0" collapsed="false">
      <c r="A53" s="68" t="n">
        <v>3</v>
      </c>
      <c r="B53" s="106" t="s">
        <v>210</v>
      </c>
      <c r="C53" s="35" t="n">
        <v>416500</v>
      </c>
      <c r="D53" s="41" t="n">
        <f aca="false">216000+200000</f>
        <v>416000</v>
      </c>
      <c r="E53" s="36" t="n">
        <f aca="false">C53-D53</f>
        <v>500</v>
      </c>
    </row>
    <row r="54" customFormat="false" ht="24.75" hidden="false" customHeight="true" outlineLevel="0" collapsed="false">
      <c r="A54" s="68" t="n">
        <v>4</v>
      </c>
      <c r="B54" s="106" t="s">
        <v>212</v>
      </c>
      <c r="C54" s="35" t="n">
        <v>416500</v>
      </c>
      <c r="D54" s="41" t="n">
        <f aca="false">250000+50000+116500</f>
        <v>416500</v>
      </c>
      <c r="E54" s="36" t="n">
        <f aca="false">C54-D54</f>
        <v>0</v>
      </c>
    </row>
    <row r="55" customFormat="false" ht="24.75" hidden="false" customHeight="true" outlineLevel="0" collapsed="false">
      <c r="A55" s="68" t="n">
        <v>5</v>
      </c>
      <c r="B55" s="106" t="s">
        <v>213</v>
      </c>
      <c r="C55" s="35" t="n">
        <v>416500</v>
      </c>
      <c r="D55" s="41" t="n">
        <f aca="false">200000+216000+500</f>
        <v>416500</v>
      </c>
      <c r="E55" s="36" t="n">
        <f aca="false">C55-D55</f>
        <v>0</v>
      </c>
    </row>
    <row r="56" customFormat="false" ht="24.75" hidden="false" customHeight="true" outlineLevel="0" collapsed="false">
      <c r="A56" s="68" t="n">
        <v>6</v>
      </c>
      <c r="B56" s="106" t="s">
        <v>217</v>
      </c>
      <c r="C56" s="35" t="n">
        <v>416500</v>
      </c>
      <c r="D56" s="41" t="n">
        <f aca="false">216500+200000</f>
        <v>416500</v>
      </c>
      <c r="E56" s="36" t="n">
        <f aca="false">C56-D56</f>
        <v>0</v>
      </c>
    </row>
    <row r="57" customFormat="false" ht="24.75" hidden="false" customHeight="true" outlineLevel="0" collapsed="false">
      <c r="A57" s="68" t="n">
        <v>7</v>
      </c>
      <c r="B57" s="106" t="s">
        <v>221</v>
      </c>
      <c r="C57" s="35" t="n">
        <v>416500</v>
      </c>
      <c r="D57" s="41" t="n">
        <f aca="false">256000+80000+80500</f>
        <v>416500</v>
      </c>
      <c r="E57" s="36" t="n">
        <f aca="false">C57-D57</f>
        <v>0</v>
      </c>
    </row>
    <row r="58" customFormat="false" ht="24.75" hidden="false" customHeight="true" outlineLevel="0" collapsed="false">
      <c r="A58" s="44"/>
      <c r="B58" s="276"/>
      <c r="C58" s="27" t="n">
        <f aca="false">SUM(C51:C57)</f>
        <v>2915500</v>
      </c>
      <c r="D58" s="28" t="n">
        <f aca="false">SUM(D51:D57)</f>
        <v>2915000</v>
      </c>
      <c r="E58" s="46" t="n">
        <f aca="false">C58-D58</f>
        <v>500</v>
      </c>
    </row>
    <row r="59" customFormat="false" ht="15" hidden="false" customHeight="false" outlineLevel="0" collapsed="false">
      <c r="C59" s="108"/>
      <c r="D59" s="31"/>
      <c r="E59" s="109"/>
    </row>
    <row r="60" customFormat="false" ht="15" hidden="false" customHeight="false" outlineLevel="0" collapsed="false">
      <c r="C60" s="108"/>
      <c r="D60" s="31"/>
      <c r="E60" s="109"/>
    </row>
    <row r="61" customFormat="false" ht="15" hidden="false" customHeight="false" outlineLevel="0" collapsed="false">
      <c r="A61" s="88"/>
      <c r="B61" s="88"/>
      <c r="D61" s="2"/>
    </row>
    <row r="62" customFormat="false" ht="17.35" hidden="false" customHeight="false" outlineLevel="0" collapsed="false">
      <c r="A62" s="3"/>
      <c r="B62" s="33" t="s">
        <v>0</v>
      </c>
      <c r="C62" s="33"/>
      <c r="D62" s="33"/>
      <c r="E62" s="33"/>
    </row>
    <row r="63" customFormat="false" ht="17.35" hidden="false" customHeight="false" outlineLevel="0" collapsed="false">
      <c r="A63" s="51"/>
      <c r="B63" s="51"/>
      <c r="D63" s="2"/>
    </row>
    <row r="64" customFormat="false" ht="15" hidden="false" customHeight="false" outlineLevel="0" collapsed="false">
      <c r="A64" s="3"/>
      <c r="B64" s="3"/>
      <c r="D64" s="2"/>
    </row>
    <row r="65" customFormat="false" ht="15" hidden="false" customHeight="false" outlineLevel="0" collapsed="false">
      <c r="A65" s="3"/>
      <c r="B65" s="3"/>
      <c r="D65" s="2"/>
    </row>
    <row r="66" customFormat="false" ht="17.55" hidden="false" customHeight="false" outlineLevel="0" collapsed="false">
      <c r="A66" s="3"/>
      <c r="B66" s="3"/>
      <c r="C66" s="5" t="s">
        <v>62</v>
      </c>
      <c r="D66" s="6" t="s">
        <v>187</v>
      </c>
    </row>
    <row r="67" customFormat="false" ht="15" hidden="false" customHeight="false" outlineLevel="0" collapsed="false">
      <c r="A67" s="3"/>
      <c r="B67" s="3"/>
      <c r="D67" s="2"/>
    </row>
    <row r="68" customFormat="false" ht="24.75" hidden="false" customHeight="true" outlineLevel="0" collapsed="false">
      <c r="A68" s="8" t="s">
        <v>3</v>
      </c>
      <c r="B68" s="273" t="s">
        <v>4</v>
      </c>
      <c r="C68" s="9" t="s">
        <v>5</v>
      </c>
      <c r="D68" s="10" t="s">
        <v>6</v>
      </c>
      <c r="E68" s="11" t="s">
        <v>7</v>
      </c>
    </row>
    <row r="69" customFormat="false" ht="24.75" hidden="false" customHeight="true" outlineLevel="0" collapsed="false">
      <c r="A69" s="110" t="n">
        <v>1</v>
      </c>
      <c r="B69" s="106" t="s">
        <v>223</v>
      </c>
      <c r="C69" s="14" t="n">
        <v>416500</v>
      </c>
      <c r="D69" s="61" t="n">
        <f aca="false">416500</f>
        <v>416500</v>
      </c>
      <c r="E69" s="36" t="n">
        <f aca="false">C69-D69</f>
        <v>0</v>
      </c>
    </row>
    <row r="70" customFormat="false" ht="24.75" hidden="false" customHeight="true" outlineLevel="0" collapsed="false">
      <c r="A70" s="79" t="n">
        <v>2</v>
      </c>
      <c r="B70" s="106" t="s">
        <v>224</v>
      </c>
      <c r="C70" s="14" t="n">
        <v>416500</v>
      </c>
      <c r="D70" s="61" t="n">
        <f aca="false">250000+166000</f>
        <v>416000</v>
      </c>
      <c r="E70" s="36" t="n">
        <f aca="false">C70-D70</f>
        <v>500</v>
      </c>
    </row>
    <row r="71" customFormat="false" ht="24.75" hidden="false" customHeight="true" outlineLevel="0" collapsed="false">
      <c r="A71" s="79" t="n">
        <v>3</v>
      </c>
      <c r="B71" s="106" t="s">
        <v>227</v>
      </c>
      <c r="C71" s="14" t="n">
        <v>416500</v>
      </c>
      <c r="D71" s="61" t="n">
        <f aca="false">316500+100000</f>
        <v>416500</v>
      </c>
      <c r="E71" s="36" t="n">
        <f aca="false">C71-D71</f>
        <v>0</v>
      </c>
    </row>
    <row r="72" customFormat="false" ht="24.75" hidden="false" customHeight="true" outlineLevel="0" collapsed="false">
      <c r="A72" s="110" t="n">
        <v>4</v>
      </c>
      <c r="B72" s="106" t="s">
        <v>228</v>
      </c>
      <c r="C72" s="14" t="n">
        <v>416500</v>
      </c>
      <c r="D72" s="61" t="n">
        <f aca="false">416000</f>
        <v>416000</v>
      </c>
      <c r="E72" s="36" t="n">
        <f aca="false">C72-D72</f>
        <v>500</v>
      </c>
    </row>
    <row r="73" customFormat="false" ht="24.75" hidden="false" customHeight="true" outlineLevel="0" collapsed="false">
      <c r="A73" s="79" t="n">
        <v>5</v>
      </c>
      <c r="B73" s="106" t="s">
        <v>229</v>
      </c>
      <c r="C73" s="14" t="n">
        <v>416500</v>
      </c>
      <c r="D73" s="61" t="n">
        <f aca="false">300000+116500</f>
        <v>416500</v>
      </c>
      <c r="E73" s="36" t="n">
        <f aca="false">C73-D73</f>
        <v>0</v>
      </c>
    </row>
    <row r="74" customFormat="false" ht="24.75" hidden="false" customHeight="true" outlineLevel="0" collapsed="false">
      <c r="A74" s="79" t="n">
        <v>6</v>
      </c>
      <c r="B74" s="106" t="s">
        <v>231</v>
      </c>
      <c r="C74" s="14" t="n">
        <v>416500</v>
      </c>
      <c r="D74" s="61" t="n">
        <f aca="false">216500+200000</f>
        <v>416500</v>
      </c>
      <c r="E74" s="36" t="n">
        <f aca="false">C74-D74</f>
        <v>0</v>
      </c>
    </row>
    <row r="75" customFormat="false" ht="24.75" hidden="false" customHeight="true" outlineLevel="0" collapsed="false">
      <c r="A75" s="110" t="n">
        <v>7</v>
      </c>
      <c r="B75" s="106" t="s">
        <v>232</v>
      </c>
      <c r="C75" s="14" t="n">
        <v>416500</v>
      </c>
      <c r="D75" s="61" t="n">
        <f aca="false">416500</f>
        <v>416500</v>
      </c>
      <c r="E75" s="36" t="n">
        <f aca="false">C75-D75</f>
        <v>0</v>
      </c>
    </row>
    <row r="76" customFormat="false" ht="24.75" hidden="false" customHeight="true" outlineLevel="0" collapsed="false">
      <c r="A76" s="79" t="n">
        <v>8</v>
      </c>
      <c r="B76" s="106" t="s">
        <v>236</v>
      </c>
      <c r="C76" s="14" t="n">
        <v>416500</v>
      </c>
      <c r="D76" s="61" t="n">
        <f aca="false">100000+100000+100000+116000</f>
        <v>416000</v>
      </c>
      <c r="E76" s="36" t="n">
        <f aca="false">C76-D76</f>
        <v>500</v>
      </c>
    </row>
    <row r="77" customFormat="false" ht="24.75" hidden="false" customHeight="true" outlineLevel="0" collapsed="false">
      <c r="A77" s="79" t="n">
        <v>9</v>
      </c>
      <c r="B77" s="106" t="s">
        <v>237</v>
      </c>
      <c r="C77" s="14" t="n">
        <v>416500</v>
      </c>
      <c r="D77" s="41" t="n">
        <f aca="false">416000</f>
        <v>416000</v>
      </c>
      <c r="E77" s="36" t="n">
        <f aca="false">C77-D77</f>
        <v>500</v>
      </c>
    </row>
    <row r="78" customFormat="false" ht="24.75" hidden="false" customHeight="true" outlineLevel="0" collapsed="false">
      <c r="A78" s="110" t="n">
        <v>10</v>
      </c>
      <c r="B78" s="106" t="s">
        <v>238</v>
      </c>
      <c r="C78" s="14" t="n">
        <v>416500</v>
      </c>
      <c r="D78" s="61" t="n">
        <f aca="false">300000+116000</f>
        <v>416000</v>
      </c>
      <c r="E78" s="36" t="n">
        <f aca="false">C78-D78</f>
        <v>500</v>
      </c>
    </row>
    <row r="79" customFormat="false" ht="24.75" hidden="false" customHeight="true" outlineLevel="0" collapsed="false">
      <c r="A79" s="44"/>
      <c r="B79" s="111"/>
      <c r="C79" s="27" t="n">
        <f aca="false">SUM(C69:C78)</f>
        <v>4165000</v>
      </c>
      <c r="D79" s="28" t="n">
        <f aca="false">SUM(D69:D78)</f>
        <v>4162500</v>
      </c>
      <c r="E79" s="46" t="n">
        <f aca="false">SUM(E69:E78)</f>
        <v>2500</v>
      </c>
    </row>
    <row r="80" customFormat="false" ht="15" hidden="false" customHeight="false" outlineLevel="0" collapsed="false">
      <c r="C80" s="108"/>
      <c r="D80" s="31"/>
      <c r="E80" s="109"/>
    </row>
    <row r="81" customFormat="false" ht="15" hidden="false" customHeight="false" outlineLevel="0" collapsed="false">
      <c r="C81" s="108"/>
      <c r="D81" s="31"/>
      <c r="E81" s="109"/>
    </row>
    <row r="82" customFormat="false" ht="15" hidden="false" customHeight="false" outlineLevel="0" collapsed="false">
      <c r="C82" s="108"/>
      <c r="D82" s="31"/>
      <c r="E82" s="109"/>
    </row>
    <row r="83" customFormat="false" ht="15" hidden="false" customHeight="false" outlineLevel="0" collapsed="false">
      <c r="D83" s="2"/>
    </row>
    <row r="84" customFormat="false" ht="15" hidden="false" customHeight="false" outlineLevel="0" collapsed="false">
      <c r="D84" s="2"/>
    </row>
    <row r="85" customFormat="false" ht="15" hidden="false" customHeight="false" outlineLevel="0" collapsed="false">
      <c r="A85" s="3"/>
      <c r="B85" s="3"/>
      <c r="D85" s="2"/>
    </row>
    <row r="86" customFormat="false" ht="15" hidden="false" customHeight="false" outlineLevel="0" collapsed="false">
      <c r="A86" s="3"/>
      <c r="B86" s="3"/>
      <c r="D86" s="2"/>
    </row>
    <row r="87" customFormat="false" ht="15" hidden="false" customHeight="false" outlineLevel="0" collapsed="false">
      <c r="A87" s="3"/>
      <c r="B87" s="66"/>
      <c r="C87" s="66"/>
      <c r="D87" s="66"/>
      <c r="E87" s="66"/>
    </row>
    <row r="88" customFormat="false" ht="17.55" hidden="false" customHeight="false" outlineLevel="0" collapsed="false">
      <c r="A88" s="3"/>
      <c r="B88" s="3"/>
      <c r="C88" s="5" t="s">
        <v>86</v>
      </c>
      <c r="D88" s="2"/>
      <c r="E88" s="67" t="s">
        <v>187</v>
      </c>
    </row>
    <row r="89" customFormat="false" ht="15" hidden="false" customHeight="false" outlineLevel="0" collapsed="false">
      <c r="A89" s="3"/>
      <c r="B89" s="3"/>
      <c r="D89" s="2"/>
    </row>
    <row r="90" customFormat="false" ht="24.75" hidden="false" customHeight="true" outlineLevel="0" collapsed="false">
      <c r="A90" s="7" t="s">
        <v>3</v>
      </c>
      <c r="B90" s="273" t="s">
        <v>4</v>
      </c>
      <c r="C90" s="9" t="s">
        <v>5</v>
      </c>
      <c r="D90" s="10" t="s">
        <v>6</v>
      </c>
      <c r="E90" s="11" t="s">
        <v>7</v>
      </c>
    </row>
    <row r="91" customFormat="false" ht="24.75" hidden="false" customHeight="true" outlineLevel="0" collapsed="false">
      <c r="A91" s="68" t="n">
        <v>1</v>
      </c>
      <c r="B91" s="106" t="s">
        <v>983</v>
      </c>
      <c r="C91" s="61" t="n">
        <v>416500</v>
      </c>
      <c r="D91" s="72" t="n">
        <f aca="false">200000+216500</f>
        <v>416500</v>
      </c>
      <c r="E91" s="16" t="n">
        <f aca="false">C91-D91</f>
        <v>0</v>
      </c>
    </row>
    <row r="92" customFormat="false" ht="24.75" hidden="false" customHeight="true" outlineLevel="0" collapsed="false">
      <c r="A92" s="68" t="n">
        <v>2</v>
      </c>
      <c r="B92" s="106" t="s">
        <v>984</v>
      </c>
      <c r="C92" s="35" t="n">
        <v>416500</v>
      </c>
      <c r="D92" s="15" t="n">
        <f aca="false">250000+166000</f>
        <v>416000</v>
      </c>
      <c r="E92" s="36" t="n">
        <f aca="false">C92-D92</f>
        <v>500</v>
      </c>
    </row>
    <row r="93" customFormat="false" ht="24.75" hidden="false" customHeight="true" outlineLevel="0" collapsed="false">
      <c r="A93" s="68" t="n">
        <v>3</v>
      </c>
      <c r="B93" s="106" t="s">
        <v>985</v>
      </c>
      <c r="C93" s="61" t="n">
        <v>416500</v>
      </c>
      <c r="D93" s="61" t="n">
        <f aca="false">116000+100000+200500</f>
        <v>416500</v>
      </c>
      <c r="E93" s="16" t="n">
        <f aca="false">C93-D93</f>
        <v>0</v>
      </c>
    </row>
    <row r="94" customFormat="false" ht="24.75" hidden="false" customHeight="true" outlineLevel="0" collapsed="false">
      <c r="A94" s="68" t="n">
        <v>4</v>
      </c>
      <c r="B94" s="106" t="s">
        <v>986</v>
      </c>
      <c r="C94" s="35" t="n">
        <v>416500</v>
      </c>
      <c r="D94" s="40" t="n">
        <f aca="false">200000+216500</f>
        <v>416500</v>
      </c>
      <c r="E94" s="36" t="n">
        <f aca="false">C94-D94</f>
        <v>0</v>
      </c>
    </row>
    <row r="95" customFormat="false" ht="24.75" hidden="false" customHeight="true" outlineLevel="0" collapsed="false">
      <c r="A95" s="68" t="n">
        <v>5</v>
      </c>
      <c r="B95" s="106" t="s">
        <v>987</v>
      </c>
      <c r="C95" s="35" t="n">
        <v>416500</v>
      </c>
      <c r="D95" s="41" t="n">
        <f aca="false">416000+500</f>
        <v>416500</v>
      </c>
      <c r="E95" s="36" t="n">
        <f aca="false">C95-D95</f>
        <v>0</v>
      </c>
    </row>
    <row r="96" customFormat="false" ht="24.75" hidden="false" customHeight="true" outlineLevel="0" collapsed="false">
      <c r="A96" s="68" t="n">
        <v>6</v>
      </c>
      <c r="B96" s="106" t="s">
        <v>988</v>
      </c>
      <c r="C96" s="35" t="n">
        <v>416500</v>
      </c>
      <c r="D96" s="41" t="n">
        <f aca="false">100000+116000+200500</f>
        <v>416500</v>
      </c>
      <c r="E96" s="36" t="n">
        <f aca="false">C96-D96</f>
        <v>0</v>
      </c>
    </row>
    <row r="97" customFormat="false" ht="24.75" hidden="false" customHeight="true" outlineLevel="0" collapsed="false">
      <c r="A97" s="68" t="n">
        <v>7</v>
      </c>
      <c r="B97" s="106" t="s">
        <v>989</v>
      </c>
      <c r="C97" s="61" t="n">
        <v>416500</v>
      </c>
      <c r="D97" s="61" t="n">
        <f aca="false">208000+208000+500</f>
        <v>416500</v>
      </c>
      <c r="E97" s="16" t="n">
        <f aca="false">C97-D97</f>
        <v>0</v>
      </c>
    </row>
    <row r="98" customFormat="false" ht="24.75" hidden="false" customHeight="true" outlineLevel="0" collapsed="false">
      <c r="A98" s="68" t="n">
        <v>8</v>
      </c>
      <c r="B98" s="106" t="s">
        <v>990</v>
      </c>
      <c r="C98" s="35" t="n">
        <v>416500</v>
      </c>
      <c r="D98" s="41" t="n">
        <f aca="false">216000+200000</f>
        <v>416000</v>
      </c>
      <c r="E98" s="36" t="n">
        <f aca="false">C98-D98</f>
        <v>500</v>
      </c>
    </row>
    <row r="99" customFormat="false" ht="24.75" hidden="false" customHeight="true" outlineLevel="0" collapsed="false">
      <c r="A99" s="44"/>
      <c r="B99" s="112"/>
      <c r="C99" s="27" t="n">
        <f aca="false">SUM(C91:C98)</f>
        <v>3332000</v>
      </c>
      <c r="D99" s="28" t="n">
        <f aca="false">SUM(D91:D98)</f>
        <v>3331000</v>
      </c>
      <c r="E99" s="46" t="n">
        <f aca="false">C99-D99</f>
        <v>1000</v>
      </c>
    </row>
    <row r="100" customFormat="false" ht="15" hidden="false" customHeight="false" outlineLevel="0" collapsed="false">
      <c r="C100" s="108"/>
      <c r="D100" s="31"/>
      <c r="E100" s="109"/>
    </row>
    <row r="101" customFormat="false" ht="15" hidden="false" customHeight="false" outlineLevel="0" collapsed="false">
      <c r="C101" s="108"/>
      <c r="D101" s="31"/>
      <c r="E101" s="109"/>
    </row>
    <row r="102" customFormat="false" ht="15" hidden="false" customHeight="false" outlineLevel="0" collapsed="false">
      <c r="C102" s="108"/>
      <c r="D102" s="31"/>
      <c r="E102" s="109"/>
    </row>
    <row r="103" customFormat="false" ht="17.35" hidden="false" customHeight="false" outlineLevel="0" collapsed="false">
      <c r="A103" s="3"/>
      <c r="B103" s="33" t="s">
        <v>0</v>
      </c>
      <c r="C103" s="33"/>
      <c r="D103" s="33"/>
      <c r="E103" s="33"/>
    </row>
    <row r="104" customFormat="false" ht="17.35" hidden="false" customHeight="false" outlineLevel="0" collapsed="false">
      <c r="A104" s="51"/>
      <c r="B104" s="51"/>
      <c r="D104" s="2"/>
    </row>
    <row r="105" customFormat="false" ht="15" hidden="false" customHeight="false" outlineLevel="0" collapsed="false">
      <c r="A105" s="3"/>
      <c r="B105" s="3"/>
      <c r="D105" s="2"/>
    </row>
    <row r="106" customFormat="false" ht="15" hidden="false" customHeight="false" outlineLevel="0" collapsed="false">
      <c r="A106" s="3"/>
      <c r="B106" s="3"/>
      <c r="D106" s="2"/>
    </row>
    <row r="107" customFormat="false" ht="17.55" hidden="false" customHeight="false" outlineLevel="0" collapsed="false">
      <c r="A107" s="3"/>
      <c r="B107" s="3"/>
      <c r="C107" s="5" t="s">
        <v>254</v>
      </c>
      <c r="D107" s="6" t="s">
        <v>187</v>
      </c>
    </row>
    <row r="108" customFormat="false" ht="15" hidden="false" customHeight="false" outlineLevel="0" collapsed="false">
      <c r="A108" s="3"/>
      <c r="B108" s="3"/>
      <c r="D108" s="2"/>
    </row>
    <row r="109" customFormat="false" ht="24.75" hidden="false" customHeight="true" outlineLevel="0" collapsed="false">
      <c r="A109" s="8" t="s">
        <v>3</v>
      </c>
      <c r="B109" s="273" t="s">
        <v>4</v>
      </c>
      <c r="C109" s="9" t="s">
        <v>5</v>
      </c>
      <c r="D109" s="10" t="s">
        <v>6</v>
      </c>
      <c r="E109" s="11" t="s">
        <v>7</v>
      </c>
    </row>
    <row r="110" customFormat="false" ht="24.75" hidden="false" customHeight="true" outlineLevel="0" collapsed="false">
      <c r="A110" s="113" t="n">
        <v>1</v>
      </c>
      <c r="B110" s="106" t="s">
        <v>255</v>
      </c>
      <c r="C110" s="14" t="n">
        <v>416500</v>
      </c>
      <c r="D110" s="41" t="n">
        <f aca="false">416700</f>
        <v>416700</v>
      </c>
      <c r="E110" s="36" t="n">
        <f aca="false">C110-D110</f>
        <v>-200</v>
      </c>
    </row>
    <row r="111" customFormat="false" ht="24.75" hidden="false" customHeight="true" outlineLevel="0" collapsed="false">
      <c r="A111" s="79" t="n">
        <v>2</v>
      </c>
      <c r="B111" s="106" t="s">
        <v>256</v>
      </c>
      <c r="C111" s="14" t="n">
        <v>416500</v>
      </c>
      <c r="D111" s="61" t="n">
        <f aca="false">316500+100000</f>
        <v>416500</v>
      </c>
      <c r="E111" s="36" t="n">
        <f aca="false">C111-D111</f>
        <v>0</v>
      </c>
    </row>
    <row r="112" customFormat="false" ht="24.75" hidden="false" customHeight="true" outlineLevel="0" collapsed="false">
      <c r="A112" s="79" t="n">
        <v>3</v>
      </c>
      <c r="B112" s="106" t="s">
        <v>257</v>
      </c>
      <c r="C112" s="14" t="n">
        <v>416500</v>
      </c>
      <c r="D112" s="61" t="n">
        <f aca="false">416500</f>
        <v>416500</v>
      </c>
      <c r="E112" s="36" t="n">
        <f aca="false">C112-D112</f>
        <v>0</v>
      </c>
    </row>
    <row r="113" customFormat="false" ht="24.75" hidden="false" customHeight="true" outlineLevel="0" collapsed="false">
      <c r="A113" s="113" t="n">
        <v>4</v>
      </c>
      <c r="B113" s="106" t="s">
        <v>258</v>
      </c>
      <c r="C113" s="14" t="n">
        <v>416500</v>
      </c>
      <c r="D113" s="61" t="n">
        <f aca="false">190000+10000+16500+170000+30000</f>
        <v>416500</v>
      </c>
      <c r="E113" s="36" t="n">
        <f aca="false">C113-D113</f>
        <v>0</v>
      </c>
    </row>
    <row r="114" customFormat="false" ht="24.75" hidden="false" customHeight="true" outlineLevel="0" collapsed="false">
      <c r="A114" s="79" t="n">
        <v>5</v>
      </c>
      <c r="B114" s="106" t="s">
        <v>259</v>
      </c>
      <c r="C114" s="14" t="n">
        <v>416500</v>
      </c>
      <c r="D114" s="61" t="n">
        <f aca="false">216000+180500+20000</f>
        <v>416500</v>
      </c>
      <c r="E114" s="36" t="n">
        <f aca="false">C114-D114</f>
        <v>0</v>
      </c>
    </row>
    <row r="115" customFormat="false" ht="24.75" hidden="false" customHeight="true" outlineLevel="0" collapsed="false">
      <c r="A115" s="79" t="n">
        <v>6</v>
      </c>
      <c r="B115" s="106" t="s">
        <v>260</v>
      </c>
      <c r="C115" s="14" t="n">
        <v>416500</v>
      </c>
      <c r="D115" s="61" t="n">
        <f aca="false">316500+100000</f>
        <v>416500</v>
      </c>
      <c r="E115" s="36" t="n">
        <f aca="false">C115-D115</f>
        <v>0</v>
      </c>
    </row>
    <row r="116" customFormat="false" ht="24.75" hidden="false" customHeight="true" outlineLevel="0" collapsed="false">
      <c r="A116" s="113" t="n">
        <v>7</v>
      </c>
      <c r="B116" s="106" t="s">
        <v>991</v>
      </c>
      <c r="C116" s="14" t="n">
        <v>416500</v>
      </c>
      <c r="D116" s="61" t="n">
        <f aca="false">330000+86500</f>
        <v>416500</v>
      </c>
      <c r="E116" s="36" t="n">
        <f aca="false">C116-D116</f>
        <v>0</v>
      </c>
    </row>
    <row r="117" customFormat="false" ht="24.75" hidden="false" customHeight="true" outlineLevel="0" collapsed="false">
      <c r="A117" s="79" t="n">
        <v>8</v>
      </c>
      <c r="B117" s="106" t="s">
        <v>263</v>
      </c>
      <c r="C117" s="14" t="n">
        <v>416500</v>
      </c>
      <c r="D117" s="61" t="n">
        <f aca="false">210000+186500+20000</f>
        <v>416500</v>
      </c>
      <c r="E117" s="36" t="n">
        <f aca="false">C117-D117</f>
        <v>0</v>
      </c>
    </row>
    <row r="118" customFormat="false" ht="24.75" hidden="false" customHeight="true" outlineLevel="0" collapsed="false">
      <c r="A118" s="79" t="n">
        <v>9</v>
      </c>
      <c r="B118" s="106" t="s">
        <v>264</v>
      </c>
      <c r="C118" s="14" t="n">
        <v>416500</v>
      </c>
      <c r="D118" s="61" t="n">
        <f aca="false">320000+96500</f>
        <v>416500</v>
      </c>
      <c r="E118" s="36" t="n">
        <f aca="false">C118-D118</f>
        <v>0</v>
      </c>
    </row>
    <row r="119" customFormat="false" ht="24.75" hidden="false" customHeight="true" outlineLevel="0" collapsed="false">
      <c r="A119" s="113" t="n">
        <v>10</v>
      </c>
      <c r="B119" s="106" t="s">
        <v>265</v>
      </c>
      <c r="C119" s="14" t="n">
        <v>416500</v>
      </c>
      <c r="D119" s="61" t="n">
        <f aca="false">416500</f>
        <v>416500</v>
      </c>
      <c r="E119" s="36" t="n">
        <f aca="false">C119-D119</f>
        <v>0</v>
      </c>
    </row>
    <row r="120" customFormat="false" ht="24.75" hidden="false" customHeight="true" outlineLevel="0" collapsed="false">
      <c r="A120" s="79" t="n">
        <v>11</v>
      </c>
      <c r="B120" s="106" t="s">
        <v>266</v>
      </c>
      <c r="C120" s="14" t="n">
        <v>416500</v>
      </c>
      <c r="D120" s="61" t="n">
        <f aca="false">316500+100000</f>
        <v>416500</v>
      </c>
      <c r="E120" s="36" t="n">
        <f aca="false">C120-D120</f>
        <v>0</v>
      </c>
    </row>
    <row r="121" customFormat="false" ht="24.75" hidden="false" customHeight="true" outlineLevel="0" collapsed="false">
      <c r="A121" s="79" t="n">
        <v>12</v>
      </c>
      <c r="B121" s="106" t="s">
        <v>267</v>
      </c>
      <c r="C121" s="35" t="n">
        <v>416500</v>
      </c>
      <c r="D121" s="41" t="n">
        <f aca="false">316500+100000</f>
        <v>416500</v>
      </c>
      <c r="E121" s="36" t="n">
        <f aca="false">C121-D121</f>
        <v>0</v>
      </c>
    </row>
    <row r="122" customFormat="false" ht="24.75" hidden="false" customHeight="true" outlineLevel="0" collapsed="false">
      <c r="A122" s="113" t="n">
        <v>13</v>
      </c>
      <c r="B122" s="106" t="s">
        <v>268</v>
      </c>
      <c r="C122" s="14" t="n">
        <v>416500</v>
      </c>
      <c r="D122" s="61" t="n">
        <f aca="false">300000+96500+20000</f>
        <v>416500</v>
      </c>
      <c r="E122" s="36" t="n">
        <f aca="false">C122-D122</f>
        <v>0</v>
      </c>
    </row>
    <row r="123" customFormat="false" ht="24.75" hidden="false" customHeight="true" outlineLevel="0" collapsed="false">
      <c r="A123" s="44"/>
      <c r="B123" s="111"/>
      <c r="C123" s="27" t="n">
        <f aca="false">SUM(C110:C122)</f>
        <v>5414500</v>
      </c>
      <c r="D123" s="28" t="n">
        <f aca="false">SUM(D110:D122)</f>
        <v>5414700</v>
      </c>
      <c r="E123" s="46" t="n">
        <f aca="false">SUM(E110:E122)</f>
        <v>-200</v>
      </c>
    </row>
    <row r="124" customFormat="false" ht="15" hidden="false" customHeight="false" outlineLevel="0" collapsed="false">
      <c r="C124" s="108"/>
      <c r="D124" s="31"/>
      <c r="E124" s="109"/>
    </row>
    <row r="125" customFormat="false" ht="15" hidden="false" customHeight="false" outlineLevel="0" collapsed="false">
      <c r="C125" s="108"/>
      <c r="D125" s="31"/>
      <c r="E125" s="109"/>
    </row>
    <row r="126" customFormat="false" ht="15" hidden="false" customHeight="false" outlineLevel="0" collapsed="false">
      <c r="C126" s="108"/>
      <c r="D126" s="31"/>
      <c r="E126" s="109"/>
    </row>
    <row r="127" customFormat="false" ht="15" hidden="false" customHeight="false" outlineLevel="0" collapsed="false">
      <c r="D127" s="2"/>
    </row>
    <row r="128" customFormat="false" ht="15" hidden="false" customHeight="false" outlineLevel="0" collapsed="false">
      <c r="D128" s="2"/>
    </row>
    <row r="129" customFormat="false" ht="15" hidden="false" customHeight="false" outlineLevel="0" collapsed="false">
      <c r="A129" s="3"/>
      <c r="B129" s="3"/>
      <c r="D129" s="2"/>
    </row>
    <row r="130" customFormat="false" ht="15" hidden="false" customHeight="false" outlineLevel="0" collapsed="false">
      <c r="A130" s="3"/>
      <c r="B130" s="3"/>
      <c r="D130" s="2"/>
    </row>
    <row r="131" customFormat="false" ht="15" hidden="false" customHeight="false" outlineLevel="0" collapsed="false">
      <c r="A131" s="3"/>
      <c r="B131" s="66"/>
      <c r="C131" s="66"/>
      <c r="D131" s="66"/>
      <c r="E131" s="66"/>
    </row>
    <row r="132" customFormat="false" ht="17.55" hidden="false" customHeight="false" outlineLevel="0" collapsed="false">
      <c r="A132" s="3"/>
      <c r="B132" s="3"/>
      <c r="C132" s="5" t="s">
        <v>269</v>
      </c>
      <c r="D132" s="2"/>
      <c r="E132" s="67" t="s">
        <v>187</v>
      </c>
    </row>
    <row r="133" customFormat="false" ht="15" hidden="false" customHeight="false" outlineLevel="0" collapsed="false">
      <c r="A133" s="3"/>
      <c r="B133" s="3"/>
      <c r="D133" s="2"/>
    </row>
    <row r="134" customFormat="false" ht="15" hidden="false" customHeight="false" outlineLevel="0" collapsed="false">
      <c r="A134" s="7" t="s">
        <v>3</v>
      </c>
      <c r="B134" s="8" t="s">
        <v>4</v>
      </c>
      <c r="C134" s="9" t="s">
        <v>5</v>
      </c>
      <c r="D134" s="10" t="s">
        <v>6</v>
      </c>
      <c r="E134" s="11" t="s">
        <v>7</v>
      </c>
    </row>
    <row r="135" customFormat="false" ht="24.75" hidden="false" customHeight="true" outlineLevel="0" collapsed="false">
      <c r="A135" s="68" t="n">
        <v>1</v>
      </c>
      <c r="B135" s="106" t="s">
        <v>270</v>
      </c>
      <c r="C135" s="35" t="n">
        <v>416500</v>
      </c>
      <c r="D135" s="15" t="n">
        <f aca="false">70000+150000</f>
        <v>220000</v>
      </c>
      <c r="E135" s="36" t="n">
        <f aca="false">C135-D135</f>
        <v>196500</v>
      </c>
    </row>
    <row r="136" customFormat="false" ht="24.75" hidden="false" customHeight="true" outlineLevel="0" collapsed="false">
      <c r="A136" s="68" t="n">
        <v>2</v>
      </c>
      <c r="B136" s="106" t="s">
        <v>271</v>
      </c>
      <c r="C136" s="35" t="n">
        <v>416500</v>
      </c>
      <c r="D136" s="15" t="n">
        <f aca="false">255000</f>
        <v>255000</v>
      </c>
      <c r="E136" s="36" t="n">
        <f aca="false">C136-D136</f>
        <v>161500</v>
      </c>
    </row>
    <row r="137" customFormat="false" ht="24.75" hidden="false" customHeight="true" outlineLevel="0" collapsed="false">
      <c r="A137" s="68" t="n">
        <v>3</v>
      </c>
      <c r="B137" s="106" t="s">
        <v>272</v>
      </c>
      <c r="C137" s="35" t="n">
        <v>416500</v>
      </c>
      <c r="D137" s="40"/>
      <c r="E137" s="36" t="n">
        <f aca="false">C137-D137</f>
        <v>416500</v>
      </c>
    </row>
    <row r="138" customFormat="false" ht="24.75" hidden="false" customHeight="true" outlineLevel="0" collapsed="false">
      <c r="A138" s="68" t="n">
        <v>4</v>
      </c>
      <c r="B138" s="106" t="s">
        <v>273</v>
      </c>
      <c r="C138" s="61" t="n">
        <v>416500</v>
      </c>
      <c r="D138" s="61"/>
      <c r="E138" s="16" t="n">
        <f aca="false">C138-D138</f>
        <v>416500</v>
      </c>
    </row>
    <row r="139" customFormat="false" ht="24.75" hidden="false" customHeight="true" outlineLevel="0" collapsed="false">
      <c r="A139" s="68" t="n">
        <v>5</v>
      </c>
      <c r="B139" s="106" t="s">
        <v>274</v>
      </c>
      <c r="C139" s="35" t="n">
        <v>416500</v>
      </c>
      <c r="D139" s="41" t="n">
        <f aca="false">216000+100500</f>
        <v>316500</v>
      </c>
      <c r="E139" s="36" t="n">
        <f aca="false">C139-D139</f>
        <v>100000</v>
      </c>
    </row>
    <row r="140" customFormat="false" ht="24.75" hidden="false" customHeight="true" outlineLevel="0" collapsed="false">
      <c r="A140" s="68" t="n">
        <v>6</v>
      </c>
      <c r="B140" s="106" t="s">
        <v>275</v>
      </c>
      <c r="C140" s="35" t="n">
        <v>416500</v>
      </c>
      <c r="D140" s="41" t="n">
        <f aca="false">216500</f>
        <v>216500</v>
      </c>
      <c r="E140" s="36" t="n">
        <f aca="false">C140-D140</f>
        <v>200000</v>
      </c>
    </row>
    <row r="141" customFormat="false" ht="24.75" hidden="false" customHeight="true" outlineLevel="0" collapsed="false">
      <c r="A141" s="68" t="n">
        <v>7</v>
      </c>
      <c r="B141" s="106" t="s">
        <v>276</v>
      </c>
      <c r="C141" s="61" t="n">
        <v>416500</v>
      </c>
      <c r="D141" s="61" t="n">
        <f aca="false">315000</f>
        <v>315000</v>
      </c>
      <c r="E141" s="16" t="n">
        <f aca="false">C141-D141</f>
        <v>101500</v>
      </c>
    </row>
    <row r="142" customFormat="false" ht="24.75" hidden="false" customHeight="true" outlineLevel="0" collapsed="false">
      <c r="A142" s="68" t="n">
        <v>8</v>
      </c>
      <c r="B142" s="106" t="s">
        <v>277</v>
      </c>
      <c r="C142" s="35" t="n">
        <v>416500</v>
      </c>
      <c r="D142" s="41" t="n">
        <f aca="false">200000</f>
        <v>200000</v>
      </c>
      <c r="E142" s="36" t="n">
        <f aca="false">C142-D142</f>
        <v>216500</v>
      </c>
    </row>
    <row r="143" customFormat="false" ht="24.75" hidden="false" customHeight="true" outlineLevel="0" collapsed="false">
      <c r="A143" s="68" t="n">
        <v>9</v>
      </c>
      <c r="B143" s="106" t="s">
        <v>278</v>
      </c>
      <c r="C143" s="35" t="n">
        <v>416500</v>
      </c>
      <c r="D143" s="41"/>
      <c r="E143" s="36" t="n">
        <f aca="false">C143-D143</f>
        <v>416500</v>
      </c>
    </row>
    <row r="144" customFormat="false" ht="24.75" hidden="false" customHeight="true" outlineLevel="0" collapsed="false">
      <c r="A144" s="44"/>
      <c r="B144" s="112"/>
      <c r="C144" s="27" t="n">
        <f aca="false">SUM(C135:C143)</f>
        <v>3748500</v>
      </c>
      <c r="D144" s="28" t="n">
        <f aca="false">SUM(D135:D143)</f>
        <v>1523000</v>
      </c>
      <c r="E144" s="46" t="n">
        <f aca="false">C144-D144</f>
        <v>2225500</v>
      </c>
    </row>
    <row r="145" customFormat="false" ht="15" hidden="false" customHeight="false" outlineLevel="0" collapsed="false">
      <c r="C145" s="108"/>
      <c r="D145" s="31"/>
      <c r="E145" s="109"/>
    </row>
    <row r="146" customFormat="false" ht="15" hidden="false" customHeight="false" outlineLevel="0" collapsed="false">
      <c r="C146" s="108"/>
      <c r="D146" s="31"/>
      <c r="E146" s="109"/>
    </row>
    <row r="147" customFormat="false" ht="15" hidden="false" customHeight="false" outlineLevel="0" collapsed="false">
      <c r="C147" s="108"/>
      <c r="D147" s="31"/>
      <c r="E147" s="109"/>
    </row>
    <row r="148" customFormat="false" ht="15" hidden="false" customHeight="false" outlineLevel="0" collapsed="false">
      <c r="C148" s="108"/>
      <c r="D148" s="31"/>
      <c r="E148" s="109"/>
    </row>
    <row r="149" customFormat="false" ht="15" hidden="false" customHeight="false" outlineLevel="0" collapsed="false">
      <c r="D149" s="2"/>
    </row>
    <row r="150" customFormat="false" ht="15" hidden="false" customHeight="false" outlineLevel="0" collapsed="false">
      <c r="A150" s="3"/>
      <c r="B150" s="3"/>
      <c r="D150" s="2"/>
    </row>
    <row r="151" customFormat="false" ht="15" hidden="false" customHeight="false" outlineLevel="0" collapsed="false">
      <c r="A151" s="3"/>
      <c r="B151" s="3"/>
      <c r="D151" s="2"/>
    </row>
    <row r="152" customFormat="false" ht="15" hidden="false" customHeight="false" outlineLevel="0" collapsed="false">
      <c r="A152" s="3"/>
      <c r="B152" s="66"/>
      <c r="C152" s="66"/>
      <c r="D152" s="66"/>
      <c r="E152" s="66"/>
    </row>
    <row r="153" customFormat="false" ht="17.55" hidden="false" customHeight="false" outlineLevel="0" collapsed="false">
      <c r="A153" s="3"/>
      <c r="B153" s="3"/>
      <c r="C153" s="5" t="s">
        <v>279</v>
      </c>
      <c r="D153" s="2"/>
      <c r="E153" s="67" t="s">
        <v>187</v>
      </c>
    </row>
    <row r="154" customFormat="false" ht="15" hidden="false" customHeight="false" outlineLevel="0" collapsed="false">
      <c r="A154" s="3"/>
      <c r="B154" s="3"/>
      <c r="D154" s="2"/>
    </row>
    <row r="155" customFormat="false" ht="24.75" hidden="false" customHeight="true" outlineLevel="0" collapsed="false">
      <c r="A155" s="7" t="s">
        <v>3</v>
      </c>
      <c r="B155" s="8" t="s">
        <v>4</v>
      </c>
      <c r="C155" s="9" t="s">
        <v>5</v>
      </c>
      <c r="D155" s="10" t="s">
        <v>6</v>
      </c>
      <c r="E155" s="11" t="s">
        <v>7</v>
      </c>
    </row>
    <row r="156" customFormat="false" ht="24.75" hidden="false" customHeight="true" outlineLevel="0" collapsed="false">
      <c r="A156" s="68" t="n">
        <v>1</v>
      </c>
      <c r="B156" s="106" t="s">
        <v>280</v>
      </c>
      <c r="C156" s="35" t="n">
        <v>416500</v>
      </c>
      <c r="D156" s="15" t="n">
        <f aca="false">216500+200000</f>
        <v>416500</v>
      </c>
      <c r="E156" s="36" t="n">
        <f aca="false">C156-D156</f>
        <v>0</v>
      </c>
    </row>
    <row r="157" customFormat="false" ht="24.75" hidden="false" customHeight="true" outlineLevel="0" collapsed="false">
      <c r="A157" s="68" t="n">
        <v>2</v>
      </c>
      <c r="B157" s="106" t="s">
        <v>281</v>
      </c>
      <c r="C157" s="35" t="n">
        <v>416500</v>
      </c>
      <c r="D157" s="15" t="n">
        <f aca="false">316500+100000</f>
        <v>416500</v>
      </c>
      <c r="E157" s="36" t="n">
        <f aca="false">C157-D157</f>
        <v>0</v>
      </c>
    </row>
    <row r="158" customFormat="false" ht="24.75" hidden="false" customHeight="true" outlineLevel="0" collapsed="false">
      <c r="A158" s="68" t="n">
        <v>3</v>
      </c>
      <c r="B158" s="107" t="s">
        <v>282</v>
      </c>
      <c r="C158" s="61" t="n">
        <v>416500</v>
      </c>
      <c r="D158" s="72" t="n">
        <f aca="false">266500+150000</f>
        <v>416500</v>
      </c>
      <c r="E158" s="16" t="n">
        <f aca="false">C158-D158</f>
        <v>0</v>
      </c>
    </row>
    <row r="159" customFormat="false" ht="24.75" hidden="false" customHeight="true" outlineLevel="0" collapsed="false">
      <c r="A159" s="68" t="n">
        <v>4</v>
      </c>
      <c r="B159" s="106" t="s">
        <v>285</v>
      </c>
      <c r="C159" s="61" t="n">
        <v>416500</v>
      </c>
      <c r="D159" s="72" t="n">
        <f aca="false">316500+100000</f>
        <v>416500</v>
      </c>
      <c r="E159" s="16" t="n">
        <f aca="false">C159-D159</f>
        <v>0</v>
      </c>
    </row>
    <row r="160" customFormat="false" ht="24.75" hidden="false" customHeight="true" outlineLevel="0" collapsed="false">
      <c r="A160" s="68" t="n">
        <v>5</v>
      </c>
      <c r="B160" s="106" t="s">
        <v>286</v>
      </c>
      <c r="C160" s="35" t="n">
        <v>416500</v>
      </c>
      <c r="D160" s="40" t="n">
        <f aca="false">416500</f>
        <v>416500</v>
      </c>
      <c r="E160" s="36" t="n">
        <f aca="false">C160-D160</f>
        <v>0</v>
      </c>
    </row>
    <row r="161" customFormat="false" ht="24.75" hidden="false" customHeight="true" outlineLevel="0" collapsed="false">
      <c r="A161" s="68" t="n">
        <v>6</v>
      </c>
      <c r="B161" s="106" t="s">
        <v>287</v>
      </c>
      <c r="C161" s="61" t="n">
        <v>416500</v>
      </c>
      <c r="D161" s="61" t="n">
        <f aca="false">316500+100000</f>
        <v>416500</v>
      </c>
      <c r="E161" s="16" t="n">
        <f aca="false">C161-D161</f>
        <v>0</v>
      </c>
    </row>
    <row r="162" customFormat="false" ht="24.75" hidden="false" customHeight="true" outlineLevel="0" collapsed="false">
      <c r="A162" s="68" t="n">
        <v>7</v>
      </c>
      <c r="B162" s="106" t="s">
        <v>291</v>
      </c>
      <c r="C162" s="61" t="n">
        <v>416500</v>
      </c>
      <c r="D162" s="61" t="n">
        <f aca="false">416500</f>
        <v>416500</v>
      </c>
      <c r="E162" s="16" t="n">
        <f aca="false">C162-D162</f>
        <v>0</v>
      </c>
    </row>
    <row r="163" customFormat="false" ht="24.75" hidden="false" customHeight="true" outlineLevel="0" collapsed="false">
      <c r="A163" s="44"/>
      <c r="B163" s="112"/>
      <c r="C163" s="27" t="n">
        <f aca="false">SUM(C156:C162)</f>
        <v>2915500</v>
      </c>
      <c r="D163" s="28" t="n">
        <f aca="false">SUM(D156:D162)</f>
        <v>2915500</v>
      </c>
      <c r="E163" s="46" t="n">
        <f aca="false">C163-D163</f>
        <v>0</v>
      </c>
    </row>
    <row r="164" customFormat="false" ht="15" hidden="false" customHeight="false" outlineLevel="0" collapsed="false">
      <c r="C164" s="108"/>
      <c r="D164" s="31"/>
      <c r="E164" s="109"/>
    </row>
    <row r="165" customFormat="false" ht="15" hidden="false" customHeight="false" outlineLevel="0" collapsed="false">
      <c r="C165" s="108"/>
      <c r="D165" s="31"/>
      <c r="E165" s="109"/>
    </row>
    <row r="166" customFormat="false" ht="15" hidden="false" customHeight="false" outlineLevel="0" collapsed="false">
      <c r="C166" s="108"/>
      <c r="D166" s="31"/>
      <c r="E166" s="109"/>
    </row>
    <row r="167" customFormat="false" ht="15" hidden="false" customHeight="false" outlineLevel="0" collapsed="false">
      <c r="C167" s="108"/>
      <c r="D167" s="31"/>
      <c r="E167" s="109"/>
    </row>
    <row r="168" customFormat="false" ht="15" hidden="false" customHeight="false" outlineLevel="0" collapsed="false">
      <c r="D168" s="2"/>
    </row>
    <row r="169" customFormat="false" ht="15" hidden="false" customHeight="false" outlineLevel="0" collapsed="false">
      <c r="A169" s="3"/>
      <c r="B169" s="3"/>
      <c r="D169" s="2"/>
    </row>
    <row r="170" customFormat="false" ht="15" hidden="false" customHeight="false" outlineLevel="0" collapsed="false">
      <c r="A170" s="3"/>
      <c r="B170" s="3"/>
      <c r="D170" s="2"/>
    </row>
    <row r="171" customFormat="false" ht="15" hidden="false" customHeight="false" outlineLevel="0" collapsed="false">
      <c r="A171" s="3"/>
      <c r="B171" s="66"/>
      <c r="C171" s="66"/>
      <c r="D171" s="66"/>
      <c r="E171" s="66"/>
    </row>
    <row r="172" customFormat="false" ht="17.55" hidden="false" customHeight="false" outlineLevel="0" collapsed="false">
      <c r="A172" s="3"/>
      <c r="B172" s="3"/>
      <c r="C172" s="5" t="s">
        <v>292</v>
      </c>
      <c r="D172" s="2"/>
      <c r="E172" s="67" t="s">
        <v>187</v>
      </c>
    </row>
    <row r="173" customFormat="false" ht="15" hidden="false" customHeight="false" outlineLevel="0" collapsed="false">
      <c r="A173" s="3"/>
      <c r="B173" s="3"/>
      <c r="D173" s="2"/>
    </row>
    <row r="174" customFormat="false" ht="24.75" hidden="false" customHeight="true" outlineLevel="0" collapsed="false">
      <c r="A174" s="114" t="s">
        <v>3</v>
      </c>
      <c r="B174" s="273" t="s">
        <v>4</v>
      </c>
      <c r="C174" s="52" t="s">
        <v>5</v>
      </c>
      <c r="D174" s="53" t="s">
        <v>6</v>
      </c>
      <c r="E174" s="54" t="s">
        <v>7</v>
      </c>
    </row>
    <row r="175" customFormat="false" ht="30" hidden="false" customHeight="true" outlineLevel="0" collapsed="false">
      <c r="A175" s="277" t="n">
        <v>1</v>
      </c>
      <c r="B175" s="115" t="s">
        <v>293</v>
      </c>
      <c r="C175" s="116" t="n">
        <v>416500</v>
      </c>
      <c r="D175" s="15" t="n">
        <f aca="false">210000+206000</f>
        <v>416000</v>
      </c>
      <c r="E175" s="59" t="n">
        <f aca="false">C175-D175</f>
        <v>500</v>
      </c>
    </row>
    <row r="176" customFormat="false" ht="24.75" hidden="false" customHeight="true" outlineLevel="0" collapsed="false">
      <c r="A176" s="68" t="n">
        <v>2</v>
      </c>
      <c r="B176" s="106" t="s">
        <v>294</v>
      </c>
      <c r="C176" s="35" t="n">
        <v>416500</v>
      </c>
      <c r="D176" s="15" t="n">
        <f aca="false">216500+200000</f>
        <v>416500</v>
      </c>
      <c r="E176" s="36" t="n">
        <f aca="false">C176-D176</f>
        <v>0</v>
      </c>
    </row>
    <row r="177" customFormat="false" ht="24.75" hidden="false" customHeight="true" outlineLevel="0" collapsed="false">
      <c r="A177" s="68" t="n">
        <v>3</v>
      </c>
      <c r="B177" s="106" t="s">
        <v>295</v>
      </c>
      <c r="C177" s="35" t="n">
        <v>416500</v>
      </c>
      <c r="D177" s="15" t="n">
        <f aca="false">216500+200000</f>
        <v>416500</v>
      </c>
      <c r="E177" s="36" t="n">
        <f aca="false">C177-D177</f>
        <v>0</v>
      </c>
    </row>
    <row r="178" customFormat="false" ht="24.75" hidden="false" customHeight="true" outlineLevel="0" collapsed="false">
      <c r="A178" s="277" t="n">
        <v>4</v>
      </c>
      <c r="B178" s="106" t="s">
        <v>296</v>
      </c>
      <c r="C178" s="61" t="n">
        <v>416500</v>
      </c>
      <c r="D178" s="72" t="n">
        <f aca="false">216500+200000</f>
        <v>416500</v>
      </c>
      <c r="E178" s="16" t="n">
        <f aca="false">C178-D178</f>
        <v>0</v>
      </c>
    </row>
    <row r="179" customFormat="false" ht="24.75" hidden="false" customHeight="true" outlineLevel="0" collapsed="false">
      <c r="A179" s="68" t="n">
        <v>5</v>
      </c>
      <c r="B179" s="106" t="s">
        <v>297</v>
      </c>
      <c r="C179" s="61" t="n">
        <v>416500</v>
      </c>
      <c r="D179" s="72" t="n">
        <f aca="false">300000+116500</f>
        <v>416500</v>
      </c>
      <c r="E179" s="16" t="n">
        <f aca="false">C179-D179</f>
        <v>0</v>
      </c>
    </row>
    <row r="180" customFormat="false" ht="24.75" hidden="false" customHeight="true" outlineLevel="0" collapsed="false">
      <c r="A180" s="68" t="n">
        <v>6</v>
      </c>
      <c r="B180" s="106" t="s">
        <v>992</v>
      </c>
      <c r="C180" s="35" t="n">
        <v>416500</v>
      </c>
      <c r="D180" s="15" t="n">
        <f aca="false">220000+196500</f>
        <v>416500</v>
      </c>
      <c r="E180" s="36" t="n">
        <f aca="false">C180-D180</f>
        <v>0</v>
      </c>
    </row>
    <row r="181" customFormat="false" ht="24.75" hidden="false" customHeight="true" outlineLevel="0" collapsed="false">
      <c r="A181" s="277" t="n">
        <v>7</v>
      </c>
      <c r="B181" s="106" t="s">
        <v>300</v>
      </c>
      <c r="C181" s="61" t="n">
        <v>416500</v>
      </c>
      <c r="D181" s="72" t="n">
        <f aca="false">416500</f>
        <v>416500</v>
      </c>
      <c r="E181" s="16" t="n">
        <f aca="false">C181-D181</f>
        <v>0</v>
      </c>
    </row>
    <row r="182" customFormat="false" ht="24.75" hidden="false" customHeight="true" outlineLevel="0" collapsed="false">
      <c r="A182" s="68" t="n">
        <v>8</v>
      </c>
      <c r="B182" s="106" t="s">
        <v>303</v>
      </c>
      <c r="C182" s="35" t="n">
        <v>416500</v>
      </c>
      <c r="D182" s="40" t="n">
        <f aca="false">200000+216500</f>
        <v>416500</v>
      </c>
      <c r="E182" s="36" t="n">
        <f aca="false">C182-D182</f>
        <v>0</v>
      </c>
    </row>
    <row r="183" customFormat="false" ht="24.75" hidden="false" customHeight="true" outlineLevel="0" collapsed="false">
      <c r="A183" s="68" t="n">
        <v>9</v>
      </c>
      <c r="B183" s="106" t="s">
        <v>304</v>
      </c>
      <c r="C183" s="61" t="n">
        <v>416500</v>
      </c>
      <c r="D183" s="61" t="n">
        <f aca="false">316500+100000</f>
        <v>416500</v>
      </c>
      <c r="E183" s="16" t="n">
        <f aca="false">C183-D183</f>
        <v>0</v>
      </c>
    </row>
    <row r="184" customFormat="false" ht="24.75" hidden="false" customHeight="true" outlineLevel="0" collapsed="false">
      <c r="A184" s="44"/>
      <c r="B184" s="112"/>
      <c r="C184" s="27" t="n">
        <f aca="false">SUM(C176:C183)</f>
        <v>3332000</v>
      </c>
      <c r="D184" s="28" t="n">
        <f aca="false">SUM(D176:D183)</f>
        <v>3332000</v>
      </c>
      <c r="E184" s="46" t="n">
        <f aca="false">C184-D184</f>
        <v>0</v>
      </c>
    </row>
    <row r="185" customFormat="false" ht="15" hidden="false" customHeight="false" outlineLevel="0" collapsed="false">
      <c r="C185" s="108"/>
      <c r="D185" s="31"/>
      <c r="E185" s="109"/>
    </row>
    <row r="186" customFormat="false" ht="15" hidden="false" customHeight="false" outlineLevel="0" collapsed="false">
      <c r="C186" s="108"/>
      <c r="D186" s="31"/>
      <c r="E186" s="109"/>
    </row>
    <row r="187" customFormat="false" ht="15" hidden="false" customHeight="false" outlineLevel="0" collapsed="false">
      <c r="D187" s="2"/>
    </row>
    <row r="188" customFormat="false" ht="15" hidden="false" customHeight="false" outlineLevel="0" collapsed="false">
      <c r="A188" s="3"/>
      <c r="B188" s="3"/>
      <c r="D188" s="2"/>
    </row>
    <row r="189" customFormat="false" ht="17.35" hidden="false" customHeight="false" outlineLevel="0" collapsed="false">
      <c r="A189" s="51"/>
      <c r="B189" s="51"/>
      <c r="D189" s="2"/>
    </row>
    <row r="190" customFormat="false" ht="15" hidden="false" customHeight="false" outlineLevel="0" collapsed="false">
      <c r="A190" s="3"/>
      <c r="B190" s="3"/>
      <c r="D190" s="2"/>
    </row>
    <row r="191" customFormat="false" ht="15" hidden="false" customHeight="false" outlineLevel="0" collapsed="false">
      <c r="A191" s="3"/>
      <c r="B191" s="3"/>
      <c r="D191" s="2"/>
    </row>
    <row r="192" customFormat="false" ht="17.55" hidden="false" customHeight="false" outlineLevel="0" collapsed="false">
      <c r="A192" s="3"/>
      <c r="B192" s="3"/>
      <c r="C192" s="5" t="s">
        <v>171</v>
      </c>
      <c r="D192" s="6" t="s">
        <v>187</v>
      </c>
    </row>
    <row r="193" customFormat="false" ht="15" hidden="false" customHeight="false" outlineLevel="0" collapsed="false">
      <c r="A193" s="3"/>
      <c r="B193" s="3"/>
      <c r="D193" s="2"/>
    </row>
    <row r="194" customFormat="false" ht="15" hidden="false" customHeight="false" outlineLevel="0" collapsed="false">
      <c r="A194" s="7" t="s">
        <v>3</v>
      </c>
      <c r="B194" s="273" t="s">
        <v>4</v>
      </c>
      <c r="C194" s="9" t="s">
        <v>5</v>
      </c>
      <c r="D194" s="10" t="s">
        <v>6</v>
      </c>
      <c r="E194" s="11" t="s">
        <v>7</v>
      </c>
    </row>
    <row r="195" customFormat="false" ht="15" hidden="false" customHeight="false" outlineLevel="0" collapsed="false">
      <c r="A195" s="68" t="n">
        <v>1</v>
      </c>
      <c r="B195" s="106" t="s">
        <v>306</v>
      </c>
      <c r="C195" s="14" t="n">
        <v>416500</v>
      </c>
      <c r="D195" s="92" t="n">
        <f aca="false">216500+100000+100000</f>
        <v>416500</v>
      </c>
      <c r="E195" s="36" t="n">
        <f aca="false">C195-D195</f>
        <v>0</v>
      </c>
    </row>
    <row r="196" customFormat="false" ht="15" hidden="false" customHeight="false" outlineLevel="0" collapsed="false">
      <c r="A196" s="68" t="n">
        <v>2</v>
      </c>
      <c r="B196" s="106" t="s">
        <v>308</v>
      </c>
      <c r="C196" s="14" t="n">
        <v>416500</v>
      </c>
      <c r="D196" s="95" t="n">
        <f aca="false">416500</f>
        <v>416500</v>
      </c>
      <c r="E196" s="36" t="n">
        <f aca="false">C196-D196</f>
        <v>0</v>
      </c>
    </row>
    <row r="197" customFormat="false" ht="15" hidden="false" customHeight="false" outlineLevel="0" collapsed="false">
      <c r="A197" s="68" t="n">
        <v>3</v>
      </c>
      <c r="B197" s="107" t="s">
        <v>314</v>
      </c>
      <c r="C197" s="35" t="n">
        <v>416500</v>
      </c>
      <c r="D197" s="61" t="n">
        <f aca="false">250000+166500</f>
        <v>416500</v>
      </c>
      <c r="E197" s="36" t="n">
        <f aca="false">C197-D197</f>
        <v>0</v>
      </c>
    </row>
    <row r="198" customFormat="false" ht="23.85" hidden="false" customHeight="false" outlineLevel="0" collapsed="false">
      <c r="A198" s="68" t="n">
        <v>4</v>
      </c>
      <c r="B198" s="107" t="s">
        <v>320</v>
      </c>
      <c r="C198" s="35" t="n">
        <v>416500</v>
      </c>
      <c r="D198" s="61" t="n">
        <f aca="false">416500</f>
        <v>416500</v>
      </c>
      <c r="E198" s="36" t="n">
        <f aca="false">C198-D198</f>
        <v>0</v>
      </c>
    </row>
    <row r="199" customFormat="false" ht="15" hidden="false" customHeight="false" outlineLevel="0" collapsed="false">
      <c r="A199" s="68" t="n">
        <v>5</v>
      </c>
      <c r="B199" s="107" t="s">
        <v>993</v>
      </c>
      <c r="C199" s="61" t="n">
        <v>416500</v>
      </c>
      <c r="D199" s="41" t="n">
        <f aca="false">216500+200000</f>
        <v>416500</v>
      </c>
      <c r="E199" s="36" t="n">
        <f aca="false">C199-D199</f>
        <v>0</v>
      </c>
    </row>
    <row r="200" customFormat="false" ht="15" hidden="false" customHeight="false" outlineLevel="0" collapsed="false">
      <c r="A200" s="44"/>
      <c r="B200" s="111"/>
      <c r="C200" s="27" t="n">
        <f aca="false">SUM(C195:C199)</f>
        <v>2082500</v>
      </c>
      <c r="D200" s="28" t="n">
        <f aca="false">SUM(D195:D199)</f>
        <v>2082500</v>
      </c>
      <c r="E200" s="46" t="n">
        <f aca="false">SUM(E195:E199)</f>
        <v>0</v>
      </c>
    </row>
    <row r="201" customFormat="false" ht="15" hidden="false" customHeight="false" outlineLevel="0" collapsed="false">
      <c r="C201" s="108"/>
      <c r="D201" s="31"/>
      <c r="E201" s="109"/>
    </row>
    <row r="202" customFormat="false" ht="15" hidden="false" customHeight="false" outlineLevel="0" collapsed="false">
      <c r="A202" s="3"/>
      <c r="B202" s="3"/>
      <c r="D202" s="2"/>
    </row>
    <row r="203" customFormat="false" ht="17.35" hidden="false" customHeight="false" outlineLevel="0" collapsed="false">
      <c r="A203" s="51"/>
      <c r="B203" s="51"/>
      <c r="D203" s="2"/>
    </row>
    <row r="204" customFormat="false" ht="15" hidden="false" customHeight="false" outlineLevel="0" collapsed="false">
      <c r="A204" s="3"/>
      <c r="B204" s="3"/>
      <c r="D204" s="2"/>
    </row>
    <row r="205" customFormat="false" ht="15" hidden="false" customHeight="false" outlineLevel="0" collapsed="false">
      <c r="A205" s="3"/>
      <c r="B205" s="3"/>
      <c r="D205" s="2"/>
    </row>
    <row r="206" customFormat="false" ht="17.35" hidden="false" customHeight="false" outlineLevel="0" collapsed="false">
      <c r="A206" s="3"/>
      <c r="B206" s="3"/>
      <c r="C206" s="78" t="s">
        <v>113</v>
      </c>
      <c r="D206" s="6" t="s">
        <v>187</v>
      </c>
    </row>
    <row r="207" customFormat="false" ht="15" hidden="false" customHeight="false" outlineLevel="0" collapsed="false">
      <c r="A207" s="3"/>
      <c r="B207" s="3"/>
      <c r="D207" s="2"/>
    </row>
    <row r="208" customFormat="false" ht="15" hidden="false" customHeight="false" outlineLevel="0" collapsed="false">
      <c r="A208" s="7" t="s">
        <v>3</v>
      </c>
      <c r="B208" s="273" t="s">
        <v>4</v>
      </c>
      <c r="C208" s="9" t="s">
        <v>5</v>
      </c>
      <c r="D208" s="10" t="s">
        <v>6</v>
      </c>
      <c r="E208" s="11" t="s">
        <v>7</v>
      </c>
    </row>
    <row r="209" customFormat="false" ht="15" hidden="false" customHeight="false" outlineLevel="0" collapsed="false">
      <c r="A209" s="81" t="n">
        <v>1</v>
      </c>
      <c r="B209" s="106" t="s">
        <v>324</v>
      </c>
      <c r="C209" s="35" t="n">
        <v>416500</v>
      </c>
      <c r="D209" s="61" t="n">
        <f aca="false">210000+206000</f>
        <v>416000</v>
      </c>
      <c r="E209" s="36" t="n">
        <f aca="false">C209-D209</f>
        <v>500</v>
      </c>
    </row>
    <row r="210" customFormat="false" ht="15" hidden="false" customHeight="false" outlineLevel="0" collapsed="false">
      <c r="A210" s="81" t="n">
        <v>2</v>
      </c>
      <c r="B210" s="106" t="s">
        <v>994</v>
      </c>
      <c r="C210" s="35" t="n">
        <v>416500</v>
      </c>
      <c r="D210" s="61" t="n">
        <f aca="false">416500</f>
        <v>416500</v>
      </c>
      <c r="E210" s="36" t="n">
        <f aca="false">C210-D210</f>
        <v>0</v>
      </c>
    </row>
    <row r="211" customFormat="false" ht="15" hidden="false" customHeight="false" outlineLevel="0" collapsed="false">
      <c r="A211" s="79" t="n">
        <v>3</v>
      </c>
      <c r="B211" s="106" t="s">
        <v>328</v>
      </c>
      <c r="C211" s="35" t="n">
        <v>416500</v>
      </c>
      <c r="D211" s="61" t="n">
        <f aca="false">216500+200000</f>
        <v>416500</v>
      </c>
      <c r="E211" s="36" t="n">
        <f aca="false">C211-D211</f>
        <v>0</v>
      </c>
    </row>
    <row r="212" customFormat="false" ht="15" hidden="false" customHeight="false" outlineLevel="0" collapsed="false">
      <c r="A212" s="81" t="n">
        <v>4</v>
      </c>
      <c r="B212" s="106" t="s">
        <v>330</v>
      </c>
      <c r="C212" s="35" t="n">
        <v>416500</v>
      </c>
      <c r="D212" s="61" t="n">
        <f aca="false">200000+200000+16000</f>
        <v>416000</v>
      </c>
      <c r="E212" s="36" t="n">
        <f aca="false">C212-D212</f>
        <v>500</v>
      </c>
    </row>
    <row r="213" customFormat="false" ht="15" hidden="false" customHeight="false" outlineLevel="0" collapsed="false">
      <c r="A213" s="81" t="n">
        <v>5</v>
      </c>
      <c r="B213" s="106" t="s">
        <v>332</v>
      </c>
      <c r="C213" s="35" t="n">
        <v>416500</v>
      </c>
      <c r="D213" s="61" t="n">
        <f aca="false">250000+166000</f>
        <v>416000</v>
      </c>
      <c r="E213" s="36" t="n">
        <f aca="false">C213-D213</f>
        <v>500</v>
      </c>
    </row>
    <row r="214" customFormat="false" ht="15" hidden="false" customHeight="false" outlineLevel="0" collapsed="false">
      <c r="A214" s="79" t="n">
        <v>6</v>
      </c>
      <c r="B214" s="106" t="s">
        <v>995</v>
      </c>
      <c r="C214" s="35" t="n">
        <v>416500</v>
      </c>
      <c r="D214" s="61" t="n">
        <f aca="false">216000+150000+50000</f>
        <v>416000</v>
      </c>
      <c r="E214" s="36" t="n">
        <f aca="false">C214-D214</f>
        <v>500</v>
      </c>
    </row>
    <row r="215" customFormat="false" ht="15" hidden="false" customHeight="false" outlineLevel="0" collapsed="false">
      <c r="A215" s="81" t="n">
        <v>7</v>
      </c>
      <c r="B215" s="106" t="s">
        <v>337</v>
      </c>
      <c r="C215" s="35" t="n">
        <v>416500</v>
      </c>
      <c r="D215" s="61" t="n">
        <f aca="false">216500+200000</f>
        <v>416500</v>
      </c>
      <c r="E215" s="36" t="n">
        <f aca="false">C215-D215</f>
        <v>0</v>
      </c>
    </row>
    <row r="216" customFormat="false" ht="15" hidden="false" customHeight="false" outlineLevel="0" collapsed="false">
      <c r="A216" s="81" t="n">
        <v>8</v>
      </c>
      <c r="B216" s="106" t="s">
        <v>338</v>
      </c>
      <c r="C216" s="35" t="n">
        <v>416500</v>
      </c>
      <c r="D216" s="61" t="n">
        <f aca="false">100000+200000+116000</f>
        <v>416000</v>
      </c>
      <c r="E216" s="36" t="n">
        <f aca="false">C216-D216</f>
        <v>500</v>
      </c>
    </row>
    <row r="217" customFormat="false" ht="23.85" hidden="false" customHeight="false" outlineLevel="0" collapsed="false">
      <c r="A217" s="79" t="n">
        <v>9</v>
      </c>
      <c r="B217" s="106" t="s">
        <v>340</v>
      </c>
      <c r="C217" s="35" t="n">
        <v>416500</v>
      </c>
      <c r="D217" s="61" t="n">
        <f aca="false">416500</f>
        <v>416500</v>
      </c>
      <c r="E217" s="36" t="n">
        <f aca="false">C217-D217</f>
        <v>0</v>
      </c>
    </row>
    <row r="218" customFormat="false" ht="15" hidden="false" customHeight="false" outlineLevel="0" collapsed="false">
      <c r="A218" s="81" t="n">
        <v>10</v>
      </c>
      <c r="B218" s="106" t="s">
        <v>342</v>
      </c>
      <c r="C218" s="35" t="n">
        <v>416500</v>
      </c>
      <c r="D218" s="61" t="n">
        <f aca="false">200000+216000</f>
        <v>416000</v>
      </c>
      <c r="E218" s="36" t="n">
        <f aca="false">C218-D218</f>
        <v>500</v>
      </c>
    </row>
    <row r="219" customFormat="false" ht="15" hidden="false" customHeight="false" outlineLevel="0" collapsed="false">
      <c r="A219" s="81" t="n">
        <v>11</v>
      </c>
      <c r="B219" s="106" t="s">
        <v>343</v>
      </c>
      <c r="C219" s="35" t="n">
        <v>416500</v>
      </c>
      <c r="D219" s="61" t="n">
        <f aca="false">316000+100000</f>
        <v>416000</v>
      </c>
      <c r="E219" s="36" t="n">
        <f aca="false">C219-D219</f>
        <v>500</v>
      </c>
    </row>
    <row r="220" customFormat="false" ht="15" hidden="false" customHeight="false" outlineLevel="0" collapsed="false">
      <c r="A220" s="81" t="n">
        <v>21</v>
      </c>
      <c r="B220" s="106" t="s">
        <v>344</v>
      </c>
      <c r="C220" s="35" t="n">
        <v>416500</v>
      </c>
      <c r="D220" s="61" t="n">
        <f aca="false">300000+116500</f>
        <v>416500</v>
      </c>
      <c r="E220" s="36" t="n">
        <f aca="false">C220-D220</f>
        <v>0</v>
      </c>
    </row>
    <row r="221" customFormat="false" ht="15" hidden="false" customHeight="false" outlineLevel="0" collapsed="false">
      <c r="A221" s="44"/>
      <c r="B221" s="278"/>
      <c r="C221" s="27" t="n">
        <f aca="false">SUM(C209:C220)</f>
        <v>4998000</v>
      </c>
      <c r="D221" s="87" t="n">
        <f aca="false">SUM(D209:D220)</f>
        <v>4994500</v>
      </c>
      <c r="E221" s="46" t="n">
        <f aca="false">SUM(E209:E220)</f>
        <v>3500</v>
      </c>
    </row>
  </sheetData>
  <mergeCells count="8">
    <mergeCell ref="B27:E27"/>
    <mergeCell ref="B45:E45"/>
    <mergeCell ref="B62:E62"/>
    <mergeCell ref="B87:E87"/>
    <mergeCell ref="B103:E103"/>
    <mergeCell ref="B131:E131"/>
    <mergeCell ref="B152:E152"/>
    <mergeCell ref="B171:E17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E64"/>
  <sheetViews>
    <sheetView showFormulas="false" showGridLines="true" showRowColHeaders="true" showZeros="true" rightToLeft="false" tabSelected="false" showOutlineSymbols="true" defaultGridColor="true" view="normal" topLeftCell="A172" colorId="64" zoomScale="123" zoomScaleNormal="123" zoomScalePageLayoutView="100" workbookViewId="0">
      <selection pane="topLeft" activeCell="A6" activeCellId="0" sqref="A6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34.14"/>
    <col collapsed="false" customWidth="true" hidden="false" outlineLevel="0" max="3" min="3" style="1" width="14.29"/>
    <col collapsed="false" customWidth="true" hidden="false" outlineLevel="0" max="4" min="4" style="1" width="15.57"/>
    <col collapsed="false" customWidth="true" hidden="false" outlineLevel="0" max="5" min="5" style="1" width="16.84"/>
  </cols>
  <sheetData>
    <row r="6" customFormat="false" ht="17.35" hidden="false" customHeight="false" outlineLevel="0" collapsed="false">
      <c r="A6" s="76"/>
      <c r="B6" s="76" t="s">
        <v>474</v>
      </c>
    </row>
    <row r="8" customFormat="false" ht="17.25" hidden="false" customHeight="false" outlineLevel="0" collapsed="false">
      <c r="B8" s="123" t="s">
        <v>475</v>
      </c>
    </row>
    <row r="10" customFormat="false" ht="17.35" hidden="false" customHeight="false" outlineLevel="0" collapsed="false">
      <c r="B10" s="77"/>
    </row>
    <row r="11" customFormat="false" ht="15" hidden="false" customHeight="false" outlineLevel="0" collapsed="false">
      <c r="B11" s="125" t="s">
        <v>476</v>
      </c>
    </row>
    <row r="13" customFormat="false" ht="15" hidden="false" customHeight="false" outlineLevel="0" collapsed="false">
      <c r="A13" s="126" t="s">
        <v>3</v>
      </c>
      <c r="B13" s="127" t="s">
        <v>996</v>
      </c>
      <c r="C13" s="9"/>
      <c r="D13" s="128"/>
      <c r="E13" s="129"/>
    </row>
    <row r="14" customFormat="false" ht="15" hidden="false" customHeight="false" outlineLevel="0" collapsed="false">
      <c r="A14" s="130" t="n">
        <v>1</v>
      </c>
      <c r="B14" s="146" t="s">
        <v>477</v>
      </c>
      <c r="C14" s="132"/>
      <c r="D14" s="132"/>
      <c r="E14" s="133"/>
    </row>
    <row r="15" customFormat="false" ht="15" hidden="false" customHeight="false" outlineLevel="0" collapsed="false">
      <c r="A15" s="130" t="n">
        <v>2</v>
      </c>
      <c r="B15" s="146" t="s">
        <v>478</v>
      </c>
      <c r="C15" s="132"/>
      <c r="D15" s="132"/>
      <c r="E15" s="133"/>
    </row>
    <row r="16" customFormat="false" ht="15" hidden="false" customHeight="false" outlineLevel="0" collapsed="false">
      <c r="A16" s="130" t="n">
        <v>3</v>
      </c>
      <c r="B16" s="146" t="s">
        <v>479</v>
      </c>
      <c r="C16" s="132"/>
      <c r="D16" s="132"/>
      <c r="E16" s="133"/>
    </row>
    <row r="17" customFormat="false" ht="15" hidden="false" customHeight="false" outlineLevel="0" collapsed="false">
      <c r="A17" s="130" t="n">
        <v>4</v>
      </c>
      <c r="B17" s="146" t="s">
        <v>480</v>
      </c>
      <c r="C17" s="132"/>
      <c r="D17" s="132"/>
      <c r="E17" s="133"/>
    </row>
    <row r="18" customFormat="false" ht="15" hidden="false" customHeight="false" outlineLevel="0" collapsed="false">
      <c r="A18" s="130" t="n">
        <v>5</v>
      </c>
      <c r="B18" s="146" t="s">
        <v>482</v>
      </c>
      <c r="C18" s="132"/>
      <c r="D18" s="132"/>
      <c r="E18" s="133"/>
    </row>
    <row r="19" customFormat="false" ht="15" hidden="false" customHeight="false" outlineLevel="0" collapsed="false">
      <c r="A19" s="130" t="n">
        <v>6</v>
      </c>
      <c r="B19" s="146" t="s">
        <v>483</v>
      </c>
      <c r="C19" s="132"/>
      <c r="D19" s="132"/>
      <c r="E19" s="133"/>
    </row>
    <row r="20" customFormat="false" ht="15" hidden="false" customHeight="false" outlineLevel="0" collapsed="false">
      <c r="A20" s="130" t="n">
        <v>7</v>
      </c>
      <c r="B20" s="146" t="s">
        <v>484</v>
      </c>
      <c r="C20" s="132"/>
      <c r="D20" s="132"/>
      <c r="E20" s="133"/>
    </row>
    <row r="21" customFormat="false" ht="15" hidden="false" customHeight="false" outlineLevel="0" collapsed="false">
      <c r="A21" s="130" t="n">
        <v>8</v>
      </c>
      <c r="B21" s="146" t="s">
        <v>485</v>
      </c>
      <c r="C21" s="132"/>
      <c r="D21" s="132"/>
      <c r="E21" s="133"/>
    </row>
    <row r="22" customFormat="false" ht="15" hidden="false" customHeight="false" outlineLevel="0" collapsed="false">
      <c r="A22" s="130" t="n">
        <v>9</v>
      </c>
      <c r="B22" s="146" t="s">
        <v>486</v>
      </c>
      <c r="C22" s="132"/>
      <c r="D22" s="132"/>
      <c r="E22" s="133"/>
    </row>
    <row r="23" customFormat="false" ht="15" hidden="false" customHeight="false" outlineLevel="0" collapsed="false">
      <c r="A23" s="130" t="n">
        <v>10</v>
      </c>
      <c r="B23" s="146" t="s">
        <v>997</v>
      </c>
      <c r="C23" s="132"/>
      <c r="D23" s="132"/>
      <c r="E23" s="133"/>
    </row>
    <row r="24" customFormat="false" ht="15" hidden="false" customHeight="false" outlineLevel="0" collapsed="false">
      <c r="A24" s="130" t="n">
        <v>11</v>
      </c>
      <c r="B24" s="146" t="s">
        <v>488</v>
      </c>
      <c r="C24" s="132"/>
      <c r="D24" s="132"/>
      <c r="E24" s="133"/>
    </row>
    <row r="25" customFormat="false" ht="15" hidden="false" customHeight="false" outlineLevel="0" collapsed="false">
      <c r="A25" s="130" t="n">
        <v>12</v>
      </c>
      <c r="B25" s="146" t="s">
        <v>489</v>
      </c>
      <c r="C25" s="132"/>
      <c r="D25" s="132"/>
      <c r="E25" s="133"/>
    </row>
    <row r="26" customFormat="false" ht="15" hidden="false" customHeight="false" outlineLevel="0" collapsed="false">
      <c r="A26" s="130" t="n">
        <v>13</v>
      </c>
      <c r="B26" s="146" t="s">
        <v>490</v>
      </c>
      <c r="C26" s="132"/>
      <c r="D26" s="132"/>
      <c r="E26" s="133"/>
    </row>
    <row r="27" customFormat="false" ht="15" hidden="false" customHeight="false" outlineLevel="0" collapsed="false">
      <c r="A27" s="130" t="n">
        <v>14</v>
      </c>
      <c r="B27" s="146" t="s">
        <v>491</v>
      </c>
      <c r="C27" s="132"/>
      <c r="D27" s="132"/>
      <c r="E27" s="133"/>
    </row>
    <row r="28" customFormat="false" ht="15" hidden="false" customHeight="false" outlineLevel="0" collapsed="false">
      <c r="A28" s="130" t="n">
        <v>15</v>
      </c>
      <c r="B28" s="146" t="s">
        <v>998</v>
      </c>
      <c r="C28" s="132"/>
      <c r="D28" s="132"/>
      <c r="E28" s="133"/>
    </row>
    <row r="29" customFormat="false" ht="15" hidden="false" customHeight="false" outlineLevel="0" collapsed="false">
      <c r="A29" s="130" t="n">
        <v>16</v>
      </c>
      <c r="B29" s="146" t="s">
        <v>492</v>
      </c>
      <c r="C29" s="132"/>
      <c r="D29" s="132"/>
      <c r="E29" s="133"/>
    </row>
    <row r="30" customFormat="false" ht="15" hidden="false" customHeight="false" outlineLevel="0" collapsed="false">
      <c r="A30" s="130" t="n">
        <v>17</v>
      </c>
      <c r="B30" s="146" t="s">
        <v>493</v>
      </c>
      <c r="C30" s="132"/>
      <c r="D30" s="132"/>
      <c r="E30" s="133"/>
    </row>
    <row r="31" customFormat="false" ht="15" hidden="false" customHeight="false" outlineLevel="0" collapsed="false">
      <c r="A31" s="130" t="n">
        <v>18</v>
      </c>
      <c r="B31" s="146" t="s">
        <v>494</v>
      </c>
      <c r="C31" s="132"/>
      <c r="D31" s="132"/>
      <c r="E31" s="133"/>
    </row>
    <row r="32" customFormat="false" ht="15" hidden="false" customHeight="false" outlineLevel="0" collapsed="false">
      <c r="A32" s="130" t="n">
        <v>19</v>
      </c>
      <c r="B32" s="146" t="s">
        <v>496</v>
      </c>
      <c r="C32" s="132"/>
      <c r="D32" s="132"/>
      <c r="E32" s="133"/>
    </row>
    <row r="33" customFormat="false" ht="15" hidden="false" customHeight="false" outlineLevel="0" collapsed="false">
      <c r="A33" s="130" t="n">
        <v>20</v>
      </c>
      <c r="B33" s="146" t="s">
        <v>497</v>
      </c>
      <c r="C33" s="132"/>
      <c r="D33" s="132"/>
      <c r="E33" s="133"/>
    </row>
    <row r="34" customFormat="false" ht="15" hidden="false" customHeight="false" outlineLevel="0" collapsed="false">
      <c r="A34" s="130" t="n">
        <v>21</v>
      </c>
      <c r="B34" s="146" t="s">
        <v>499</v>
      </c>
      <c r="C34" s="132"/>
      <c r="D34" s="132"/>
      <c r="E34" s="133"/>
    </row>
    <row r="35" customFormat="false" ht="15" hidden="false" customHeight="false" outlineLevel="0" collapsed="false">
      <c r="A35" s="130" t="n">
        <v>22</v>
      </c>
      <c r="B35" s="146" t="s">
        <v>500</v>
      </c>
      <c r="C35" s="132"/>
      <c r="D35" s="132"/>
      <c r="E35" s="133"/>
    </row>
    <row r="36" customFormat="false" ht="15" hidden="false" customHeight="false" outlineLevel="0" collapsed="false">
      <c r="A36" s="130" t="n">
        <v>23</v>
      </c>
      <c r="B36" s="146" t="s">
        <v>501</v>
      </c>
      <c r="C36" s="132"/>
      <c r="D36" s="132"/>
      <c r="E36" s="133"/>
    </row>
    <row r="37" customFormat="false" ht="15" hidden="false" customHeight="false" outlineLevel="0" collapsed="false">
      <c r="A37" s="130" t="n">
        <v>24</v>
      </c>
      <c r="B37" s="146" t="s">
        <v>502</v>
      </c>
      <c r="C37" s="132"/>
      <c r="D37" s="132"/>
      <c r="E37" s="133"/>
    </row>
    <row r="38" customFormat="false" ht="15" hidden="false" customHeight="false" outlineLevel="0" collapsed="false">
      <c r="A38" s="130" t="n">
        <v>25</v>
      </c>
      <c r="B38" s="146" t="s">
        <v>503</v>
      </c>
      <c r="C38" s="132"/>
      <c r="D38" s="132"/>
      <c r="E38" s="133"/>
    </row>
    <row r="39" customFormat="false" ht="15" hidden="false" customHeight="false" outlineLevel="0" collapsed="false">
      <c r="A39" s="130" t="n">
        <v>26</v>
      </c>
      <c r="B39" s="146" t="s">
        <v>504</v>
      </c>
      <c r="C39" s="132"/>
      <c r="D39" s="132"/>
      <c r="E39" s="133"/>
    </row>
    <row r="40" customFormat="false" ht="15" hidden="false" customHeight="false" outlineLevel="0" collapsed="false">
      <c r="A40" s="130" t="n">
        <v>27</v>
      </c>
      <c r="B40" s="146" t="s">
        <v>505</v>
      </c>
      <c r="C40" s="132"/>
      <c r="D40" s="132"/>
      <c r="E40" s="133"/>
    </row>
    <row r="41" customFormat="false" ht="15" hidden="false" customHeight="false" outlineLevel="0" collapsed="false">
      <c r="A41" s="130" t="n">
        <v>28</v>
      </c>
      <c r="B41" s="146" t="s">
        <v>507</v>
      </c>
      <c r="C41" s="132"/>
      <c r="D41" s="132"/>
      <c r="E41" s="133"/>
    </row>
    <row r="42" customFormat="false" ht="15" hidden="false" customHeight="false" outlineLevel="0" collapsed="false">
      <c r="A42" s="130" t="n">
        <v>29</v>
      </c>
      <c r="B42" s="146" t="s">
        <v>508</v>
      </c>
      <c r="C42" s="132"/>
      <c r="D42" s="132"/>
      <c r="E42" s="133"/>
    </row>
    <row r="43" customFormat="false" ht="15" hidden="false" customHeight="false" outlineLevel="0" collapsed="false">
      <c r="A43" s="130" t="n">
        <v>30</v>
      </c>
      <c r="B43" s="146" t="s">
        <v>510</v>
      </c>
      <c r="C43" s="132"/>
      <c r="D43" s="132"/>
      <c r="E43" s="133"/>
    </row>
    <row r="44" customFormat="false" ht="15" hidden="false" customHeight="false" outlineLevel="0" collapsed="false">
      <c r="A44" s="130" t="n">
        <v>31</v>
      </c>
      <c r="B44" s="146" t="s">
        <v>511</v>
      </c>
      <c r="C44" s="132"/>
      <c r="D44" s="132"/>
      <c r="E44" s="133"/>
    </row>
    <row r="45" customFormat="false" ht="15" hidden="false" customHeight="false" outlineLevel="0" collapsed="false">
      <c r="A45" s="130" t="n">
        <v>32</v>
      </c>
      <c r="B45" s="146" t="s">
        <v>999</v>
      </c>
      <c r="C45" s="132"/>
      <c r="D45" s="132"/>
      <c r="E45" s="133"/>
    </row>
    <row r="46" customFormat="false" ht="15" hidden="false" customHeight="false" outlineLevel="0" collapsed="false">
      <c r="A46" s="130" t="n">
        <v>33</v>
      </c>
      <c r="B46" s="146" t="s">
        <v>513</v>
      </c>
      <c r="C46" s="132"/>
      <c r="D46" s="132"/>
      <c r="E46" s="133"/>
    </row>
    <row r="47" customFormat="false" ht="15" hidden="false" customHeight="false" outlineLevel="0" collapsed="false">
      <c r="A47" s="130" t="n">
        <v>34</v>
      </c>
      <c r="B47" s="146" t="s">
        <v>514</v>
      </c>
      <c r="C47" s="132"/>
      <c r="D47" s="132"/>
      <c r="E47" s="133"/>
    </row>
    <row r="48" customFormat="false" ht="15" hidden="false" customHeight="false" outlineLevel="0" collapsed="false">
      <c r="A48" s="130" t="n">
        <v>35</v>
      </c>
      <c r="B48" s="146" t="s">
        <v>515</v>
      </c>
      <c r="C48" s="132"/>
      <c r="D48" s="132"/>
      <c r="E48" s="133"/>
    </row>
    <row r="49" customFormat="false" ht="15" hidden="false" customHeight="false" outlineLevel="0" collapsed="false">
      <c r="A49" s="130" t="n">
        <v>36</v>
      </c>
      <c r="B49" s="146" t="s">
        <v>516</v>
      </c>
      <c r="C49" s="132"/>
      <c r="D49" s="132"/>
      <c r="E49" s="133"/>
    </row>
    <row r="50" customFormat="false" ht="15" hidden="false" customHeight="false" outlineLevel="0" collapsed="false">
      <c r="A50" s="130" t="n">
        <v>37</v>
      </c>
      <c r="B50" s="146" t="s">
        <v>517</v>
      </c>
      <c r="C50" s="132"/>
      <c r="D50" s="132"/>
      <c r="E50" s="133"/>
    </row>
    <row r="51" customFormat="false" ht="15" hidden="false" customHeight="false" outlineLevel="0" collapsed="false">
      <c r="A51" s="130" t="n">
        <v>38</v>
      </c>
      <c r="B51" s="146" t="s">
        <v>519</v>
      </c>
      <c r="C51" s="132"/>
      <c r="D51" s="132"/>
      <c r="E51" s="133"/>
    </row>
    <row r="52" customFormat="false" ht="15" hidden="false" customHeight="false" outlineLevel="0" collapsed="false">
      <c r="A52" s="130" t="n">
        <v>39</v>
      </c>
      <c r="B52" s="146" t="s">
        <v>518</v>
      </c>
      <c r="C52" s="132"/>
      <c r="D52" s="132"/>
      <c r="E52" s="133"/>
    </row>
    <row r="53" customFormat="false" ht="15" hidden="false" customHeight="false" outlineLevel="0" collapsed="false">
      <c r="A53" s="130" t="n">
        <v>40</v>
      </c>
      <c r="B53" s="146" t="s">
        <v>520</v>
      </c>
      <c r="C53" s="132"/>
      <c r="D53" s="132"/>
      <c r="E53" s="133"/>
    </row>
    <row r="54" customFormat="false" ht="15" hidden="false" customHeight="false" outlineLevel="0" collapsed="false">
      <c r="A54" s="130" t="n">
        <v>41</v>
      </c>
      <c r="B54" s="146" t="s">
        <v>521</v>
      </c>
      <c r="C54" s="132"/>
      <c r="D54" s="132"/>
      <c r="E54" s="133"/>
    </row>
    <row r="55" customFormat="false" ht="15" hidden="false" customHeight="false" outlineLevel="0" collapsed="false">
      <c r="A55" s="130" t="n">
        <v>42</v>
      </c>
      <c r="B55" s="146" t="s">
        <v>522</v>
      </c>
      <c r="C55" s="132"/>
      <c r="D55" s="132"/>
      <c r="E55" s="133"/>
    </row>
    <row r="56" customFormat="false" ht="15" hidden="false" customHeight="false" outlineLevel="0" collapsed="false">
      <c r="A56" s="130" t="n">
        <v>43</v>
      </c>
      <c r="B56" s="146" t="s">
        <v>523</v>
      </c>
      <c r="C56" s="132"/>
      <c r="D56" s="132"/>
      <c r="E56" s="133"/>
    </row>
    <row r="57" customFormat="false" ht="15" hidden="false" customHeight="false" outlineLevel="0" collapsed="false">
      <c r="A57" s="130" t="n">
        <v>44</v>
      </c>
      <c r="B57" s="146" t="s">
        <v>524</v>
      </c>
      <c r="C57" s="132"/>
      <c r="D57" s="132"/>
      <c r="E57" s="133"/>
    </row>
    <row r="58" customFormat="false" ht="15" hidden="false" customHeight="false" outlineLevel="0" collapsed="false">
      <c r="A58" s="130" t="n">
        <v>45</v>
      </c>
      <c r="B58" s="146" t="s">
        <v>525</v>
      </c>
      <c r="C58" s="132"/>
      <c r="D58" s="132"/>
      <c r="E58" s="133"/>
    </row>
    <row r="59" customFormat="false" ht="15" hidden="false" customHeight="false" outlineLevel="0" collapsed="false">
      <c r="A59" s="130" t="n">
        <v>46</v>
      </c>
      <c r="B59" s="146" t="s">
        <v>526</v>
      </c>
      <c r="C59" s="132"/>
      <c r="D59" s="132"/>
      <c r="E59" s="133"/>
    </row>
    <row r="60" customFormat="false" ht="15" hidden="false" customHeight="false" outlineLevel="0" collapsed="false">
      <c r="A60" s="130" t="n">
        <v>47</v>
      </c>
      <c r="B60" s="146" t="s">
        <v>527</v>
      </c>
      <c r="C60" s="132"/>
      <c r="D60" s="132"/>
      <c r="E60" s="133"/>
    </row>
    <row r="61" customFormat="false" ht="15" hidden="false" customHeight="false" outlineLevel="0" collapsed="false">
      <c r="A61" s="130" t="n">
        <v>48</v>
      </c>
      <c r="B61" s="146" t="s">
        <v>528</v>
      </c>
      <c r="C61" s="132"/>
      <c r="D61" s="132"/>
      <c r="E61" s="133"/>
    </row>
    <row r="62" customFormat="false" ht="15" hidden="false" customHeight="false" outlineLevel="0" collapsed="false">
      <c r="A62" s="130" t="n">
        <v>49</v>
      </c>
      <c r="B62" s="146" t="s">
        <v>529</v>
      </c>
      <c r="C62" s="132"/>
      <c r="D62" s="132"/>
      <c r="E62" s="133"/>
    </row>
    <row r="63" customFormat="false" ht="19.7" hidden="false" customHeight="false" outlineLevel="0" collapsed="false">
      <c r="A63" s="138"/>
      <c r="B63" s="139" t="s">
        <v>24</v>
      </c>
      <c r="C63" s="140" t="n">
        <f aca="false">SUM(C14:C62)</f>
        <v>0</v>
      </c>
      <c r="D63" s="141" t="n">
        <f aca="false">SUM(D14:D62)</f>
        <v>0</v>
      </c>
      <c r="E63" s="142" t="n">
        <f aca="false">SUM(E14:E62)</f>
        <v>0</v>
      </c>
    </row>
    <row r="6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E18"/>
  <sheetViews>
    <sheetView showFormulas="false" showGridLines="true" showRowColHeaders="true" showZeros="true" rightToLeft="false" tabSelected="false" showOutlineSymbols="true" defaultGridColor="true" view="normal" topLeftCell="A1" colorId="64" zoomScale="123" zoomScaleNormal="123" zoomScalePageLayoutView="100" workbookViewId="0">
      <selection pane="topLeft" activeCell="F10" activeCellId="0" sqref="F10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5.43"/>
    <col collapsed="false" customWidth="true" hidden="false" outlineLevel="0" max="16383" min="16382" style="0" width="11.53"/>
    <col collapsed="false" customWidth="true" hidden="false" outlineLevel="0" max="16384" min="16384" style="1" width="11.53"/>
  </cols>
  <sheetData>
    <row r="6" customFormat="false" ht="15" hidden="false" customHeight="false" outlineLevel="0" collapsed="false">
      <c r="A6" s="3"/>
      <c r="B6" s="3"/>
      <c r="D6" s="2"/>
    </row>
    <row r="7" customFormat="false" ht="17.35" hidden="false" customHeight="false" outlineLevel="0" collapsed="false">
      <c r="A7" s="51"/>
      <c r="B7" s="51"/>
      <c r="D7" s="2"/>
    </row>
    <row r="8" customFormat="false" ht="15" hidden="false" customHeight="false" outlineLevel="0" collapsed="false">
      <c r="A8" s="3"/>
      <c r="B8" s="3"/>
      <c r="D8" s="2"/>
    </row>
    <row r="9" customFormat="false" ht="15" hidden="false" customHeight="false" outlineLevel="0" collapsed="false">
      <c r="A9" s="3"/>
      <c r="B9" s="3"/>
      <c r="D9" s="2"/>
    </row>
    <row r="10" customFormat="false" ht="17.55" hidden="false" customHeight="false" outlineLevel="0" collapsed="false">
      <c r="A10" s="3"/>
      <c r="B10" s="3"/>
      <c r="C10" s="5" t="s">
        <v>171</v>
      </c>
      <c r="D10" s="6" t="s">
        <v>187</v>
      </c>
    </row>
    <row r="11" customFormat="false" ht="15" hidden="false" customHeight="false" outlineLevel="0" collapsed="false">
      <c r="A11" s="3"/>
      <c r="B11" s="3"/>
      <c r="D11" s="2"/>
    </row>
    <row r="12" customFormat="false" ht="15" hidden="false" customHeight="false" outlineLevel="0" collapsed="false">
      <c r="A12" s="114" t="s">
        <v>3</v>
      </c>
      <c r="B12" s="8" t="s">
        <v>4</v>
      </c>
      <c r="C12" s="52" t="s">
        <v>5</v>
      </c>
      <c r="D12" s="53" t="s">
        <v>6</v>
      </c>
      <c r="E12" s="54" t="s">
        <v>7</v>
      </c>
    </row>
    <row r="13" customFormat="false" ht="19.5" hidden="false" customHeight="true" outlineLevel="0" collapsed="false">
      <c r="A13" s="68" t="n">
        <v>1</v>
      </c>
      <c r="B13" s="106" t="s">
        <v>306</v>
      </c>
      <c r="C13" s="14" t="n">
        <v>416500</v>
      </c>
      <c r="D13" s="92" t="n">
        <f aca="false">216500+100000+100000</f>
        <v>416500</v>
      </c>
      <c r="E13" s="36" t="n">
        <f aca="false">C13-D13</f>
        <v>0</v>
      </c>
    </row>
    <row r="14" customFormat="false" ht="19.5" hidden="false" customHeight="true" outlineLevel="0" collapsed="false">
      <c r="A14" s="68" t="n">
        <v>2</v>
      </c>
      <c r="B14" s="106" t="s">
        <v>308</v>
      </c>
      <c r="C14" s="14" t="n">
        <v>416500</v>
      </c>
      <c r="D14" s="95" t="n">
        <f aca="false">416500</f>
        <v>416500</v>
      </c>
      <c r="E14" s="36" t="n">
        <f aca="false">C14-D14</f>
        <v>0</v>
      </c>
    </row>
    <row r="15" customFormat="false" ht="19.5" hidden="false" customHeight="true" outlineLevel="0" collapsed="false">
      <c r="A15" s="68" t="n">
        <v>3</v>
      </c>
      <c r="B15" s="107" t="s">
        <v>314</v>
      </c>
      <c r="C15" s="35" t="n">
        <v>416500</v>
      </c>
      <c r="D15" s="61" t="n">
        <f aca="false">250000+166500</f>
        <v>416500</v>
      </c>
      <c r="E15" s="36" t="n">
        <f aca="false">C15-D15</f>
        <v>0</v>
      </c>
    </row>
    <row r="16" customFormat="false" ht="19.5" hidden="false" customHeight="true" outlineLevel="0" collapsed="false">
      <c r="A16" s="68" t="n">
        <v>4</v>
      </c>
      <c r="B16" s="107" t="s">
        <v>320</v>
      </c>
      <c r="C16" s="35" t="n">
        <v>416500</v>
      </c>
      <c r="D16" s="61" t="n">
        <f aca="false">416500</f>
        <v>416500</v>
      </c>
      <c r="E16" s="36" t="n">
        <f aca="false">C16-D16</f>
        <v>0</v>
      </c>
    </row>
    <row r="17" customFormat="false" ht="19.5" hidden="false" customHeight="true" outlineLevel="0" collapsed="false">
      <c r="A17" s="68" t="n">
        <v>5</v>
      </c>
      <c r="B17" s="107" t="s">
        <v>993</v>
      </c>
      <c r="C17" s="61" t="n">
        <v>416500</v>
      </c>
      <c r="D17" s="41" t="n">
        <f aca="false">216500+200000</f>
        <v>416500</v>
      </c>
      <c r="E17" s="36" t="n">
        <f aca="false">C17-D17</f>
        <v>0</v>
      </c>
    </row>
    <row r="18" customFormat="false" ht="15" hidden="false" customHeight="false" outlineLevel="0" collapsed="false">
      <c r="A18" s="44"/>
      <c r="B18" s="111"/>
      <c r="C18" s="27"/>
      <c r="D18" s="28"/>
      <c r="E18" s="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2015-02-05T14:12:00Z</dcterms:created>
  <dc:creator>HP</dc:creator>
  <dc:description/>
  <dc:language>fr-FR</dc:language>
  <cp:lastModifiedBy/>
  <cp:lastPrinted>2021-01-27T11:11:00Z</cp:lastPrinted>
  <dcterms:modified xsi:type="dcterms:W3CDTF">2024-12-23T05:53:46Z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11F9ACE99E874B05B7FA7775BC40C501_12</vt:lpwstr>
  </property>
  <property fmtid="{D5CDD505-2E9C-101B-9397-08002B2CF9AE}" pid="3" name="KSOProductBuildVer">
    <vt:lpwstr>1036-12.2.0.17119</vt:lpwstr>
  </property>
</Properties>
</file>