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CENCE PRO. 2è-3è-4è ANNEE" sheetId="1" state="visible" r:id="rId3"/>
    <sheet name="LICENCE PRO 1ère ANNEE" sheetId="2" state="visible" r:id="rId4"/>
    <sheet name="INGENIEUR 2012-2013" sheetId="3" state="visible" r:id="rId5"/>
    <sheet name="Reste à solder 2013" sheetId="4" state="visible" r:id="rId6"/>
    <sheet name="A_IGNORER_1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<sst xmlns="http://schemas.openxmlformats.org/spreadsheetml/2006/main" count="1240" uniqueCount="820">
  <si>
    <t xml:space="preserve">LICENCE PROFESSIONNELLE 2012-2013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</si>
  <si>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</si>
  <si>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t xml:space="preserve">2ème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</si>
  <si>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GESTION DE L'ENVIRONNEMENT</t>
    </r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</si>
  <si>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</si>
  <si>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</si>
  <si>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</si>
  <si>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</si>
  <si>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</si>
  <si>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t xml:space="preserve">ADEDODJA Adéchinan Prudence</t>
  </si>
  <si>
    <t xml:space="preserve">AGBASSOU Coffi Dominique</t>
  </si>
  <si>
    <t xml:space="preserve">AICHEOU Yénanze Pascal</t>
  </si>
  <si>
    <t xml:space="preserve">AKAKPOVI AGOSSOU Jacques</t>
  </si>
  <si>
    <t xml:space="preserve">AGLINGO Comlan Cyriaque</t>
  </si>
  <si>
    <t xml:space="preserve">ALLOGNON Boniface</t>
  </si>
  <si>
    <t xml:space="preserve">ALLOHOUNTADE Kinhodé Paul</t>
  </si>
  <si>
    <t xml:space="preserve">ARIGBO Elié Raoul</t>
  </si>
  <si>
    <t xml:space="preserve">ARRE Hubert</t>
  </si>
  <si>
    <t xml:space="preserve">AZIAGLO Renoeud Arcadius</t>
  </si>
  <si>
    <t xml:space="preserve">BANI SAMARI Amadou</t>
  </si>
  <si>
    <t xml:space="preserve">BIAOU Joseph Yves</t>
  </si>
  <si>
    <t xml:space="preserve">DAKE Victor</t>
  </si>
  <si>
    <t xml:space="preserve">DANSOU Tanlodjou Antonin</t>
  </si>
  <si>
    <t xml:space="preserve">DEGUENON  Eder Segla</t>
  </si>
  <si>
    <t xml:space="preserve">ENDEMI MORAT  Rockayatou</t>
  </si>
  <si>
    <t xml:space="preserve">HESSOU Coffi Albert</t>
  </si>
  <si>
    <t xml:space="preserve">IBRAHIMA Moustafa</t>
  </si>
  <si>
    <t xml:space="preserve">ISSA Alassane</t>
  </si>
  <si>
    <t xml:space="preserve">KEKE Mahudo Marcel</t>
  </si>
  <si>
    <t xml:space="preserve">KOLANI NAMBIMA Archille</t>
  </si>
  <si>
    <t xml:space="preserve">LOMPO Sanni</t>
  </si>
  <si>
    <t xml:space="preserve">MALENOU Nestor</t>
  </si>
  <si>
    <t xml:space="preserve">MEDEHOU Vigninou Gérard Mechelga</t>
  </si>
  <si>
    <t xml:space="preserve">MEGNIKPA  Frésus Sonagnon Lionel</t>
  </si>
  <si>
    <t xml:space="preserve">OBOSSOU Agniwo Eugene</t>
  </si>
  <si>
    <t xml:space="preserve">OKE Cella Mireille</t>
  </si>
  <si>
    <t xml:space="preserve">SAWE Aboudou Wassiou</t>
  </si>
  <si>
    <t xml:space="preserve">YAOVI Enagnon Arsene Euloge</t>
  </si>
  <si>
    <t xml:space="preserve">ZOBLIKPO Missihoun Romuald</t>
  </si>
  <si>
    <t xml:space="preserve">ZODIBLA Raymond</t>
  </si>
  <si>
    <t xml:space="preserve">AMLI Anselme</t>
  </si>
  <si>
    <t xml:space="preserve">ZENONTIN H Franck  S</t>
  </si>
  <si>
    <t xml:space="preserve">BALANCE</t>
  </si>
  <si>
    <t xml:space="preserve">3ème Année</t>
  </si>
  <si>
    <t xml:space="preserve">ADJAGBESSI V, Gildas</t>
  </si>
  <si>
    <t xml:space="preserve">AGONTINGLO Romario Rodriguez</t>
  </si>
  <si>
    <t xml:space="preserve">AGUESSY Alilondji Marius</t>
  </si>
  <si>
    <t xml:space="preserve">ALAGBE Abdou karim</t>
  </si>
  <si>
    <t xml:space="preserve">ALLAGBE Alimi Yao</t>
  </si>
  <si>
    <t xml:space="preserve">ALLOGNON Olivier*</t>
  </si>
  <si>
    <t xml:space="preserve">AOGOU AROUNA Soulémane</t>
  </si>
  <si>
    <t xml:space="preserve">ASSOUKOU Patrice</t>
  </si>
  <si>
    <t xml:space="preserve">ASSOUMA GOBOUNA Orou Mako</t>
  </si>
  <si>
    <t xml:space="preserve">ATCHI Abel</t>
  </si>
  <si>
    <t xml:space="preserve">ATEMBA Emmanuel  R, Dona</t>
  </si>
  <si>
    <t xml:space="preserve">BOSSOU Gbénakponn Francois</t>
  </si>
  <si>
    <t xml:space="preserve">DAGBETO Nestor</t>
  </si>
  <si>
    <t xml:space="preserve">DANSI Fanou Mathias</t>
  </si>
  <si>
    <t xml:space="preserve">DOSSOU A D, Gildas</t>
  </si>
  <si>
    <t xml:space="preserve">FAGLA Dominique</t>
  </si>
  <si>
    <t xml:space="preserve">FOLLY Cocou Maurice</t>
  </si>
  <si>
    <t xml:space="preserve">GODONOU Médékogbé Jean Marie</t>
  </si>
  <si>
    <t xml:space="preserve">IDRISSOU Tidjani</t>
  </si>
  <si>
    <t xml:space="preserve">KARIMOU IBRAHIMA Nassirou Bodah</t>
  </si>
  <si>
    <t xml:space="preserve">KIATTI Pinda Boniface</t>
  </si>
  <si>
    <t xml:space="preserve">KINSA IDANI Basile Kodjo</t>
  </si>
  <si>
    <t xml:space="preserve">KPADONOU Kuessiba Justine Carine</t>
  </si>
  <si>
    <t xml:space="preserve">MAFFON Assouan Constantin</t>
  </si>
  <si>
    <t xml:space="preserve">MIKINHOUESSE N, Henri Joel</t>
  </si>
  <si>
    <t xml:space="preserve">MOUHAMAM ISSAKA Bouhari</t>
  </si>
  <si>
    <t xml:space="preserve">NAHOU HERVE</t>
  </si>
  <si>
    <t xml:space="preserve">NOANTI D, BOUKALI Hamidou</t>
  </si>
  <si>
    <t xml:space="preserve">NOUMAYI Adjimon Thiéry</t>
  </si>
  <si>
    <t xml:space="preserve">OKOUIDJO Obossi Octavie Virginie</t>
  </si>
  <si>
    <t xml:space="preserve">OMONYELE Anne Marie</t>
  </si>
  <si>
    <t xml:space="preserve">OUOROU YERIMA S, Félix</t>
  </si>
  <si>
    <t xml:space="preserve">RAOUFOU Abdul Koudous Achamou</t>
  </si>
  <si>
    <t xml:space="preserve">SENA TIBOTARA Alvere Sidonie</t>
  </si>
  <si>
    <t xml:space="preserve">TCHOUMADO Alphonse</t>
  </si>
  <si>
    <t xml:space="preserve">TOSSA Ruphin</t>
  </si>
  <si>
    <t xml:space="preserve">TOSSOU Etienne</t>
  </si>
  <si>
    <t xml:space="preserve">YAROU Aissetou</t>
  </si>
  <si>
    <t xml:space="preserve">ZANNOU Charles Nouésséwa Yémalin</t>
  </si>
  <si>
    <t xml:space="preserve">AGLOSSI Koffi Aimé</t>
  </si>
  <si>
    <t xml:space="preserve">DOSSA Emmanuel Gillux</t>
  </si>
  <si>
    <t xml:space="preserve">iDRISSOU Traoré Issa</t>
  </si>
  <si>
    <t xml:space="preserve">KOUMASSEGBO G. B. Brice</t>
  </si>
  <si>
    <t xml:space="preserve"> ZIME CESSI Koto</t>
  </si>
  <si>
    <r>
      <rPr>
        <b val="true"/>
        <sz val="16"/>
        <color theme="1"/>
        <rFont val="Calibri"/>
        <family val="0"/>
        <charset val="1"/>
      </rPr>
      <t xml:space="preserve">BALANCE</t>
    </r>
    <r>
      <rPr>
        <b val="true"/>
        <sz val="16"/>
        <color theme="1"/>
        <rFont val="Calibri"/>
        <family val="0"/>
        <charset val="134"/>
      </rPr>
      <t xml:space="preserve"> </t>
    </r>
  </si>
  <si>
    <t xml:space="preserve">4ème Année</t>
  </si>
  <si>
    <t xml:space="preserve">ABOU ZOUNON Mahamoud Habib A,</t>
  </si>
  <si>
    <t xml:space="preserve">AGBAOSSI O,  Jérémie</t>
  </si>
  <si>
    <t xml:space="preserve">AGBEMADON Appolinaire</t>
  </si>
  <si>
    <t xml:space="preserve">AGOMMA Noukpo Djidjoho Aimé</t>
  </si>
  <si>
    <t xml:space="preserve">AHOTON Gilles Djidjoho</t>
  </si>
  <si>
    <t xml:space="preserve">AKOUEGNINOU B, Isaac Donald</t>
  </si>
  <si>
    <t xml:space="preserve">AKPO I, Oméga</t>
  </si>
  <si>
    <t xml:space="preserve">ALI OWE Kamal Dine ADISSA A,</t>
  </si>
  <si>
    <t xml:space="preserve">ASSEGNISSO N, Jules</t>
  </si>
  <si>
    <t xml:space="preserve">ATINDEHOU Evéline Valerie</t>
  </si>
  <si>
    <t xml:space="preserve">AZONKPIN Adolphe</t>
  </si>
  <si>
    <t xml:space="preserve">BAHLEMAN Ramatou</t>
  </si>
  <si>
    <t xml:space="preserve">CAPO CHICHI Michael Eric S,</t>
  </si>
  <si>
    <t xml:space="preserve">DJINADOU Magido</t>
  </si>
  <si>
    <t xml:space="preserve">DJOUAH Enock Clovis</t>
  </si>
  <si>
    <t xml:space="preserve">HOUENHA M, Charles</t>
  </si>
  <si>
    <t xml:space="preserve">KANGNI Raphael Francois</t>
  </si>
  <si>
    <t xml:space="preserve">MAIRIE C</t>
  </si>
  <si>
    <t xml:space="preserve">KOUVEGLO Audrey Fernande T,</t>
  </si>
  <si>
    <t xml:space="preserve">KPOHOUNME Calixte</t>
  </si>
  <si>
    <t xml:space="preserve">MISSIKPODE Gouton Baudelaire</t>
  </si>
  <si>
    <t xml:space="preserve">OLAYE ADJERAN A, Freddy</t>
  </si>
  <si>
    <t xml:space="preserve">SAVASSI Armand Roméo</t>
  </si>
  <si>
    <t xml:space="preserve">SEKEDJA Mingnak</t>
  </si>
  <si>
    <t xml:space="preserve">SIDI Abib Laye</t>
  </si>
  <si>
    <t xml:space="preserve">TOSSOU M, Victoire</t>
  </si>
  <si>
    <t xml:space="preserve">TOUDJI N, Charles Arthur</t>
  </si>
  <si>
    <t xml:space="preserve">ZANKPO K,Blaise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</si>
  <si>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</si>
  <si>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ABALO Kouassi  José Vivian</t>
  </si>
  <si>
    <t xml:space="preserve">ADANDONON AGBETO  Victorin</t>
  </si>
  <si>
    <t xml:space="preserve">ADIMI Oladoumi Gédéon</t>
  </si>
  <si>
    <t xml:space="preserve">ADJOVI Abrove Myriel Dorodes</t>
  </si>
  <si>
    <t xml:space="preserve">ALLOGNI Patrice Stéphane</t>
  </si>
  <si>
    <t xml:space="preserve">ATCHOHOUNDO Bernard</t>
  </si>
  <si>
    <t xml:space="preserve">BAH BOCCO GOUSSEYO  Abdel Aziz</t>
  </si>
  <si>
    <t xml:space="preserve">BAKARY Ludwig Faissal Bakiye</t>
  </si>
  <si>
    <t xml:space="preserve">BIAO AYOWOLE A. Bénédicta</t>
  </si>
  <si>
    <t xml:space="preserve">CHAFFA Adéniké Honorine</t>
  </si>
  <si>
    <t xml:space="preserve">DAGBETO Dossa Samuel</t>
  </si>
  <si>
    <t xml:space="preserve">DANGOU Haziz</t>
  </si>
  <si>
    <t xml:space="preserve">DANNON Finagnon Oscar</t>
  </si>
  <si>
    <t xml:space="preserve">DJIKPESSE Cossi Raoul Wilfrid</t>
  </si>
  <si>
    <t xml:space="preserve">EDAH Frédéric</t>
  </si>
  <si>
    <t xml:space="preserve">EZIN Anne Marie</t>
  </si>
  <si>
    <t xml:space="preserve">GBEMAVO Edouard</t>
  </si>
  <si>
    <t xml:space="preserve">GBEMENOU Elidja Tachegnon Romaric</t>
  </si>
  <si>
    <t xml:space="preserve">GUIDIGAN Casimir Olivier Défodji</t>
  </si>
  <si>
    <t xml:space="preserve">HADEKON Ascension Sékloka</t>
  </si>
  <si>
    <t xml:space="preserve">KOTOLI Nadjahath Médégnonmi</t>
  </si>
  <si>
    <t xml:space="preserve">KOUDJANGNIHOUE Judith</t>
  </si>
  <si>
    <t xml:space="preserve">MAYABA Biham Richard</t>
  </si>
  <si>
    <t xml:space="preserve">MOUMOUNI BELLO Magidou</t>
  </si>
  <si>
    <t xml:space="preserve">MOUSSA Salem</t>
  </si>
  <si>
    <t xml:space="preserve">MONTCHO Bignon Yvette Caroline</t>
  </si>
  <si>
    <t xml:space="preserve">MOUSSA Sanni Romain</t>
  </si>
  <si>
    <t xml:space="preserve">N TCHA Kouagou Vivien</t>
  </si>
  <si>
    <t xml:space="preserve">NOUATIN B, Ménadéle Fréjus Raoul</t>
  </si>
  <si>
    <t xml:space="preserve">OUDO M, Raymond</t>
  </si>
  <si>
    <t xml:space="preserve">SABI DESSIGUI Gnon GANI</t>
  </si>
  <si>
    <t xml:space="preserve">SAKI Lapouassa  Gauthier</t>
  </si>
  <si>
    <t xml:space="preserve">SALAMI OSSENI Soulé</t>
  </si>
  <si>
    <t xml:space="preserve">SEWANOU Jésuwamin Fifonsi Pascaline</t>
  </si>
  <si>
    <t xml:space="preserve">SIMBIA Christophe Okpati</t>
  </si>
  <si>
    <t xml:space="preserve">SOULE MOHAMADOU</t>
  </si>
  <si>
    <t xml:space="preserve">KOUAGOU Tchouga Agnès</t>
  </si>
  <si>
    <t xml:space="preserve">ADEROMOU Adinane O, Abiole</t>
  </si>
  <si>
    <t xml:space="preserve">ADJAKALE Jean Eude Comlan</t>
  </si>
  <si>
    <t xml:space="preserve">AGOSSADOU Dégla judicael Arnaud</t>
  </si>
  <si>
    <t xml:space="preserve">AGOUNTCHEME Yédia Théodora</t>
  </si>
  <si>
    <t xml:space="preserve">AGUIAR  Fidele Alexandre</t>
  </si>
  <si>
    <t xml:space="preserve">AHOMADIGANHOU Moise</t>
  </si>
  <si>
    <t xml:space="preserve">AKONDE MOUMOUNI Karim</t>
  </si>
  <si>
    <t xml:space="preserve">ALASSANE Aboudoul Ali Akim</t>
  </si>
  <si>
    <t xml:space="preserve">ALOKPON Jean Janvier</t>
  </si>
  <si>
    <t xml:space="preserve">DOSSOU A,DOGNON Gildas</t>
  </si>
  <si>
    <t xml:space="preserve">FAYALO Kanhonou Mélaine Vartan</t>
  </si>
  <si>
    <t xml:space="preserve">GNAHOUI Codjo  Phébus A,</t>
  </si>
  <si>
    <t xml:space="preserve">HONFFO Gérard</t>
  </si>
  <si>
    <t xml:space="preserve">HOUETCHEGNON Tognissè Alain</t>
  </si>
  <si>
    <t xml:space="preserve">HOUNKANRIN Jésutonwutu Prisca</t>
  </si>
  <si>
    <t xml:space="preserve">HOUNDJO Moussa</t>
  </si>
  <si>
    <t xml:space="preserve">KARIMOU IBRAHIMA Amidou Bodah</t>
  </si>
  <si>
    <t xml:space="preserve">KOUMOI Tchilabalo Félix</t>
  </si>
  <si>
    <t xml:space="preserve">LEODE Essessi Pélagie</t>
  </si>
  <si>
    <t xml:space="preserve">LOBIYI Adédirant Narcisse</t>
  </si>
  <si>
    <t xml:space="preserve">NOUKPLIGUIDI Martial Fernand</t>
  </si>
  <si>
    <t xml:space="preserve">SANNI DEMON Arouna Djafarou</t>
  </si>
  <si>
    <t xml:space="preserve">SOGBOSSI Kokou Calixte</t>
  </si>
  <si>
    <t xml:space="preserve">TEKA Isac</t>
  </si>
  <si>
    <t xml:space="preserve">TOSSOU Colette</t>
  </si>
  <si>
    <t xml:space="preserve">TRINNOU Messanh Etienne</t>
  </si>
  <si>
    <t xml:space="preserve">VIDJOGNI Enawagnon Cossi</t>
  </si>
  <si>
    <t xml:space="preserve">ZITTI ROMAIN Clément Agossou</t>
  </si>
  <si>
    <t xml:space="preserve">KONFO K, Christiane</t>
  </si>
  <si>
    <t xml:space="preserve">SEFANDE Joseph</t>
  </si>
  <si>
    <t xml:space="preserve">AHOUDOU Faïssal</t>
  </si>
  <si>
    <t xml:space="preserve">HOUESSINON Omer Mathieu</t>
  </si>
  <si>
    <t xml:space="preserve">ADAMOU Zouma</t>
  </si>
  <si>
    <t xml:space="preserve">AGBOHOUTO Comlan Calixte</t>
  </si>
  <si>
    <t xml:space="preserve">AGNIWO Victorin</t>
  </si>
  <si>
    <t xml:space="preserve">AGOHOUNDJE Claude</t>
  </si>
  <si>
    <t xml:space="preserve">AGOUNTCHEME S Hortense</t>
  </si>
  <si>
    <t xml:space="preserve">AHLE   Assiba Victoire</t>
  </si>
  <si>
    <t xml:space="preserve">AHOYO V V Michel</t>
  </si>
  <si>
    <t xml:space="preserve">AINOU Joel  Arsel V L F</t>
  </si>
  <si>
    <t xml:space="preserve">AIZANNOU Crespin Samuel</t>
  </si>
  <si>
    <t xml:space="preserve">AKABASSI Symphorien</t>
  </si>
  <si>
    <t xml:space="preserve">ATCHAHA IDRISSOU Yaya</t>
  </si>
  <si>
    <t xml:space="preserve">AVINOU Samuel</t>
  </si>
  <si>
    <t xml:space="preserve">AWONTIME Maxim Ernest</t>
  </si>
  <si>
    <t xml:space="preserve">BANKOLE Albert</t>
  </si>
  <si>
    <t xml:space="preserve">BIO KPEREKE YACOUBOU A</t>
  </si>
  <si>
    <t xml:space="preserve">BOSSA Arielle Clotilde Sédé</t>
  </si>
  <si>
    <t xml:space="preserve">BOUKARI Anous</t>
  </si>
  <si>
    <t xml:space="preserve">BOULOU MOUMOUNI Abdel Fadel</t>
  </si>
  <si>
    <t xml:space="preserve">BOUNONWA D Antoine Léonce</t>
  </si>
  <si>
    <t xml:space="preserve">BOUSSARI  Adétona Faozane</t>
  </si>
  <si>
    <t xml:space="preserve">BOUSSOUNDE Machoudou</t>
  </si>
  <si>
    <t xml:space="preserve">CHITOU  Raimatou A Ariké</t>
  </si>
  <si>
    <t xml:space="preserve">COFFI A Adissa  Nabyl</t>
  </si>
  <si>
    <t xml:space="preserve">da SILVA Modeste Crépin</t>
  </si>
  <si>
    <t xml:space="preserve">DANSI DAGA Félix</t>
  </si>
  <si>
    <t xml:space="preserve">DJEHOUE Job Oscar</t>
  </si>
  <si>
    <t xml:space="preserve">FAGNIDE T Guy Hervé</t>
  </si>
  <si>
    <t xml:space="preserve">FAWANOU S Hyppolyte</t>
  </si>
  <si>
    <t xml:space="preserve">GANSE Aida Violenne</t>
  </si>
  <si>
    <t xml:space="preserve">GOUROUGBEGBA Bio Guéra </t>
  </si>
  <si>
    <t xml:space="preserve">HONDI ASSAH Clarence M</t>
  </si>
  <si>
    <t xml:space="preserve">HOUEDOTE Bernadin T</t>
  </si>
  <si>
    <t xml:space="preserve">HOUNDEBASSO C Jean Pierre</t>
  </si>
  <si>
    <t xml:space="preserve">HOUNKOU Eugène K</t>
  </si>
  <si>
    <t xml:space="preserve">HOUSSA D Arsène Didier</t>
  </si>
  <si>
    <t xml:space="preserve">HOUNTONDJI A Yvon</t>
  </si>
  <si>
    <t xml:space="preserve">HOUNTONDJI  Frésus Jocelyn M</t>
  </si>
  <si>
    <t xml:space="preserve">KATCHON Ablodoun David</t>
  </si>
  <si>
    <t xml:space="preserve">KODOKOUI S  Arsène</t>
  </si>
  <si>
    <t xml:space="preserve">KPATINDE V Jean Jaurès</t>
  </si>
  <si>
    <t xml:space="preserve">LOUKPE Saoudath Sabine</t>
  </si>
  <si>
    <t xml:space="preserve">MAMADOU ISSA Cham Dine</t>
  </si>
  <si>
    <t xml:space="preserve">MAMOUNOU MASSARI Chabi K</t>
  </si>
  <si>
    <t xml:space="preserve">MIKO GOHOUN Faustin</t>
  </si>
  <si>
    <t xml:space="preserve">MONRA MAMOUDOU YAYA</t>
  </si>
  <si>
    <t xml:space="preserve">MONTCHO Aubierge E</t>
  </si>
  <si>
    <t xml:space="preserve">MOUVI Pauline Mèlé</t>
  </si>
  <si>
    <t xml:space="preserve">NASSAM Rosaline</t>
  </si>
  <si>
    <t xml:space="preserve">POGNON Codjo Firmin</t>
  </si>
  <si>
    <t xml:space="preserve">SABARI I Abdoulaye</t>
  </si>
  <si>
    <t xml:space="preserve">SAIZONOU G Jolisse Inès</t>
  </si>
  <si>
    <t xml:space="preserve">SALIFOU Moustafa</t>
  </si>
  <si>
    <t xml:space="preserve">TCHEHO S Josiane Olaitan</t>
  </si>
  <si>
    <t xml:space="preserve">(54</t>
  </si>
  <si>
    <t xml:space="preserve">TEDE Marie Francoise</t>
  </si>
  <si>
    <t xml:space="preserve">TOSSOU D Gilles Rodrigue  Arnauld</t>
  </si>
  <si>
    <t xml:space="preserve">TOVIKINDE A Carlos</t>
  </si>
  <si>
    <t xml:space="preserve">ZINSOU S Marc  fiacre</t>
  </si>
  <si>
    <t xml:space="preserve">BOSSA T R Ingrid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</si>
  <si>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ANIMALE</t>
    </r>
  </si>
  <si>
    <t xml:space="preserve">ADJAHOUHOUE Cyriaque*</t>
  </si>
  <si>
    <t xml:space="preserve">AGBODJANTO Jean</t>
  </si>
  <si>
    <t xml:space="preserve">AGBODO Michel</t>
  </si>
  <si>
    <t xml:space="preserve">ALLAVO Chritelle  Arnaude</t>
  </si>
  <si>
    <t xml:space="preserve">AMAVI Adakou Gratien Viviane</t>
  </si>
  <si>
    <t xml:space="preserve">AMINOU Maziath Francoise</t>
  </si>
  <si>
    <t xml:space="preserve">BOGNINOU Gilles</t>
  </si>
  <si>
    <t xml:space="preserve">BOTON Doheto Christian</t>
  </si>
  <si>
    <t xml:space="preserve">GOUNOU LAFIA Kora Boniface</t>
  </si>
  <si>
    <t xml:space="preserve">HOUNTONDJI Codjo Ignace</t>
  </si>
  <si>
    <t xml:space="preserve">KANTY Asséréhou Roland Bienvenu</t>
  </si>
  <si>
    <t xml:space="preserve">KASSA Tonganbori Jérome</t>
  </si>
  <si>
    <t xml:space="preserve">KOUMAGNON Lamidi</t>
  </si>
  <si>
    <t xml:space="preserve">LOVENOU Alphonsine</t>
  </si>
  <si>
    <t xml:space="preserve">ZAMMASSOU Yaovi Prudence</t>
  </si>
  <si>
    <t xml:space="preserve">AKABASSI Sithon Baudelaire</t>
  </si>
  <si>
    <t xml:space="preserve">BIO BAGOU Guillaume</t>
  </si>
  <si>
    <r>
      <rPr>
        <sz val="11"/>
        <color theme="1"/>
        <rFont val="Calibri"/>
        <family val="0"/>
        <charset val="134"/>
      </rPr>
      <t xml:space="preserve">CHABI GNINGOU Bio</t>
    </r>
    <r>
      <rPr>
        <sz val="9"/>
        <color theme="1"/>
        <rFont val="Calibri"/>
        <family val="0"/>
        <charset val="134"/>
      </rPr>
      <t xml:space="preserve"> Rémy</t>
    </r>
  </si>
  <si>
    <t xml:space="preserve">DAGAN Sourou Bienvenu</t>
  </si>
  <si>
    <t xml:space="preserve">DAGBELOU Agossa Hervé</t>
  </si>
  <si>
    <t xml:space="preserve">DAGNITO Cossi Justin</t>
  </si>
  <si>
    <t xml:space="preserve">DEHA ZOHOUN Prudence C Médard</t>
  </si>
  <si>
    <t xml:space="preserve">DEKPE Ahouéfa Judith Aurore</t>
  </si>
  <si>
    <t xml:space="preserve">do REGO Oladjouhon Wallou Arsene A,</t>
  </si>
  <si>
    <t xml:space="preserve">DOHOUNGBO Philippe</t>
  </si>
  <si>
    <t xml:space="preserve">EDJO Ogoussanya Odreye</t>
  </si>
  <si>
    <t xml:space="preserve">GBEGNON S, Irené</t>
  </si>
  <si>
    <t xml:space="preserve">KINGNIDE Adémonla  Moise</t>
  </si>
  <si>
    <t xml:space="preserve">KINNOUDO Sessi Bares</t>
  </si>
  <si>
    <t xml:space="preserve">OBE Ogoudlé Noel</t>
  </si>
  <si>
    <t xml:space="preserve">OROU KODE Farouk</t>
  </si>
  <si>
    <t xml:space="preserve">OROU BANRAN Dagui</t>
  </si>
  <si>
    <t xml:space="preserve">SABI MASSO OROU BARIGUI</t>
  </si>
  <si>
    <t xml:space="preserve">SAMADI Florent</t>
  </si>
  <si>
    <t xml:space="preserve">ZONATCHIA G, Gildas</t>
  </si>
  <si>
    <t xml:space="preserve">ZONATCHIA, Serges</t>
  </si>
  <si>
    <t xml:space="preserve">KINKPE K, Roméo</t>
  </si>
  <si>
    <t xml:space="preserve">AFFOUDA Adébassi David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</si>
  <si>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</si>
  <si>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ADJAGBA Magloire</t>
  </si>
  <si>
    <t xml:space="preserve">ADJARO Malick</t>
  </si>
  <si>
    <t xml:space="preserve">ADJOKPO Armos</t>
  </si>
  <si>
    <t xml:space="preserve">AFIOME Aurel G A</t>
  </si>
  <si>
    <t xml:space="preserve">AKOTCHEOU Sèwlan Peter Davy</t>
  </si>
  <si>
    <t xml:space="preserve">AKPATA Cyrille Fernand Adékanlé</t>
  </si>
  <si>
    <t xml:space="preserve">AMOUSSOU Sénakpon Jacob</t>
  </si>
  <si>
    <t xml:space="preserve">ASSANKPON ValeryTugddual  ernest</t>
  </si>
  <si>
    <t xml:space="preserve">ASSOGBA Yves</t>
  </si>
  <si>
    <t xml:space="preserve">BALLO Dominique</t>
  </si>
  <si>
    <t xml:space="preserve">CAKPO Antoine Raoul</t>
  </si>
  <si>
    <t xml:space="preserve">DANGNIGBE Bruno</t>
  </si>
  <si>
    <t xml:space="preserve">DINANLON Henri</t>
  </si>
  <si>
    <t xml:space="preserve">DOSSOU A Sèdjro Puril guénolé</t>
  </si>
  <si>
    <t xml:space="preserve">DOSSOU Daniel</t>
  </si>
  <si>
    <t xml:space="preserve">FOLY Etienne Athanase</t>
  </si>
  <si>
    <t xml:space="preserve">FOLY Mesmin</t>
  </si>
  <si>
    <t xml:space="preserve">GBAGUIDI Hounyovi Jean</t>
  </si>
  <si>
    <t xml:space="preserve">GNANSOUNOU Finangnon Désiré</t>
  </si>
  <si>
    <t xml:space="preserve">HOUNNOU Kouessi Vincent Winseslas</t>
  </si>
  <si>
    <t xml:space="preserve">HOUNSINOU Babatoundé Lucien</t>
  </si>
  <si>
    <t xml:space="preserve">HOUNTONDJI Tchégnon Armel A</t>
  </si>
  <si>
    <t xml:space="preserve">HOUNTONON Ferdinand</t>
  </si>
  <si>
    <t xml:space="preserve">HOUNZANDJI Ségbégnon D Charles B</t>
  </si>
  <si>
    <t xml:space="preserve">KAKANAKOU Ferdinand</t>
  </si>
  <si>
    <t xml:space="preserve">KEDE Amangbégnon Marc</t>
  </si>
  <si>
    <t xml:space="preserve">KOUDJE Constant</t>
  </si>
  <si>
    <t xml:space="preserve">KPEDJO Mélogbé Mahugnon Aristide</t>
  </si>
  <si>
    <t xml:space="preserve">LIKPO Sénan Alphonse Herman</t>
  </si>
  <si>
    <t xml:space="preserve">OROU BATA Florentine Ganni Gado</t>
  </si>
  <si>
    <t xml:space="preserve">SODJINOU Kuessi Nestor </t>
  </si>
  <si>
    <t xml:space="preserve">SOKEGBE Janvier ulrich</t>
  </si>
  <si>
    <t xml:space="preserve">SOLAGNI Labi Tchèkpè thierry</t>
  </si>
  <si>
    <t xml:space="preserve">TAMADAHO Sèhou Noé Ulrich</t>
  </si>
  <si>
    <t xml:space="preserve">VODOUNOU Emery Vignon </t>
  </si>
  <si>
    <t xml:space="preserve">YATAKPO  K. COMLAN</t>
  </si>
  <si>
    <t xml:space="preserve">AGBOHOUTO Edmond F</t>
  </si>
  <si>
    <t xml:space="preserve">AGBOSSOU S Romuald D</t>
  </si>
  <si>
    <t xml:space="preserve">AïNA Michel (année de redoublem)</t>
  </si>
  <si>
    <t xml:space="preserve">AIZEHOUN Julien</t>
  </si>
  <si>
    <t xml:space="preserve">AKOWANOU D Armelle</t>
  </si>
  <si>
    <t xml:space="preserve">APITHY Serge (année de redoublem)</t>
  </si>
  <si>
    <t xml:space="preserve">ASSOGBA Téglo Augustin</t>
  </si>
  <si>
    <t xml:space="preserve">BANKOLE Justin</t>
  </si>
  <si>
    <t xml:space="preserve">BOKOSSA Dossou Coco Modeste</t>
  </si>
  <si>
    <t xml:space="preserve">CHABI A. Childéric A.</t>
  </si>
  <si>
    <t xml:space="preserve">CHABI SIME Chérif  Nourou dine</t>
  </si>
  <si>
    <t xml:space="preserve">DJISSOU A. Théophile</t>
  </si>
  <si>
    <t xml:space="preserve">DOHOU G N Augustino E</t>
  </si>
  <si>
    <t xml:space="preserve">EZIN Nestor </t>
  </si>
  <si>
    <t xml:space="preserve">FABO Romaric Mahougnon</t>
  </si>
  <si>
    <t xml:space="preserve">GBADO Kokou Alexendre</t>
  </si>
  <si>
    <t xml:space="preserve">GBAGUIDI T Sostène</t>
  </si>
  <si>
    <t xml:space="preserve">GNANGLE D Hebert</t>
  </si>
  <si>
    <t xml:space="preserve">GODJI Arouna Ibrahim</t>
  </si>
  <si>
    <t xml:space="preserve">HOUEDANOU Codjo Jean l'apotre</t>
  </si>
  <si>
    <t xml:space="preserve">HOUNDJI Vignile Adonis</t>
  </si>
  <si>
    <t xml:space="preserve">HOUNGUIA Z  M Serge</t>
  </si>
  <si>
    <t xml:space="preserve">HOUNSA Ghislain</t>
  </si>
  <si>
    <t xml:space="preserve">IBRAHIM  SALYOU</t>
  </si>
  <si>
    <t xml:space="preserve">KOUOLA Ahmed</t>
  </si>
  <si>
    <t xml:space="preserve">LOKONON Vignonce</t>
  </si>
  <si>
    <t xml:space="preserve">SOUMAILA Alilou Abdel K</t>
  </si>
  <si>
    <t xml:space="preserve">YACOUBOU Moucharaf</t>
  </si>
  <si>
    <t xml:space="preserve">ADJINAKOU Amadji Didier</t>
  </si>
  <si>
    <t xml:space="preserve">AGONKPAHOUN Arcadius N.</t>
  </si>
  <si>
    <t xml:space="preserve">AKOTCHENOUDE N. Septime</t>
  </si>
  <si>
    <t xml:space="preserve">ATCHAHOUE C. Gilbert</t>
  </si>
  <si>
    <t xml:space="preserve">MAIRIE COT</t>
  </si>
  <si>
    <t xml:space="preserve">CHICOTO H. Rémy</t>
  </si>
  <si>
    <t xml:space="preserve">DJESSIN T. Dieu Donné</t>
  </si>
  <si>
    <t xml:space="preserve">HOUEHOUNDE C. Romain</t>
  </si>
  <si>
    <t xml:space="preserve">HOUNKPE Roméo</t>
  </si>
  <si>
    <t xml:space="preserve">KAKPOVI Isidore</t>
  </si>
  <si>
    <t xml:space="preserve">LOKO Sessinou N. Ronald Moro</t>
  </si>
  <si>
    <t xml:space="preserve">SANSAN Fabrice E.</t>
  </si>
  <si>
    <t xml:space="preserve">SEGOUN A. Aline</t>
  </si>
  <si>
    <t xml:space="preserve">SETO Codjo Henri</t>
  </si>
  <si>
    <t xml:space="preserve">SOGBOSSI Christophe</t>
  </si>
  <si>
    <t xml:space="preserve">TCHOROPA SOUROU Faustin</t>
  </si>
  <si>
    <t xml:space="preserve">TOLEGBANON Christophe</t>
  </si>
  <si>
    <t xml:space="preserve">TONON D. Sévérin</t>
  </si>
  <si>
    <t xml:space="preserve">TOSSOU B. ULRICH Thiery</t>
  </si>
  <si>
    <t xml:space="preserve">TOSSOU MESSAN Hypolite</t>
  </si>
  <si>
    <t xml:space="preserve">GE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</si>
  <si>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ELECTRIQUE</t>
    </r>
  </si>
  <si>
    <t xml:space="preserve">ADIKPETO Gauthier Thibaut</t>
  </si>
  <si>
    <t xml:space="preserve">ADIKPETO Cossi Crespin Basile</t>
  </si>
  <si>
    <t xml:space="preserve">AGONSANOU Houétchéou Fiacre</t>
  </si>
  <si>
    <t xml:space="preserve">AIZANNON François</t>
  </si>
  <si>
    <t xml:space="preserve">BOKO Nonvité Narcisse</t>
  </si>
  <si>
    <t xml:space="preserve">COMLAN Ayao christian</t>
  </si>
  <si>
    <t xml:space="preserve">d'OLIVEIRA Brice</t>
  </si>
  <si>
    <t xml:space="preserve">DOHOU Gérard Benoit Comlan</t>
  </si>
  <si>
    <t xml:space="preserve">GBOHOUN A Armel Martial</t>
  </si>
  <si>
    <t xml:space="preserve">HOUNDIN Amédée Jonas</t>
  </si>
  <si>
    <t xml:space="preserve">KELEHOUN Adanmado Marcellin</t>
  </si>
  <si>
    <t xml:space="preserve">KOTCHOFA Seydou Arnaud</t>
  </si>
  <si>
    <t xml:space="preserve">SEGBEDJI G T Franck</t>
  </si>
  <si>
    <t xml:space="preserve">SEDAMI Codjo Jacques</t>
  </si>
  <si>
    <t xml:space="preserve">SEGNON Kossi Robo</t>
  </si>
  <si>
    <t xml:space="preserve">SESSOU Jérome</t>
  </si>
  <si>
    <t xml:space="preserve">ZONON Wilfrid Brice</t>
  </si>
  <si>
    <t xml:space="preserve">GE 3</t>
  </si>
  <si>
    <t xml:space="preserve">ADJAKA Franck Olivier</t>
  </si>
  <si>
    <t xml:space="preserve">ADJIBA Délé Wilfried thiburce</t>
  </si>
  <si>
    <t xml:space="preserve">ADOUKONOU Modeste Rolland Y</t>
  </si>
  <si>
    <t xml:space="preserve">AGBAMAHOU Carmel</t>
  </si>
  <si>
    <t xml:space="preserve">AVADIN Damien Roland Z</t>
  </si>
  <si>
    <t xml:space="preserve">AZONSI Auguste Joel</t>
  </si>
  <si>
    <t xml:space="preserve">ABOUBAKAR Kamilou Mora</t>
  </si>
  <si>
    <t xml:space="preserve">BOUKARI Fayçal</t>
  </si>
  <si>
    <t xml:space="preserve">BOYA Hilaire</t>
  </si>
  <si>
    <t xml:space="preserve">do REGO Madjidi</t>
  </si>
  <si>
    <t xml:space="preserve">KPAOHOUN Yaovi Antonio</t>
  </si>
  <si>
    <t xml:space="preserve">KPOGLA Yaovi Innocent</t>
  </si>
  <si>
    <t xml:space="preserve">MENSAH AYVI Amègnizin J</t>
  </si>
  <si>
    <t xml:space="preserve">ODOU Soumaila</t>
  </si>
  <si>
    <t xml:space="preserve">SANDA SIDI M Adéyémi</t>
  </si>
  <si>
    <t xml:space="preserve">TONOUKOIN Médard A</t>
  </si>
  <si>
    <t xml:space="preserve">TOSSOU G W Serge</t>
  </si>
  <si>
    <t xml:space="preserve">ZIBO Salim</t>
  </si>
  <si>
    <t xml:space="preserve">GE 4</t>
  </si>
  <si>
    <t xml:space="preserve">ADJOVI Marcel C K</t>
  </si>
  <si>
    <t xml:space="preserve">AGBANGLANON Z Judicael Lié</t>
  </si>
  <si>
    <t xml:space="preserve">AHOUMENOU Rock Péter</t>
  </si>
  <si>
    <t xml:space="preserve">AKOTOMEY SEHOU Rodrigue frédy</t>
  </si>
  <si>
    <t xml:space="preserve">ABD</t>
  </si>
  <si>
    <t xml:space="preserve">DJOGNINOU N Crépin</t>
  </si>
  <si>
    <t xml:space="preserve">DOSSOU B Barthélémy</t>
  </si>
  <si>
    <t xml:space="preserve">GBEGAN A Filbert</t>
  </si>
  <si>
    <t xml:space="preserve">HOUEHA K Auguste Rodrigue</t>
  </si>
  <si>
    <t xml:space="preserve">METOGNIZO C Martin Gilas</t>
  </si>
  <si>
    <t xml:space="preserve">SONON Séna Ernest</t>
  </si>
  <si>
    <t xml:space="preserve">SOVI GUIDI Wilfried Sohé</t>
  </si>
  <si>
    <t xml:space="preserve">TOCHENALI C Claude Jody</t>
  </si>
  <si>
    <t xml:space="preserve">T0KPASSI Donald Placide</t>
  </si>
  <si>
    <t xml:space="preserve">TOKPE Godfrid Télesphore Pierre</t>
  </si>
  <si>
    <t xml:space="preserve">YETONNOU Alain Sèdjolo</t>
  </si>
  <si>
    <t xml:space="preserve">SEGOUN Euloge Constantin</t>
  </si>
  <si>
    <t xml:space="preserve">MI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</si>
  <si>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MAINTENANCE INDUSTRIELLE</t>
    </r>
  </si>
  <si>
    <t xml:space="preserve">AGOSSOU Désiré Honoré Y,</t>
  </si>
  <si>
    <t xml:space="preserve">ALLOGNON Innocent Yélingnan</t>
  </si>
  <si>
    <t xml:space="preserve">ATCHA Coffi Daniel</t>
  </si>
  <si>
    <t xml:space="preserve">CAPO CHICHI Sètondji Hermus Gildas</t>
  </si>
  <si>
    <t xml:space="preserve">FINGBE Roland</t>
  </si>
  <si>
    <t xml:space="preserve">IDRISSOU ROUFAYE Houzérou</t>
  </si>
  <si>
    <t xml:space="preserve">LANI YONOU Adéolou Arthur Muller</t>
  </si>
  <si>
    <t xml:space="preserve">SEGBEDJI Kuassi jean</t>
  </si>
  <si>
    <t xml:space="preserve">TONOUDE Comlan Marius</t>
  </si>
  <si>
    <t xml:space="preserve">MI 3</t>
  </si>
  <si>
    <t xml:space="preserve">AFFEDJOU SENAMI GHISLAIRE</t>
  </si>
  <si>
    <t xml:space="preserve">ADJOKE Coffi</t>
  </si>
  <si>
    <t xml:space="preserve">AMOUSSOUGA Zannou Rodolphe</t>
  </si>
  <si>
    <t xml:space="preserve">AZONSI Hyppolite Kokou Madeane</t>
  </si>
  <si>
    <t xml:space="preserve">EHAKO  Sènami M Lucrèce</t>
  </si>
  <si>
    <t xml:space="preserve">GBAGUIDI Détognon Maxime</t>
  </si>
  <si>
    <t xml:space="preserve">GNONLONFIN D Hubert Guy</t>
  </si>
  <si>
    <t xml:space="preserve">HOUNGNANDAN Dieu Donné Nestor</t>
  </si>
  <si>
    <t xml:space="preserve">KOUMAPLE Olivié Hihéloto</t>
  </si>
  <si>
    <t xml:space="preserve">OLIVIER DE MONTAGUERE Joel Ronald</t>
  </si>
  <si>
    <t xml:space="preserve">DEDEWANOU Christian</t>
  </si>
  <si>
    <t xml:space="preserve">ZINSOU CLACO H J FRANCK</t>
  </si>
  <si>
    <t xml:space="preserve">MI 4</t>
  </si>
  <si>
    <t xml:space="preserve">AGOSSOU A Aristide</t>
  </si>
  <si>
    <t xml:space="preserve">Aagossou Y Edgard Achille</t>
  </si>
  <si>
    <t xml:space="preserve">AHOKPOSSI D'Agbéchéley</t>
  </si>
  <si>
    <t xml:space="preserve">CHEOU T Maxime Patient</t>
  </si>
  <si>
    <t xml:space="preserve">DANDJO Paul Dossou</t>
  </si>
  <si>
    <t xml:space="preserve">GNONLONFOUN Coffi Florent</t>
  </si>
  <si>
    <t xml:space="preserve">HOUNYOVI Z H Fidèle</t>
  </si>
  <si>
    <t xml:space="preserve">MENSAH K Jean Baptiste</t>
  </si>
  <si>
    <t xml:space="preserve">SEHOUNOU Jean Luc</t>
  </si>
  <si>
    <t xml:space="preserve">1O</t>
  </si>
  <si>
    <t xml:space="preserve">PADONOU Jean Paul</t>
  </si>
  <si>
    <t xml:space="preserve">ZOUMAROU WALLIS Mariam Bodah</t>
  </si>
  <si>
    <t xml:space="preserve">GR 2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</si>
  <si>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RURAL</t>
    </r>
  </si>
  <si>
    <t xml:space="preserve">AKIYO Ichola Hubert Alain</t>
  </si>
  <si>
    <t xml:space="preserve">BAGUIRI GOUNOU Samwill</t>
  </si>
  <si>
    <t xml:space="preserve">CAKPO Adelor Auréliano Brice</t>
  </si>
  <si>
    <t xml:space="preserve">DAKE Dossou Romuald</t>
  </si>
  <si>
    <t xml:space="preserve">GANDAHO Lédolan Henri</t>
  </si>
  <si>
    <t xml:space="preserve">GODJI Zinsou Cosme</t>
  </si>
  <si>
    <t xml:space="preserve">OROU GONGON Mamadou</t>
  </si>
  <si>
    <t xml:space="preserve">SEKPE Gbénadé Nazaire Josias</t>
  </si>
  <si>
    <t xml:space="preserve">GR 3</t>
  </si>
  <si>
    <t xml:space="preserve">ADJINDA Iléri Suru</t>
  </si>
  <si>
    <t xml:space="preserve">ALLAGBE Fidégnon Appolinaire</t>
  </si>
  <si>
    <t xml:space="preserve">BATCHO Thibaut</t>
  </si>
  <si>
    <t xml:space="preserve">CAKPO Bénédicte</t>
  </si>
  <si>
    <t xml:space="preserve">DJEHOUNGLO Patrick Rodrigue Gabin</t>
  </si>
  <si>
    <t xml:space="preserve">DOKOTO Saka Bona Ganigui</t>
  </si>
  <si>
    <t xml:space="preserve">GANGNON René Claude</t>
  </si>
  <si>
    <t xml:space="preserve">KATA Bienvenu</t>
  </si>
  <si>
    <t xml:space="preserve">KPODONOU Hector</t>
  </si>
  <si>
    <t xml:space="preserve">GAMAVO COCOU Robert</t>
  </si>
  <si>
    <t xml:space="preserve">GR 4</t>
  </si>
  <si>
    <t xml:space="preserve">ANAGONOU Coffi Firmin</t>
  </si>
  <si>
    <t xml:space="preserve">ASSOUMA Yaya</t>
  </si>
  <si>
    <t xml:space="preserve">AWADJETINDE Amoussou André</t>
  </si>
  <si>
    <t xml:space="preserve">BALOGOUN YOLOU Ogoudé Eric</t>
  </si>
  <si>
    <t xml:space="preserve">BARKA Sara</t>
  </si>
  <si>
    <t xml:space="preserve">BIAOU Françis</t>
  </si>
  <si>
    <t xml:space="preserve">BIO BERI Ismaila</t>
  </si>
  <si>
    <t xml:space="preserve">BODJRENOU Philippe</t>
  </si>
  <si>
    <t xml:space="preserve">DAH MIGNONGBONON Akouégnon J W</t>
  </si>
  <si>
    <t xml:space="preserve">DJIDOHOUN Seyi</t>
  </si>
  <si>
    <t xml:space="preserve">GNONLONFOUN T,C,Louis</t>
  </si>
  <si>
    <t xml:space="preserve">KARIMOU Ibrahim</t>
  </si>
  <si>
    <t xml:space="preserve">OUAGOUSSOUNON Bani Baga</t>
  </si>
  <si>
    <t xml:space="preserve">ZINHOUIN Appolinaire</t>
  </si>
  <si>
    <t xml:space="preserve">ZOHOUNGBE Codjo Leroy Porrès C</t>
  </si>
  <si>
    <t xml:space="preserve">ZOMAHOUN O Diane Lydie Rosmonde</t>
  </si>
  <si>
    <t xml:space="preserve">AKPO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</si>
  <si>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HYGIENE ET CONTRÔLE DE QUALITE DES DENREES ALIMENTAIRES</t>
    </r>
  </si>
  <si>
    <t xml:space="preserve">ADANHO Adjouavi Hermyonne Laurinda</t>
  </si>
  <si>
    <t xml:space="preserve">AKPOVO Roméo Hospice Finagnon</t>
  </si>
  <si>
    <t xml:space="preserve">AMOU Brigitte Adjoavi</t>
  </si>
  <si>
    <t xml:space="preserve">AMOUZOU Christophe</t>
  </si>
  <si>
    <t xml:space="preserve">DANTONKA Fawaaze</t>
  </si>
  <si>
    <t xml:space="preserve">DODOTIN Yédéhou Hyacinthe</t>
  </si>
  <si>
    <t xml:space="preserve">DOSSA Sétondji Paul Fançois</t>
  </si>
  <si>
    <t xml:space="preserve">DOUDJI Darius</t>
  </si>
  <si>
    <t xml:space="preserve">ERIOLA Olounto Olivier</t>
  </si>
  <si>
    <t xml:space="preserve">ESSE Damienne Zinhoué</t>
  </si>
  <si>
    <t xml:space="preserve">GBAGUIDI  Sélonhan ARMEL</t>
  </si>
  <si>
    <t xml:space="preserve">GNELE  Bai Dodji Laurenda Carmen</t>
  </si>
  <si>
    <t xml:space="preserve">IMOROU Sani</t>
  </si>
  <si>
    <t xml:space="preserve">MEHOBA BENOIT Agnès</t>
  </si>
  <si>
    <t xml:space="preserve">TIO A Epiphania B</t>
  </si>
  <si>
    <t xml:space="preserve">AGBOMASSOU Akotégnon Auguste</t>
  </si>
  <si>
    <t xml:space="preserve">AGOSSOU Ernestine</t>
  </si>
  <si>
    <t xml:space="preserve">AINAN O  Germaine</t>
  </si>
  <si>
    <t xml:space="preserve">AMOUYEWA Adanhodé Paul Raoul</t>
  </si>
  <si>
    <t xml:space="preserve">DJABOUTOUBOUTOU Jéminath</t>
  </si>
  <si>
    <t xml:space="preserve">DOHOU Séraphin</t>
  </si>
  <si>
    <t xml:space="preserve">GBOKPA BOCO Parfait Landry</t>
  </si>
  <si>
    <t xml:space="preserve">GNIMAVO  Eudoxie</t>
  </si>
  <si>
    <t xml:space="preserve">KPLELI Christiane Floriane</t>
  </si>
  <si>
    <t xml:space="preserve">KPENOU NASSI Bidossessi Clément</t>
  </si>
  <si>
    <t xml:space="preserve">MIKO S Raphael</t>
  </si>
  <si>
    <t xml:space="preserve">MOUSSA Mouniratou</t>
  </si>
  <si>
    <t xml:space="preserve">SOTODONOU Tobi Daniel</t>
  </si>
  <si>
    <t xml:space="preserve">TCHOKPONHOUE SENAGBE Saturnin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</si>
  <si>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HYDRAULIQUE</t>
    </r>
  </si>
  <si>
    <t xml:space="preserve">ADJANONHOUN Kokou Arnaud</t>
  </si>
  <si>
    <t xml:space="preserve">AHOMADIKPOHOU Sémondji franck</t>
  </si>
  <si>
    <t xml:space="preserve">AKPAKI Monréti salomon</t>
  </si>
  <si>
    <t xml:space="preserve">AMADOU BAH Mouhaman Fayçal</t>
  </si>
  <si>
    <t xml:space="preserve">AROUNKO Cossi Jérome</t>
  </si>
  <si>
    <t xml:space="preserve">BOKODAHO Coffi Etienne</t>
  </si>
  <si>
    <t xml:space="preserve">HINNOU Roméo Oswald</t>
  </si>
  <si>
    <t xml:space="preserve">KEDJI Mégan Martial</t>
  </si>
  <si>
    <t xml:space="preserve">NOUKPOWAKOU S G Romaric</t>
  </si>
  <si>
    <t xml:space="preserve">SEFANDE D Benjamain</t>
  </si>
  <si>
    <t xml:space="preserve">SOKPE Donatien</t>
  </si>
  <si>
    <t xml:space="preserve">SOSSOU LOKO Ralph Nicodème Coovi</t>
  </si>
  <si>
    <t xml:space="preserve">YOVOGAN Cossi Pascal Eric</t>
  </si>
  <si>
    <t xml:space="preserve">KPATCHIA Urbain Abdel Aziz</t>
  </si>
  <si>
    <t xml:space="preserve">AGBAN Zinsou Marcellin</t>
  </si>
  <si>
    <t xml:space="preserve">ALIGBONON Y Clotilde</t>
  </si>
  <si>
    <t xml:space="preserve">ASSEDE Rock JoachimGilles</t>
  </si>
  <si>
    <t xml:space="preserve">DOUAKOUTCHE Joel François</t>
  </si>
  <si>
    <t xml:space="preserve">GANDAHO Aigba  Crépin</t>
  </si>
  <si>
    <t xml:space="preserve">KODJOGBE Jean Baptiste Epiphane</t>
  </si>
  <si>
    <t xml:space="preserve">LOKOSSOU A Adolphe</t>
  </si>
  <si>
    <t xml:space="preserve">LOKOSSOU Giscard Brice</t>
  </si>
  <si>
    <t xml:space="preserve">MOUSSA ALASSOLE Kamarou D</t>
  </si>
  <si>
    <t xml:space="preserve">OKE Y Yves</t>
  </si>
  <si>
    <t xml:space="preserve">POGNON arnaud Joel</t>
  </si>
  <si>
    <t xml:space="preserve">QUENUM Emile onstantin C</t>
  </si>
  <si>
    <t xml:space="preserve">SOSSOU Diane</t>
  </si>
  <si>
    <t xml:space="preserve">ADINGNI Jean</t>
  </si>
  <si>
    <t xml:space="preserve">VITOULEY Aristide</t>
  </si>
  <si>
    <t xml:space="preserve">          </t>
  </si>
  <si>
    <t xml:space="preserve">1ère Année</t>
  </si>
  <si>
    <t xml:space="preserve">ABEL SERIKI Yaï Dick Georges</t>
  </si>
  <si>
    <t xml:space="preserve">ADEOSSI Job</t>
  </si>
  <si>
    <t xml:space="preserve">AMADOU SANNI ALIDOU</t>
  </si>
  <si>
    <t xml:space="preserve">AGBENGLA G. Moussa</t>
  </si>
  <si>
    <t xml:space="preserve">AHOUANGAN Montcho Raoul</t>
  </si>
  <si>
    <t xml:space="preserve">ALIHOU-ABOU Ibrahim</t>
  </si>
  <si>
    <t xml:space="preserve">AMOUKPO Placide</t>
  </si>
  <si>
    <t xml:space="preserve">ASSANI Abodounrin Roger Ayouba</t>
  </si>
  <si>
    <t xml:space="preserve">ATANNON Arnaud Dieudonné Sonagnon</t>
  </si>
  <si>
    <t xml:space="preserve">AVOHA Honoré</t>
  </si>
  <si>
    <t xml:space="preserve">BASSOSSA BAGUIMA Ahmed</t>
  </si>
  <si>
    <t xml:space="preserve">BIO ADAM Dado Souaïba</t>
  </si>
  <si>
    <t xml:space="preserve">BONSE ABDEL AZIZ</t>
  </si>
  <si>
    <t xml:space="preserve">CAKPO Alfred Jeannot codjo</t>
  </si>
  <si>
    <t xml:space="preserve">KOUMASSA AKOGBE Lauriano Mermoz</t>
  </si>
  <si>
    <t xml:space="preserve">DEGUENONVO Fréjus Ulrich Yélian Mitondji</t>
  </si>
  <si>
    <t xml:space="preserve">DOSSOU Manassé</t>
  </si>
  <si>
    <t xml:space="preserve">GANZO Coovi Fabrice</t>
  </si>
  <si>
    <t xml:space="preserve">HAWENON Estel</t>
  </si>
  <si>
    <t xml:space="preserve">HOUNDEGLA Sètchémè Ange</t>
  </si>
  <si>
    <t xml:space="preserve">HOUNGBO Laz</t>
  </si>
  <si>
    <t xml:space="preserve">KINIGBE Carles Galbert</t>
  </si>
  <si>
    <t xml:space="preserve">LAFIA Faiçaïl</t>
  </si>
  <si>
    <t xml:space="preserve">METO COCOU Frédéric</t>
  </si>
  <si>
    <t xml:space="preserve">SAKA SEIDOU Sayouti</t>
  </si>
  <si>
    <t xml:space="preserve">SEHONOU Aimé</t>
  </si>
  <si>
    <t xml:space="preserve">SERO Abdel-Fadel</t>
  </si>
  <si>
    <t xml:space="preserve">SOULE BONI Adidjatou</t>
  </si>
  <si>
    <t xml:space="preserve">ZOUMAROU Dramane</t>
  </si>
  <si>
    <t xml:space="preserve">TIDJANI Aboubakar</t>
  </si>
  <si>
    <t xml:space="preserve">YAYI Djangbo Rodrigue William</t>
  </si>
  <si>
    <t xml:space="preserve">ABDEL SERIKI YAI DICK Georges</t>
  </si>
  <si>
    <t xml:space="preserve">ADANLAO Marthe</t>
  </si>
  <si>
    <t xml:space="preserve">ADJAOKE  L, Bonaventure</t>
  </si>
  <si>
    <t xml:space="preserve">AGBADJI Fidèle</t>
  </si>
  <si>
    <t xml:space="preserve">AGBESSI Dossou Bertrand</t>
  </si>
  <si>
    <t xml:space="preserve">AGNONDO TOSSA Mèmèvègni Jérémie</t>
  </si>
  <si>
    <t xml:space="preserve">AGUEMOU Gilles</t>
  </si>
  <si>
    <t xml:space="preserve">AHOUANSE Mèvognon Marcel</t>
  </si>
  <si>
    <t xml:space="preserve">ALFA MAMA Mouhibatou</t>
  </si>
  <si>
    <t xml:space="preserve">ASSOU Amètognonnou Claude Martin</t>
  </si>
  <si>
    <t xml:space="preserve">BADOU Parfait</t>
  </si>
  <si>
    <t xml:space="preserve">BANDIRI Orou Gani Darius</t>
  </si>
  <si>
    <t xml:space="preserve">GNAN BAMOI Emmanuel</t>
  </si>
  <si>
    <t xml:space="preserve">BEKOU Ironou Romuald</t>
  </si>
  <si>
    <t xml:space="preserve">BISSIROU Bassitou Olatoundji Amanwo</t>
  </si>
  <si>
    <t xml:space="preserve">BOUKARI SEIDOU Samousslyatou</t>
  </si>
  <si>
    <t xml:space="preserve">DANSSOU Abdel Bachirou</t>
  </si>
  <si>
    <t xml:space="preserve">DESSOUASSI Amétépé Gloria Gilbert </t>
  </si>
  <si>
    <t xml:space="preserve">DRAMANE    Azimou</t>
  </si>
  <si>
    <t xml:space="preserve">GAHOUE MOUMOUNI Moudjibou</t>
  </si>
  <si>
    <t xml:space="preserve">HOUNKPE Arnaud Ghislain Mahussi</t>
  </si>
  <si>
    <t xml:space="preserve">KANOUSSOU Malossè Léonel</t>
  </si>
  <si>
    <t xml:space="preserve">KINDJINOU Sessinou Rolland</t>
  </si>
  <si>
    <t xml:space="preserve">KORA YOROU Doué</t>
  </si>
  <si>
    <t xml:space="preserve">MEDJOGBE Fidèle Chimène</t>
  </si>
  <si>
    <t xml:space="preserve">KIAROU Pascal</t>
  </si>
  <si>
    <t xml:space="preserve">LOKOSSOU Edjrossè Gladys</t>
  </si>
  <si>
    <t xml:space="preserve">MIKPON Yessito Blandine</t>
  </si>
  <si>
    <t xml:space="preserve">MOUTOUAMA Dorcas Yébokö</t>
  </si>
  <si>
    <t xml:space="preserve">OUSMANE IBRAHIMA Souléïmane</t>
  </si>
  <si>
    <t xml:space="preserve">SALAMI Latifou</t>
  </si>
  <si>
    <t xml:space="preserve">SOMASSE Mèlonou Eli Rodrigue</t>
  </si>
  <si>
    <t xml:space="preserve">TENGUE Daniel Baudouin Djidjoho</t>
  </si>
  <si>
    <t xml:space="preserve">ADOUKONOU Codjo Roland Baudouin</t>
  </si>
  <si>
    <t xml:space="preserve">AGOSSOU Mèdéssè Augustin</t>
  </si>
  <si>
    <t xml:space="preserve">ASSANI Farid Kolawolé</t>
  </si>
  <si>
    <t xml:space="preserve">BORO SOULE Aliou</t>
  </si>
  <si>
    <t xml:space="preserve">BOURAI José Antonio</t>
  </si>
  <si>
    <t xml:space="preserve">GBAGUIDI Vinadon Posidius</t>
  </si>
  <si>
    <t xml:space="preserve">HOUNKPATIN Faustin  Comlan</t>
  </si>
  <si>
    <t xml:space="preserve">GONGUE ABOU</t>
  </si>
  <si>
    <t xml:space="preserve">HOUMBADE Comlan Emmanuel</t>
  </si>
  <si>
    <t xml:space="preserve">KISSIRA Orou Gani</t>
  </si>
  <si>
    <t xml:space="preserve">MEDEGAN Mètchédé Christian Boris</t>
  </si>
  <si>
    <t xml:space="preserve">MONRA Seidou</t>
  </si>
  <si>
    <t xml:space="preserve">NOUWOGOU Koffitsè Amématsron</t>
  </si>
  <si>
    <t xml:space="preserve">SAGBOHAN E. H. Oméga El Sadate</t>
  </si>
  <si>
    <t xml:space="preserve">SOGLOHOUN Pascal Yaovi</t>
  </si>
  <si>
    <t xml:space="preserve">SEIBOU Zakari</t>
  </si>
  <si>
    <t xml:space="preserve">YABI Oyédégbin Moïse </t>
  </si>
  <si>
    <t xml:space="preserve">YEHOUENOU Sèdjro Joseph</t>
  </si>
  <si>
    <t xml:space="preserve">ALLADAYE Victorin</t>
  </si>
  <si>
    <t xml:space="preserve">ACHIMI Massaoudou Fèmi</t>
  </si>
  <si>
    <t xml:space="preserve">ADAM CHABI DARDAYE Nonsou</t>
  </si>
  <si>
    <t xml:space="preserve">ADITI Hinnoutondji GaëL</t>
  </si>
  <si>
    <t xml:space="preserve">AGBOGNIHOUE Bidossessi Parfait</t>
  </si>
  <si>
    <t xml:space="preserve">AGLOSSI Expédit Esékiel</t>
  </si>
  <si>
    <t xml:space="preserve">ADOHOU KINGSON DE BIRAKEIM</t>
  </si>
  <si>
    <t xml:space="preserve">AHOUEDOKE Olouwafèmi Emmanuel</t>
  </si>
  <si>
    <t xml:space="preserve">ALAVO Angelos Gérard</t>
  </si>
  <si>
    <t xml:space="preserve">AYENAN Tohouégnon Casimir</t>
  </si>
  <si>
    <t xml:space="preserve">AZONNAWE Monhéloki Enaboua</t>
  </si>
  <si>
    <t xml:space="preserve">BAGRI Euloge Slim</t>
  </si>
  <si>
    <t xml:space="preserve">BAWA NAWAS</t>
  </si>
  <si>
    <t xml:space="preserve">BIAOU Bienvenu Rodrigue Elavagnon</t>
  </si>
  <si>
    <t xml:space="preserve">BOUKARI Moussédou</t>
  </si>
  <si>
    <t xml:space="preserve">DANSI Paulin</t>
  </si>
  <si>
    <t xml:space="preserve">EZOUN Sunday</t>
  </si>
  <si>
    <t xml:space="preserve">GBAGUIDA Martin</t>
  </si>
  <si>
    <t xml:space="preserve">GUEDOU Yélingnan Hifranc Oscar</t>
  </si>
  <si>
    <t xml:space="preserve">HODOMIHOU Sègnègnon Bienvevu</t>
  </si>
  <si>
    <t xml:space="preserve">GOUASSANGNI CC HODONOU Rémy</t>
  </si>
  <si>
    <t xml:space="preserve">HODONOU Agossou Arsène</t>
  </si>
  <si>
    <t xml:space="preserve">HOUESSOU ADINGBAN Théophile Mahugnon</t>
  </si>
  <si>
    <t xml:space="preserve">ILBOUDO Ousmane</t>
  </si>
  <si>
    <t xml:space="preserve">KOUDJE Constent</t>
  </si>
  <si>
    <t xml:space="preserve">LOHENTO Vax Mottaré Patrice Sêdjro</t>
  </si>
  <si>
    <t xml:space="preserve">N'PO T. N'DAH Antoine</t>
  </si>
  <si>
    <t xml:space="preserve">SOVI Dathon Jean</t>
  </si>
  <si>
    <t xml:space="preserve">TCHADJA Essotinah Romaric</t>
  </si>
  <si>
    <t xml:space="preserve">TOSSOU Emile</t>
  </si>
  <si>
    <t xml:space="preserve">VODOUNON Eméry Vignon</t>
  </si>
  <si>
    <t xml:space="preserve">AFFOUKOU Ayéwa Morel</t>
  </si>
  <si>
    <t xml:space="preserve">ADIKPETO Kocou Luc</t>
  </si>
  <si>
    <t xml:space="preserve">AGNISSEY Komlan Magloire</t>
  </si>
  <si>
    <t xml:space="preserve">AHOSSOUHE Zaïki Wilfrid Mètotongi</t>
  </si>
  <si>
    <t xml:space="preserve">AMAYO Yémalin Finagnon Patrice</t>
  </si>
  <si>
    <t xml:space="preserve">APOVO Affodoté Lionnel Patrick</t>
  </si>
  <si>
    <t xml:space="preserve">ATTISSO Koffi Mawuli</t>
  </si>
  <si>
    <t xml:space="preserve">CHANCOUIN Romaric Souin Sèdjro N.</t>
  </si>
  <si>
    <t xml:space="preserve">DOSSA Vèdéssè Constantin</t>
  </si>
  <si>
    <t xml:space="preserve">GBODJINOU Don Gédéon</t>
  </si>
  <si>
    <t xml:space="preserve">HOUESSOU Adéfounsi Gildas Félicien</t>
  </si>
  <si>
    <t xml:space="preserve">SONOUNAMETO Hounamèan Kingson Doris</t>
  </si>
  <si>
    <t xml:space="preserve">YEMADJRO Bruno Délanick</t>
  </si>
  <si>
    <t xml:space="preserve">YETONGBE Félix</t>
  </si>
  <si>
    <t xml:space="preserve">AHANTO Rodrigue Mahoutin</t>
  </si>
  <si>
    <t xml:space="preserve">BONI Abdoulaye</t>
  </si>
  <si>
    <t xml:space="preserve">GANYE AÏHOU Damien</t>
  </si>
  <si>
    <t xml:space="preserve">HESSOU Kokou Castro</t>
  </si>
  <si>
    <t xml:space="preserve">ORE Kébo Alexandre Yao</t>
  </si>
  <si>
    <t xml:space="preserve">QUENUM Mahutin Elisée Hervé</t>
  </si>
  <si>
    <t xml:space="preserve">SAVI Djidjoho Fructueux</t>
  </si>
  <si>
    <t xml:space="preserve">TELLA OSSE Obafèmi David</t>
  </si>
  <si>
    <t xml:space="preserve">TOSSOU Ménonma Eric</t>
  </si>
  <si>
    <t xml:space="preserve">HOUNSOU SEIVE Hermann Mahoussi</t>
  </si>
  <si>
    <t xml:space="preserve">HOUNGBEDJI Habaouc R Vidjinangni</t>
  </si>
  <si>
    <t xml:space="preserve">AGOSSA Cossi Fancis</t>
  </si>
  <si>
    <t xml:space="preserve">AHAMIDE Yves Tolofon</t>
  </si>
  <si>
    <t xml:space="preserve">AHOMLANTO Arthur S. Henricot Sonagnon</t>
  </si>
  <si>
    <t xml:space="preserve">DANMADO Cocou Serge</t>
  </si>
  <si>
    <t xml:space="preserve">DOMINGO Mathilde Denise Hinnouton</t>
  </si>
  <si>
    <t xml:space="preserve">DOSSA Didier </t>
  </si>
  <si>
    <t xml:space="preserve">HOUESSIONON Litas Johanès</t>
  </si>
  <si>
    <t xml:space="preserve">SEHOMI Comlanvi Gintonsou</t>
  </si>
  <si>
    <t xml:space="preserve">BAGUIRI TAMOU Bio Guio</t>
  </si>
  <si>
    <t xml:space="preserve">OROU BATTA Mouhamadou Toukourou</t>
  </si>
  <si>
    <t xml:space="preserve">DAHATO Honoré</t>
  </si>
  <si>
    <t xml:space="preserve">HOUNKANRIN Zéphirin</t>
  </si>
  <si>
    <t xml:space="preserve">SASSOU Adotévi Jean-Vincent</t>
  </si>
  <si>
    <t xml:space="preserve">FIHOUNDE Aristide Kokou</t>
  </si>
  <si>
    <t xml:space="preserve">KOUVEGLO S Jean Paul Marie Pierre</t>
  </si>
  <si>
    <t xml:space="preserve">KASSOUIN Assana</t>
  </si>
  <si>
    <t xml:space="preserve">ADANHO ADJOUAVI H Laurinda</t>
  </si>
  <si>
    <t xml:space="preserve">ADOVI Tonami Jean Carlos</t>
  </si>
  <si>
    <t xml:space="preserve">ALFA GAMBARI Karimatou</t>
  </si>
  <si>
    <t xml:space="preserve">AVADEME Hounsou Léopold</t>
  </si>
  <si>
    <t xml:space="preserve">BELLO Djelilatou</t>
  </si>
  <si>
    <t xml:space="preserve">AYETITON Maroufou</t>
  </si>
  <si>
    <t xml:space="preserve">DEGBO S Elodie </t>
  </si>
  <si>
    <t xml:space="preserve">GBAGUIDI Sêwanou Cesaire Gratien</t>
  </si>
  <si>
    <t xml:space="preserve">GOUNOU N'GOBI OROU Bonigui</t>
  </si>
  <si>
    <t xml:space="preserve">KAKANAKOU Orémus Christ-Marie Sètondji</t>
  </si>
  <si>
    <t xml:space="preserve">MAM SANNI Moutaïrou</t>
  </si>
  <si>
    <t xml:space="preserve">MAMA GAMBARI Malick</t>
  </si>
  <si>
    <t xml:space="preserve">IBRAHIMA M. MOUF</t>
  </si>
  <si>
    <t xml:space="preserve">MOUSSA Aboudou Djèlili</t>
  </si>
  <si>
    <t xml:space="preserve">NACCIMENTO Paul Patrick</t>
  </si>
  <si>
    <t xml:space="preserve">N'VENIHOUNDE HOUANNADE Gilbert</t>
  </si>
  <si>
    <t xml:space="preserve">SAHOSSI Baï Chantal Colomb</t>
  </si>
  <si>
    <t xml:space="preserve">SEMADEGBE Kuessi Jérôme</t>
  </si>
  <si>
    <t xml:space="preserve">SOUSSIA Joël </t>
  </si>
  <si>
    <t xml:space="preserve">TOGBE Apélété Gaspard</t>
  </si>
  <si>
    <t xml:space="preserve">TOSSA Kouessi Charbel</t>
  </si>
  <si>
    <t xml:space="preserve">TOTAL GENERAL</t>
  </si>
  <si>
    <t xml:space="preserve">CPEI GEOMETRE TOPOGRAPHE 2012-2013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</si>
  <si>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</si>
  <si>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ABOKI Senami Satingo Emmanuel</t>
  </si>
  <si>
    <t xml:space="preserve">ACCROMBESSY G. Martial Florent</t>
  </si>
  <si>
    <t xml:space="preserve">ADJAHO Nathalie</t>
  </si>
  <si>
    <t xml:space="preserve">AFORA Kéda K. Myrianne Josée</t>
  </si>
  <si>
    <t xml:space="preserve">AHLOUMESSOU Codjo Amadin</t>
  </si>
  <si>
    <t xml:space="preserve">AHOUNOU J. Chédrac G. Samuel</t>
  </si>
  <si>
    <t xml:space="preserve">AHOYA-AKPODE Yélian Renaud</t>
  </si>
  <si>
    <t xml:space="preserve">AIZO Christelle Marie-Agathe D.</t>
  </si>
  <si>
    <t xml:space="preserve">AKOWANOU Robert</t>
  </si>
  <si>
    <t xml:space="preserve">ALLAGBE KOLAWOLE A Benjamin</t>
  </si>
  <si>
    <t xml:space="preserve">ALLASSANE Aboudou S. Boladji</t>
  </si>
  <si>
    <t xml:space="preserve">BALOGOUN Amanian Hervé</t>
  </si>
  <si>
    <t xml:space="preserve">BELLO Chérifi Labodé</t>
  </si>
  <si>
    <t xml:space="preserve">CODJIA Vital Christian</t>
  </si>
  <si>
    <t xml:space="preserve">DJEDOKANSI Cyprien</t>
  </si>
  <si>
    <t xml:space="preserve">DOVONON Togbédji Nicodème</t>
  </si>
  <si>
    <t xml:space="preserve">GNONLONFOUN Fulgence D. Gildas</t>
  </si>
  <si>
    <t xml:space="preserve">GODO Yénoukoumè Sylvain</t>
  </si>
  <si>
    <t xml:space="preserve">GONCALVES OCTAVIANO</t>
  </si>
  <si>
    <t xml:space="preserve">HOUNDADJO Edmond</t>
  </si>
  <si>
    <t xml:space="preserve">HOUNDEKPONDJI Martin Brice</t>
  </si>
  <si>
    <t xml:space="preserve">HOUNKANRIN Fiacre Pérince F.</t>
  </si>
  <si>
    <t xml:space="preserve">HOUNKPE Coffi Roger Modeste</t>
  </si>
  <si>
    <t xml:space="preserve">KIKI Sèna Samson</t>
  </si>
  <si>
    <t xml:space="preserve">LAWSON Hypolyte A. A. I.</t>
  </si>
  <si>
    <t xml:space="preserve">MEBOUNOU Codjo Claude</t>
  </si>
  <si>
    <t xml:space="preserve">RADJI Abel Rasack</t>
  </si>
  <si>
    <t xml:space="preserve">SAVI Jaurès Sylvain</t>
  </si>
  <si>
    <t xml:space="preserve">SEWADE Nouké Adéline </t>
  </si>
  <si>
    <t xml:space="preserve">SOSSOU Matinkpon Alexandre</t>
  </si>
  <si>
    <t xml:space="preserve">TCHEGNONSI B. Bienvenu Parmenas</t>
  </si>
  <si>
    <t xml:space="preserve">TONOUKOIN Codjo Francis</t>
  </si>
  <si>
    <t xml:space="preserve">VODEME Dalmas-Franck</t>
  </si>
  <si>
    <t xml:space="preserve">ZOFFOUN Nounagnon Firmin</t>
  </si>
  <si>
    <t xml:space="preserve">ZOMAHOUN Yvan D. Eméry F.</t>
  </si>
  <si>
    <t xml:space="preserve">ZOUNLI Yélian Olivier</t>
  </si>
  <si>
    <t xml:space="preserve">INGENIEUR DE CONCEPTION EN GENIE CIVIL</t>
  </si>
  <si>
    <t xml:space="preserve">ADANZOUNNON S. Maxime</t>
  </si>
  <si>
    <t xml:space="preserve">AGBAHEY Mireille Evelyne</t>
  </si>
  <si>
    <t xml:space="preserve">AGON Marcos Oscar</t>
  </si>
  <si>
    <t xml:space="preserve">AGOSSADOU Koffi Ghislain</t>
  </si>
  <si>
    <t xml:space="preserve">AKOWE SARE K. Marieta</t>
  </si>
  <si>
    <t xml:space="preserve">BABALIYE Olivier</t>
  </si>
  <si>
    <t xml:space="preserve">BIO NIGAN Cherrifatou</t>
  </si>
  <si>
    <t xml:space="preserve">CAKPOSSE Codjo Gilbert P.</t>
  </si>
  <si>
    <t xml:space="preserve">DJIMONNAN Paulin</t>
  </si>
  <si>
    <t xml:space="preserve">FATOMON Ange Osée</t>
  </si>
  <si>
    <t xml:space="preserve">GBEGBO Eric</t>
  </si>
  <si>
    <t xml:space="preserve">HOUNSOU A. Wenceslas</t>
  </si>
  <si>
    <t xml:space="preserve">KOUDJE Basile</t>
  </si>
  <si>
    <t xml:space="preserve">KOUKOUBOU Christian Angelo</t>
  </si>
  <si>
    <t xml:space="preserve">KPODEKON Sènami Généviève</t>
  </si>
  <si>
    <t xml:space="preserve">KPOTCHEME Coffi D. Stanislas</t>
  </si>
  <si>
    <t xml:space="preserve">LANTONKPODE Léopold  Gaston</t>
  </si>
  <si>
    <t xml:space="preserve">MOUSTAPHA SOULE Boladji</t>
  </si>
  <si>
    <t xml:space="preserve">SESSOU Comlan Eugène</t>
  </si>
  <si>
    <t xml:space="preserve">INGENIEUR EN GENIE CIVIL 2012-2013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</si>
  <si>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GENIE CIVIL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</si>
  <si>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</si>
  <si>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ADJAHO Vignon Olivier Poitiers</t>
  </si>
  <si>
    <t xml:space="preserve">ADOHO Sènakpon Parfait</t>
  </si>
  <si>
    <t xml:space="preserve">ADJE Damien</t>
  </si>
  <si>
    <t xml:space="preserve">AHOUMENOU Gaël Protus</t>
  </si>
  <si>
    <t xml:space="preserve">AGUIDISSOU Hermann Joël</t>
  </si>
  <si>
    <t xml:space="preserve">DOVI Mark Victor</t>
  </si>
  <si>
    <t xml:space="preserve">GNONHOUE Sènami Eric Wilfrid</t>
  </si>
  <si>
    <t xml:space="preserve">HOUNWAKANOU Carlos</t>
  </si>
  <si>
    <t xml:space="preserve">HOUEGBELO M. Quenette</t>
  </si>
  <si>
    <t xml:space="preserve">HOUNMASSE Kossi Lester Marion</t>
  </si>
  <si>
    <t xml:space="preserve">KPATCHAVI Akouété Damien</t>
  </si>
  <si>
    <t xml:space="preserve">LANTONKPODE Stanislas</t>
  </si>
  <si>
    <t xml:space="preserve">MATCHOUDO TCHOUMON Bani</t>
  </si>
  <si>
    <t xml:space="preserve">MOUSSE Samiath</t>
  </si>
  <si>
    <t xml:space="preserve">SEMAKO Serge Gislain</t>
  </si>
  <si>
    <t xml:space="preserve">TAMEGNON Bertin Roger B. Laprida T.</t>
  </si>
  <si>
    <t xml:space="preserve">ZOHUNTO Mètolé Dominique</t>
  </si>
  <si>
    <t xml:space="preserve">1ère Année 2012-2013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</si>
</sst>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General"/>
    <numFmt numFmtId="167" formatCode="0.00"/>
  </numFmts>
  <fonts count="4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4"/>
      <color theme="1"/>
      <name val="Calibri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00206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0"/>
      <color theme="1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b val="true"/>
      <sz val="16"/>
      <color theme="1"/>
      <name val="Calibri"/>
      <family val="0"/>
      <charset val="1"/>
    </font>
    <font>
      <sz val="11"/>
      <color theme="1"/>
      <name val="Albertus"/>
      <family val="0"/>
      <charset val="134"/>
    </font>
    <font>
      <sz val="9"/>
      <color theme="1"/>
      <name val="Calibri"/>
      <family val="0"/>
      <charset val="134"/>
    </font>
    <font>
      <b val="true"/>
      <sz val="14"/>
      <color rgb="FFFF0000"/>
      <name val="Albertus"/>
      <family val="0"/>
      <charset val="134"/>
    </font>
    <font>
      <b val="true"/>
      <sz val="12"/>
      <color theme="1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4"/>
      <color theme="1"/>
      <name val="Aharoni"/>
      <family val="0"/>
      <charset val="177"/>
    </font>
    <font>
      <b val="true"/>
      <sz val="11"/>
      <color theme="1"/>
      <name val="Calibri"/>
      <family val="0"/>
      <charset val="134"/>
    </font>
    <font>
      <sz val="12"/>
      <color rgb="FF002060"/>
      <name val="Arial Narrow"/>
      <family val="0"/>
      <charset val="134"/>
    </font>
    <font>
      <sz val="12"/>
      <name val="Arial Narrow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sz val="12"/>
      <color theme="1"/>
      <name val="Albertus"/>
      <family val="0"/>
      <charset val="134"/>
    </font>
    <font>
      <b val="true"/>
      <sz val="14"/>
      <color theme="1"/>
      <name val="Calibri"/>
      <family val="0"/>
      <charset val="134"/>
    </font>
    <font>
      <b val="true"/>
      <sz val="14"/>
      <color rgb="FFC00000"/>
      <name val="Calibri"/>
      <family val="0"/>
      <charset val="134"/>
    </font>
    <font>
      <b val="true"/>
      <sz val="14"/>
      <color rgb="FFFFC000"/>
      <name val="Calibri"/>
      <family val="0"/>
      <charset val="134"/>
    </font>
    <font>
      <b val="true"/>
      <sz val="12"/>
      <color rgb="FFFF0000"/>
      <name val="Albertus Extra Bold"/>
      <family val="0"/>
      <charset val="134"/>
    </font>
    <font>
      <b val="true"/>
      <i val="true"/>
      <sz val="12"/>
      <color theme="9"/>
      <name val="Calibri"/>
      <family val="0"/>
      <charset val="134"/>
    </font>
    <font>
      <b val="true"/>
      <i val="true"/>
      <sz val="12"/>
      <color rgb="FFFF0000"/>
      <name val="Calibri"/>
      <family val="0"/>
      <charset val="134"/>
    </font>
    <font>
      <b val="true"/>
      <i val="true"/>
      <sz val="12"/>
      <color rgb="FF00B050"/>
      <name val="Calibri"/>
      <family val="0"/>
      <charset val="134"/>
    </font>
    <font>
      <b val="true"/>
      <sz val="14"/>
      <color theme="9"/>
      <name val="Calibri"/>
      <family val="0"/>
      <charset val="134"/>
    </font>
    <font>
      <sz val="14"/>
      <color rgb="FF00B050"/>
      <name val="Calibri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5" tint="0.7999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/>
      <right/>
      <top style="double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3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8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9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3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3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4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5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5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3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4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5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3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8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3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4" fillId="2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5" fillId="2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3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35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822" colorId="64" zoomScale="100" zoomScaleNormal="100" zoomScalePageLayoutView="100" workbookViewId="0">
      <selection pane="topLeft" activeCell="G827" activeCellId="0" sqref="G82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3"/>
    <col collapsed="false" customWidth="true" hidden="false" outlineLevel="0" max="3" min="3" style="1" width="16.14"/>
    <col collapsed="false" customWidth="true" hidden="false" outlineLevel="0" max="4" min="4" style="1" width="13.57"/>
    <col collapsed="false" customWidth="true" hidden="false" outlineLevel="0" max="5" min="5" style="1" width="16.29"/>
    <col collapsed="false" customWidth="true" hidden="false" outlineLevel="0" max="16384" min="16375" style="0" width="11.53"/>
  </cols>
  <sheetData>
    <row r="2" customFormat="false" ht="17.35" hidden="false" customHeight="false" outlineLevel="0" collapsed="false">
      <c r="A2" s="2"/>
      <c r="B2" s="2" t="s">
        <v>0</v>
      </c>
    </row>
    <row r="4" customFormat="false" ht="17.25" hidden="false" customHeight="false" outlineLevel="0" collapsed="false">
      <c r="B4" s="3" t="s">
        <v>1</v>
      </c>
    </row>
    <row r="6" customFormat="false" ht="17.35" hidden="false" customHeight="false" outlineLevel="0" collapsed="false">
      <c r="B6" s="4" t="s">
        <v>2</v>
      </c>
    </row>
    <row r="7" customFormat="false" ht="15" hidden="false" customHeight="false" outlineLevel="0" collapsed="false">
      <c r="B7" s="5" t="s">
        <v>3</v>
      </c>
    </row>
    <row r="9" customFormat="false" ht="15" hidden="false" customHeight="false" outlineLevel="0" collapsed="false">
      <c r="A9" s="6" t="s">
        <v>4</v>
      </c>
      <c r="B9" s="7" t="s">
        <v>5</v>
      </c>
      <c r="C9" s="8" t="s">
        <v>6</v>
      </c>
      <c r="D9" s="9" t="s">
        <v>7</v>
      </c>
      <c r="E9" s="10" t="s">
        <v>8</v>
      </c>
    </row>
    <row r="10" customFormat="false" ht="15" hidden="false" customHeight="false" outlineLevel="0" collapsed="false">
      <c r="A10" s="11" t="n">
        <v>1</v>
      </c>
      <c r="B10" s="12" t="s">
        <v>9</v>
      </c>
      <c r="C10" s="13" t="n">
        <v>416500</v>
      </c>
      <c r="D10" s="13" t="n">
        <f aca="false">100000+220000</f>
        <v>320000</v>
      </c>
      <c r="E10" s="14" t="n">
        <f aca="false">C10-D10</f>
        <v>96500</v>
      </c>
    </row>
    <row r="11" customFormat="false" ht="15" hidden="false" customHeight="false" outlineLevel="0" collapsed="false">
      <c r="A11" s="11" t="n">
        <v>2</v>
      </c>
      <c r="B11" s="12" t="s">
        <v>10</v>
      </c>
      <c r="C11" s="13" t="n">
        <v>416500</v>
      </c>
      <c r="D11" s="13" t="n">
        <f aca="false">216000+200500</f>
        <v>416500</v>
      </c>
      <c r="E11" s="14" t="n">
        <f aca="false">C11-D11</f>
        <v>0</v>
      </c>
    </row>
    <row r="12" customFormat="false" ht="15" hidden="false" customHeight="false" outlineLevel="0" collapsed="false">
      <c r="A12" s="11" t="n">
        <v>3</v>
      </c>
      <c r="B12" s="12" t="s">
        <v>11</v>
      </c>
      <c r="C12" s="13" t="n">
        <v>416500</v>
      </c>
      <c r="D12" s="13" t="n">
        <f aca="false">216500+200000</f>
        <v>416500</v>
      </c>
      <c r="E12" s="14" t="n">
        <f aca="false">C12-D12</f>
        <v>0</v>
      </c>
    </row>
    <row r="13" customFormat="false" ht="15" hidden="false" customHeight="false" outlineLevel="0" collapsed="false">
      <c r="A13" s="11" t="n">
        <v>4</v>
      </c>
      <c r="B13" s="12" t="s">
        <v>12</v>
      </c>
      <c r="C13" s="13" t="n">
        <v>416500</v>
      </c>
      <c r="D13" s="13" t="n">
        <f aca="false">100000+116500+200000</f>
        <v>416500</v>
      </c>
      <c r="E13" s="14" t="n">
        <f aca="false">C13-D13</f>
        <v>0</v>
      </c>
    </row>
    <row r="14" customFormat="false" ht="15" hidden="false" customHeight="false" outlineLevel="0" collapsed="false">
      <c r="A14" s="11" t="n">
        <v>5</v>
      </c>
      <c r="B14" s="12" t="s">
        <v>13</v>
      </c>
      <c r="C14" s="13" t="n">
        <v>416500</v>
      </c>
      <c r="D14" s="13" t="n">
        <f aca="false">100000+120000+200000</f>
        <v>420000</v>
      </c>
      <c r="E14" s="14" t="n">
        <f aca="false">C14-D14</f>
        <v>-3500</v>
      </c>
    </row>
    <row r="15" customFormat="false" ht="15" hidden="false" customHeight="false" outlineLevel="0" collapsed="false">
      <c r="A15" s="11" t="n">
        <v>6</v>
      </c>
      <c r="B15" s="12" t="s">
        <v>14</v>
      </c>
      <c r="C15" s="13" t="n">
        <v>416500</v>
      </c>
      <c r="D15" s="13" t="n">
        <f aca="false">150000+266500</f>
        <v>416500</v>
      </c>
      <c r="E15" s="14" t="n">
        <f aca="false">C15-D15</f>
        <v>0</v>
      </c>
    </row>
    <row r="16" customFormat="false" ht="15" hidden="false" customHeight="false" outlineLevel="0" collapsed="false">
      <c r="A16" s="11" t="n">
        <v>7</v>
      </c>
      <c r="B16" s="12" t="s">
        <v>15</v>
      </c>
      <c r="C16" s="13" t="n">
        <v>416500</v>
      </c>
      <c r="D16" s="13" t="n">
        <f aca="false">200000</f>
        <v>200000</v>
      </c>
      <c r="E16" s="14" t="n">
        <f aca="false">C16-D16</f>
        <v>216500</v>
      </c>
    </row>
    <row r="17" customFormat="false" ht="15" hidden="false" customHeight="false" outlineLevel="0" collapsed="false">
      <c r="A17" s="11" t="n">
        <v>8</v>
      </c>
      <c r="B17" s="12" t="s">
        <v>16</v>
      </c>
      <c r="C17" s="13" t="n">
        <v>416500</v>
      </c>
      <c r="D17" s="13"/>
      <c r="E17" s="14" t="n">
        <f aca="false">C17-D17</f>
        <v>416500</v>
      </c>
    </row>
    <row r="18" customFormat="false" ht="15" hidden="false" customHeight="false" outlineLevel="0" collapsed="false">
      <c r="A18" s="11" t="n">
        <v>9</v>
      </c>
      <c r="B18" s="12" t="s">
        <v>17</v>
      </c>
      <c r="C18" s="13" t="n">
        <v>416500</v>
      </c>
      <c r="D18" s="13" t="n">
        <f aca="false">100000+316500</f>
        <v>416500</v>
      </c>
      <c r="E18" s="14" t="n">
        <f aca="false">C18-D18</f>
        <v>0</v>
      </c>
    </row>
    <row r="19" customFormat="false" ht="15" hidden="false" customHeight="false" outlineLevel="0" collapsed="false">
      <c r="A19" s="15" t="n">
        <v>10</v>
      </c>
      <c r="B19" s="12" t="s">
        <v>18</v>
      </c>
      <c r="C19" s="13" t="n">
        <v>416500</v>
      </c>
      <c r="D19" s="13"/>
      <c r="E19" s="14" t="n">
        <f aca="false">C19-D19</f>
        <v>416500</v>
      </c>
    </row>
    <row r="20" customFormat="false" ht="15" hidden="false" customHeight="false" outlineLevel="0" collapsed="false">
      <c r="A20" s="11" t="n">
        <v>11</v>
      </c>
      <c r="B20" s="12" t="s">
        <v>19</v>
      </c>
      <c r="C20" s="13" t="n">
        <v>416500</v>
      </c>
      <c r="D20" s="13" t="n">
        <f aca="false">100000+316500</f>
        <v>416500</v>
      </c>
      <c r="E20" s="14" t="n">
        <f aca="false">C20-D20</f>
        <v>0</v>
      </c>
    </row>
    <row r="21" customFormat="false" ht="15" hidden="false" customHeight="false" outlineLevel="0" collapsed="false">
      <c r="A21" s="11" t="n">
        <v>12</v>
      </c>
      <c r="B21" s="12" t="s">
        <v>20</v>
      </c>
      <c r="C21" s="13" t="n">
        <v>416500</v>
      </c>
      <c r="D21" s="13" t="n">
        <f aca="false">216500+150000+50000</f>
        <v>416500</v>
      </c>
      <c r="E21" s="14" t="n">
        <f aca="false">C21-D21</f>
        <v>0</v>
      </c>
    </row>
    <row r="22" customFormat="false" ht="15" hidden="false" customHeight="false" outlineLevel="0" collapsed="false">
      <c r="A22" s="11" t="n">
        <v>13</v>
      </c>
      <c r="B22" s="12" t="s">
        <v>21</v>
      </c>
      <c r="C22" s="13" t="n">
        <v>416500</v>
      </c>
      <c r="D22" s="13" t="n">
        <f aca="false">200000+116500+100000</f>
        <v>416500</v>
      </c>
      <c r="E22" s="14" t="n">
        <f aca="false">C22-D22</f>
        <v>0</v>
      </c>
    </row>
    <row r="23" customFormat="false" ht="15" hidden="false" customHeight="false" outlineLevel="0" collapsed="false">
      <c r="A23" s="15" t="n">
        <v>14</v>
      </c>
      <c r="B23" s="12" t="s">
        <v>22</v>
      </c>
      <c r="C23" s="13" t="n">
        <v>416500</v>
      </c>
      <c r="D23" s="13" t="n">
        <f aca="false">200000+30000+84000+100000+2500</f>
        <v>416500</v>
      </c>
      <c r="E23" s="14" t="n">
        <f aca="false">C23-D23</f>
        <v>0</v>
      </c>
    </row>
    <row r="24" customFormat="false" ht="15" hidden="false" customHeight="false" outlineLevel="0" collapsed="false">
      <c r="A24" s="11" t="n">
        <v>15</v>
      </c>
      <c r="B24" s="12" t="s">
        <v>23</v>
      </c>
      <c r="C24" s="13" t="n">
        <v>416500</v>
      </c>
      <c r="D24" s="13" t="n">
        <f aca="false">129500+265500+21500</f>
        <v>416500</v>
      </c>
      <c r="E24" s="14" t="n">
        <f aca="false">C24-D24</f>
        <v>0</v>
      </c>
    </row>
    <row r="25" customFormat="false" ht="15" hidden="false" customHeight="false" outlineLevel="0" collapsed="false">
      <c r="A25" s="11" t="n">
        <v>16</v>
      </c>
      <c r="B25" s="12" t="s">
        <v>24</v>
      </c>
      <c r="C25" s="13" t="n">
        <v>416500</v>
      </c>
      <c r="D25" s="13" t="n">
        <f aca="false">216500+75000+100000+25000</f>
        <v>416500</v>
      </c>
      <c r="E25" s="14" t="n">
        <f aca="false">C25-D25</f>
        <v>0</v>
      </c>
    </row>
    <row r="26" customFormat="false" ht="15" hidden="false" customHeight="false" outlineLevel="0" collapsed="false">
      <c r="A26" s="11" t="n">
        <v>17</v>
      </c>
      <c r="B26" s="12" t="s">
        <v>25</v>
      </c>
      <c r="C26" s="13" t="n">
        <v>416500</v>
      </c>
      <c r="D26" s="13" t="n">
        <f aca="false">167000+50000+200000</f>
        <v>417000</v>
      </c>
      <c r="E26" s="14" t="n">
        <f aca="false">C26-D26</f>
        <v>-500</v>
      </c>
    </row>
    <row r="27" customFormat="false" ht="15" hidden="false" customHeight="false" outlineLevel="0" collapsed="false">
      <c r="A27" s="11" t="n">
        <v>18</v>
      </c>
      <c r="B27" s="12" t="s">
        <v>26</v>
      </c>
      <c r="C27" s="13" t="n">
        <v>416500</v>
      </c>
      <c r="D27" s="13" t="n">
        <f aca="false">216500+200000</f>
        <v>416500</v>
      </c>
      <c r="E27" s="14" t="n">
        <f aca="false">C27-D27</f>
        <v>0</v>
      </c>
    </row>
    <row r="28" customFormat="false" ht="15" hidden="false" customHeight="false" outlineLevel="0" collapsed="false">
      <c r="A28" s="11" t="n">
        <v>19</v>
      </c>
      <c r="B28" s="12" t="s">
        <v>27</v>
      </c>
      <c r="C28" s="13" t="n">
        <v>416500</v>
      </c>
      <c r="D28" s="13" t="n">
        <f aca="false">116500+100000+200000</f>
        <v>416500</v>
      </c>
      <c r="E28" s="14" t="n">
        <f aca="false">C28-D28</f>
        <v>0</v>
      </c>
    </row>
    <row r="29" customFormat="false" ht="15" hidden="false" customHeight="false" outlineLevel="0" collapsed="false">
      <c r="A29" s="11" t="n">
        <v>20</v>
      </c>
      <c r="B29" s="12" t="s">
        <v>28</v>
      </c>
      <c r="C29" s="13" t="n">
        <v>416500</v>
      </c>
      <c r="D29" s="13" t="n">
        <f aca="false">200000+216500</f>
        <v>416500</v>
      </c>
      <c r="E29" s="14" t="n">
        <f aca="false">C29-D29</f>
        <v>0</v>
      </c>
    </row>
    <row r="30" customFormat="false" ht="15" hidden="false" customHeight="false" outlineLevel="0" collapsed="false">
      <c r="A30" s="11" t="n">
        <v>21</v>
      </c>
      <c r="B30" s="12" t="s">
        <v>29</v>
      </c>
      <c r="C30" s="13" t="n">
        <v>416500</v>
      </c>
      <c r="D30" s="13" t="n">
        <f aca="false">98500</f>
        <v>98500</v>
      </c>
      <c r="E30" s="14" t="n">
        <f aca="false">C30-D30</f>
        <v>318000</v>
      </c>
    </row>
    <row r="31" customFormat="false" ht="15" hidden="false" customHeight="false" outlineLevel="0" collapsed="false">
      <c r="A31" s="11" t="n">
        <v>22</v>
      </c>
      <c r="B31" s="12" t="s">
        <v>30</v>
      </c>
      <c r="C31" s="13" t="n">
        <v>416500</v>
      </c>
      <c r="D31" s="13" t="n">
        <f aca="false">199000+217500</f>
        <v>416500</v>
      </c>
      <c r="E31" s="14" t="n">
        <f aca="false">C31-D31</f>
        <v>0</v>
      </c>
    </row>
    <row r="32" customFormat="false" ht="15" hidden="false" customHeight="false" outlineLevel="0" collapsed="false">
      <c r="A32" s="15" t="n">
        <v>23</v>
      </c>
      <c r="B32" s="16" t="s">
        <v>31</v>
      </c>
      <c r="C32" s="13" t="n">
        <v>416500</v>
      </c>
      <c r="D32" s="13" t="n">
        <f aca="false">147000+270000</f>
        <v>417000</v>
      </c>
      <c r="E32" s="14" t="n">
        <f aca="false">C32-D32</f>
        <v>-500</v>
      </c>
    </row>
    <row r="33" customFormat="false" ht="15" hidden="false" customHeight="false" outlineLevel="0" collapsed="false">
      <c r="A33" s="11" t="n">
        <v>24</v>
      </c>
      <c r="B33" s="12" t="s">
        <v>32</v>
      </c>
      <c r="C33" s="13" t="n">
        <v>416500</v>
      </c>
      <c r="D33" s="13" t="n">
        <f aca="false">150000+33500+200000+33000</f>
        <v>416500</v>
      </c>
      <c r="E33" s="14" t="n">
        <f aca="false">C33-D33</f>
        <v>0</v>
      </c>
    </row>
    <row r="34" customFormat="false" ht="15" hidden="false" customHeight="false" outlineLevel="0" collapsed="false">
      <c r="A34" s="11" t="n">
        <v>25</v>
      </c>
      <c r="B34" s="12" t="s">
        <v>33</v>
      </c>
      <c r="C34" s="13" t="n">
        <v>416500</v>
      </c>
      <c r="D34" s="13" t="n">
        <f aca="false">3500+200000+50000+163000</f>
        <v>416500</v>
      </c>
      <c r="E34" s="14" t="n">
        <f aca="false">C34-D34</f>
        <v>0</v>
      </c>
    </row>
    <row r="35" customFormat="false" ht="15" hidden="false" customHeight="false" outlineLevel="0" collapsed="false">
      <c r="A35" s="11" t="n">
        <v>26</v>
      </c>
      <c r="B35" s="16" t="s">
        <v>34</v>
      </c>
      <c r="C35" s="13" t="n">
        <v>416500</v>
      </c>
      <c r="D35" s="13" t="n">
        <f aca="false">200000+216500</f>
        <v>416500</v>
      </c>
      <c r="E35" s="14" t="n">
        <f aca="false">C35-D35</f>
        <v>0</v>
      </c>
    </row>
    <row r="36" customFormat="false" ht="15" hidden="false" customHeight="false" outlineLevel="0" collapsed="false">
      <c r="A36" s="11" t="n">
        <v>27</v>
      </c>
      <c r="B36" s="12" t="s">
        <v>35</v>
      </c>
      <c r="C36" s="13" t="n">
        <v>416500</v>
      </c>
      <c r="D36" s="13" t="n">
        <f aca="false">216500+200000</f>
        <v>416500</v>
      </c>
      <c r="E36" s="14" t="n">
        <f aca="false">C36-D36</f>
        <v>0</v>
      </c>
    </row>
    <row r="37" customFormat="false" ht="15" hidden="false" customHeight="false" outlineLevel="0" collapsed="false">
      <c r="A37" s="11" t="n">
        <v>28</v>
      </c>
      <c r="B37" s="12" t="s">
        <v>36</v>
      </c>
      <c r="C37" s="13" t="n">
        <v>416500</v>
      </c>
      <c r="D37" s="13" t="n">
        <f aca="false">116500+116500+183500</f>
        <v>416500</v>
      </c>
      <c r="E37" s="14" t="n">
        <f aca="false">C37-D37</f>
        <v>0</v>
      </c>
    </row>
    <row r="38" customFormat="false" ht="15" hidden="false" customHeight="false" outlineLevel="0" collapsed="false">
      <c r="A38" s="11" t="n">
        <v>29</v>
      </c>
      <c r="B38" s="16" t="s">
        <v>37</v>
      </c>
      <c r="C38" s="13" t="n">
        <v>416500</v>
      </c>
      <c r="D38" s="13" t="n">
        <f aca="false">45000+100000+50000+30000+100000+91500</f>
        <v>416500</v>
      </c>
      <c r="E38" s="14" t="n">
        <f aca="false">C38-D38</f>
        <v>0</v>
      </c>
    </row>
    <row r="39" customFormat="false" ht="15" hidden="false" customHeight="false" outlineLevel="0" collapsed="false">
      <c r="A39" s="11" t="n">
        <v>30</v>
      </c>
      <c r="B39" s="12" t="s">
        <v>38</v>
      </c>
      <c r="C39" s="13" t="n">
        <v>416500</v>
      </c>
      <c r="D39" s="13" t="n">
        <f aca="false">180000+20000+50000+166500</f>
        <v>416500</v>
      </c>
      <c r="E39" s="14" t="n">
        <f aca="false">C39-D39</f>
        <v>0</v>
      </c>
    </row>
    <row r="40" customFormat="false" ht="15" hidden="false" customHeight="false" outlineLevel="0" collapsed="false">
      <c r="A40" s="11" t="n">
        <v>31</v>
      </c>
      <c r="B40" s="12" t="s">
        <v>39</v>
      </c>
      <c r="C40" s="13" t="n">
        <v>416500</v>
      </c>
      <c r="D40" s="13" t="n">
        <f aca="false">316500+100000</f>
        <v>416500</v>
      </c>
      <c r="E40" s="14" t="n">
        <f aca="false">C40-D40</f>
        <v>0</v>
      </c>
    </row>
    <row r="41" customFormat="false" ht="15" hidden="false" customHeight="false" outlineLevel="0" collapsed="false">
      <c r="A41" s="11" t="n">
        <v>32</v>
      </c>
      <c r="B41" s="12" t="s">
        <v>40</v>
      </c>
      <c r="C41" s="13" t="n">
        <v>416500</v>
      </c>
      <c r="D41" s="13"/>
      <c r="E41" s="14" t="n">
        <f aca="false">C41-D41</f>
        <v>416500</v>
      </c>
    </row>
    <row r="42" customFormat="false" ht="15" hidden="false" customHeight="false" outlineLevel="0" collapsed="false">
      <c r="A42" s="11" t="n">
        <v>33</v>
      </c>
      <c r="B42" s="12" t="s">
        <v>41</v>
      </c>
      <c r="C42" s="13" t="n">
        <v>416500</v>
      </c>
      <c r="D42" s="13" t="n">
        <f aca="false">216500+200000</f>
        <v>416500</v>
      </c>
      <c r="E42" s="14" t="n">
        <f aca="false">C42-D42</f>
        <v>0</v>
      </c>
    </row>
    <row r="43" customFormat="false" ht="19.7" hidden="false" customHeight="false" outlineLevel="0" collapsed="false">
      <c r="A43" s="11"/>
      <c r="B43" s="17" t="s">
        <v>42</v>
      </c>
      <c r="C43" s="18" t="n">
        <f aca="false">SUM(C10:C42)</f>
        <v>13744500</v>
      </c>
      <c r="D43" s="19" t="n">
        <f aca="false">SUM(D10:D42)</f>
        <v>11868500</v>
      </c>
      <c r="E43" s="20" t="n">
        <f aca="false">SUM(E10:E42)</f>
        <v>1876000</v>
      </c>
    </row>
    <row r="44" customFormat="false" ht="15" hidden="false" customHeight="false" outlineLevel="0" collapsed="false">
      <c r="A44" s="11"/>
    </row>
    <row r="45" customFormat="false" ht="15" hidden="false" customHeight="false" outlineLevel="0" collapsed="false">
      <c r="A45" s="11"/>
    </row>
    <row r="46" customFormat="false" ht="15" hidden="false" customHeight="false" outlineLevel="0" collapsed="false">
      <c r="A46" s="21"/>
    </row>
    <row r="47" customFormat="false" ht="15" hidden="false" customHeight="false" outlineLevel="0" collapsed="false">
      <c r="A47" s="21"/>
    </row>
    <row r="48" customFormat="false" ht="15" hidden="false" customHeight="false" outlineLevel="0" collapsed="false">
      <c r="A48" s="21"/>
    </row>
    <row r="49" customFormat="false" ht="15" hidden="false" customHeight="false" outlineLevel="0" collapsed="false">
      <c r="A49" s="21"/>
    </row>
    <row r="50" customFormat="false" ht="15" hidden="false" customHeight="false" outlineLevel="0" collapsed="false">
      <c r="A50" s="21"/>
    </row>
    <row r="51" customFormat="false" ht="17.35" hidden="false" customHeight="false" outlineLevel="0" collapsed="false">
      <c r="A51" s="22"/>
      <c r="B51" s="2" t="s">
        <v>0</v>
      </c>
    </row>
    <row r="52" customFormat="false" ht="15" hidden="false" customHeight="false" outlineLevel="0" collapsed="false">
      <c r="A52" s="21"/>
    </row>
    <row r="53" customFormat="false" ht="17.25" hidden="false" customHeight="false" outlineLevel="0" collapsed="false">
      <c r="A53" s="21"/>
      <c r="B53" s="3" t="s">
        <v>1</v>
      </c>
    </row>
    <row r="54" customFormat="false" ht="15" hidden="false" customHeight="false" outlineLevel="0" collapsed="false">
      <c r="A54" s="21"/>
    </row>
    <row r="55" customFormat="false" ht="17.35" hidden="false" customHeight="false" outlineLevel="0" collapsed="false">
      <c r="A55" s="21"/>
      <c r="B55" s="4" t="s">
        <v>43</v>
      </c>
    </row>
    <row r="56" customFormat="false" ht="15" hidden="false" customHeight="false" outlineLevel="0" collapsed="false">
      <c r="A56" s="21"/>
      <c r="B56" s="5" t="s">
        <v>3</v>
      </c>
    </row>
    <row r="57" customFormat="false" ht="15" hidden="false" customHeight="false" outlineLevel="0" collapsed="false">
      <c r="A57" s="21"/>
    </row>
    <row r="58" customFormat="false" ht="15" hidden="false" customHeight="false" outlineLevel="0" collapsed="false">
      <c r="A58" s="6" t="s">
        <v>4</v>
      </c>
      <c r="B58" s="7" t="s">
        <v>5</v>
      </c>
      <c r="C58" s="8" t="s">
        <v>6</v>
      </c>
      <c r="D58" s="9" t="s">
        <v>7</v>
      </c>
      <c r="E58" s="10" t="s">
        <v>8</v>
      </c>
    </row>
    <row r="59" customFormat="false" ht="15" hidden="false" customHeight="false" outlineLevel="0" collapsed="false">
      <c r="A59" s="11" t="n">
        <v>1</v>
      </c>
      <c r="B59" s="23" t="s">
        <v>44</v>
      </c>
      <c r="C59" s="13" t="n">
        <v>416500</v>
      </c>
      <c r="D59" s="13" t="n">
        <f aca="false">50000+156000+210500</f>
        <v>416500</v>
      </c>
      <c r="E59" s="14" t="n">
        <f aca="false">C59-D59</f>
        <v>0</v>
      </c>
    </row>
    <row r="60" customFormat="false" ht="15" hidden="false" customHeight="false" outlineLevel="0" collapsed="false">
      <c r="A60" s="11" t="n">
        <v>2</v>
      </c>
      <c r="B60" s="23" t="s">
        <v>45</v>
      </c>
      <c r="C60" s="13" t="n">
        <v>416500</v>
      </c>
      <c r="D60" s="13" t="n">
        <f aca="false">83500</f>
        <v>83500</v>
      </c>
      <c r="E60" s="14" t="n">
        <f aca="false">C60-D60</f>
        <v>333000</v>
      </c>
    </row>
    <row r="61" customFormat="false" ht="15" hidden="false" customHeight="false" outlineLevel="0" collapsed="false">
      <c r="A61" s="11" t="n">
        <v>3</v>
      </c>
      <c r="B61" s="23" t="s">
        <v>46</v>
      </c>
      <c r="C61" s="13" t="n">
        <v>416500</v>
      </c>
      <c r="D61" s="13" t="n">
        <f aca="false">216500+200000</f>
        <v>416500</v>
      </c>
      <c r="E61" s="14" t="n">
        <f aca="false">C61-D61</f>
        <v>0</v>
      </c>
    </row>
    <row r="62" customFormat="false" ht="15" hidden="false" customHeight="false" outlineLevel="0" collapsed="false">
      <c r="A62" s="11" t="n">
        <v>5</v>
      </c>
      <c r="B62" s="23" t="s">
        <v>47</v>
      </c>
      <c r="C62" s="13" t="n">
        <v>416500</v>
      </c>
      <c r="D62" s="13" t="n">
        <f aca="false">216500+200000</f>
        <v>416500</v>
      </c>
      <c r="E62" s="14" t="n">
        <f aca="false">C62-D62</f>
        <v>0</v>
      </c>
    </row>
    <row r="63" customFormat="false" ht="15" hidden="false" customHeight="false" outlineLevel="0" collapsed="false">
      <c r="A63" s="11" t="n">
        <v>6</v>
      </c>
      <c r="B63" s="23" t="s">
        <v>48</v>
      </c>
      <c r="C63" s="13" t="n">
        <v>416500</v>
      </c>
      <c r="D63" s="13" t="n">
        <f aca="false">130000+286500</f>
        <v>416500</v>
      </c>
      <c r="E63" s="14" t="n">
        <f aca="false">C63-D63</f>
        <v>0</v>
      </c>
    </row>
    <row r="64" customFormat="false" ht="15" hidden="false" customHeight="false" outlineLevel="0" collapsed="false">
      <c r="A64" s="11" t="n">
        <v>7</v>
      </c>
      <c r="B64" s="24" t="s">
        <v>49</v>
      </c>
      <c r="C64" s="25" t="n">
        <v>416500</v>
      </c>
      <c r="D64" s="1" t="n">
        <f aca="false">30000+170000+216500</f>
        <v>416500</v>
      </c>
      <c r="E64" s="26" t="n">
        <f aca="false">C64-D64</f>
        <v>0</v>
      </c>
    </row>
    <row r="65" customFormat="false" ht="15" hidden="false" customHeight="false" outlineLevel="0" collapsed="false">
      <c r="A65" s="11" t="n">
        <v>8</v>
      </c>
      <c r="B65" s="23" t="s">
        <v>50</v>
      </c>
      <c r="C65" s="13" t="n">
        <v>416500</v>
      </c>
      <c r="D65" s="13" t="n">
        <f aca="false">300000+116500</f>
        <v>416500</v>
      </c>
      <c r="E65" s="14" t="n">
        <f aca="false">C65-D65</f>
        <v>0</v>
      </c>
    </row>
    <row r="66" customFormat="false" ht="15" hidden="false" customHeight="false" outlineLevel="0" collapsed="false">
      <c r="A66" s="11" t="n">
        <v>9</v>
      </c>
      <c r="B66" s="23" t="s">
        <v>51</v>
      </c>
      <c r="C66" s="13" t="n">
        <v>416500</v>
      </c>
      <c r="D66" s="13" t="n">
        <f aca="false">100000+100000+200000+16500</f>
        <v>416500</v>
      </c>
      <c r="E66" s="14" t="n">
        <f aca="false">C66-D66</f>
        <v>0</v>
      </c>
    </row>
    <row r="67" customFormat="false" ht="15" hidden="false" customHeight="false" outlineLevel="0" collapsed="false">
      <c r="A67" s="11" t="n">
        <v>10</v>
      </c>
      <c r="B67" s="23" t="s">
        <v>52</v>
      </c>
      <c r="C67" s="13" t="n">
        <v>416500</v>
      </c>
      <c r="D67" s="13" t="n">
        <f aca="false">43500+20000+38000+315000</f>
        <v>416500</v>
      </c>
      <c r="E67" s="14" t="n">
        <f aca="false">C67-D67</f>
        <v>0</v>
      </c>
    </row>
    <row r="68" customFormat="false" ht="15" hidden="false" customHeight="false" outlineLevel="0" collapsed="false">
      <c r="A68" s="11" t="n">
        <v>11</v>
      </c>
      <c r="B68" s="23" t="s">
        <v>53</v>
      </c>
      <c r="C68" s="13" t="n">
        <v>416500</v>
      </c>
      <c r="D68" s="13" t="n">
        <f aca="false">17000+203000+200000</f>
        <v>420000</v>
      </c>
      <c r="E68" s="14" t="n">
        <v>0</v>
      </c>
    </row>
    <row r="69" customFormat="false" ht="15" hidden="false" customHeight="false" outlineLevel="0" collapsed="false">
      <c r="A69" s="11" t="n">
        <v>12</v>
      </c>
      <c r="B69" s="23" t="s">
        <v>54</v>
      </c>
      <c r="C69" s="13" t="n">
        <v>416500</v>
      </c>
      <c r="D69" s="13" t="n">
        <f aca="false">150000+66500+200000</f>
        <v>416500</v>
      </c>
      <c r="E69" s="14" t="n">
        <f aca="false">C69-D69</f>
        <v>0</v>
      </c>
    </row>
    <row r="70" customFormat="false" ht="15" hidden="false" customHeight="false" outlineLevel="0" collapsed="false">
      <c r="A70" s="11" t="n">
        <v>13</v>
      </c>
      <c r="B70" s="23" t="s">
        <v>55</v>
      </c>
      <c r="C70" s="13" t="n">
        <v>416500</v>
      </c>
      <c r="D70" s="13" t="n">
        <f aca="false">116500+300000</f>
        <v>416500</v>
      </c>
      <c r="E70" s="14" t="n">
        <f aca="false">C70-D70</f>
        <v>0</v>
      </c>
    </row>
    <row r="71" customFormat="false" ht="15" hidden="false" customHeight="true" outlineLevel="0" collapsed="false">
      <c r="A71" s="11" t="n">
        <v>14</v>
      </c>
      <c r="B71" s="12" t="s">
        <v>56</v>
      </c>
      <c r="C71" s="13" t="n">
        <v>416500</v>
      </c>
      <c r="D71" s="13" t="n">
        <f aca="false">260000+125000+31500</f>
        <v>416500</v>
      </c>
      <c r="E71" s="14" t="n">
        <f aca="false">C71-D71</f>
        <v>0</v>
      </c>
    </row>
    <row r="72" customFormat="false" ht="15" hidden="false" customHeight="false" outlineLevel="0" collapsed="false">
      <c r="A72" s="11" t="n">
        <v>15</v>
      </c>
      <c r="B72" s="12" t="s">
        <v>57</v>
      </c>
      <c r="C72" s="13" t="n">
        <v>416500</v>
      </c>
      <c r="D72" s="13" t="n">
        <f aca="false">216000+200000</f>
        <v>416000</v>
      </c>
      <c r="E72" s="14" t="n">
        <f aca="false">C72-D72</f>
        <v>500</v>
      </c>
    </row>
    <row r="73" customFormat="false" ht="15" hidden="false" customHeight="false" outlineLevel="0" collapsed="false">
      <c r="A73" s="11" t="n">
        <v>16</v>
      </c>
      <c r="B73" s="12" t="s">
        <v>58</v>
      </c>
      <c r="C73" s="13" t="n">
        <v>416500</v>
      </c>
      <c r="D73" s="13"/>
      <c r="E73" s="14" t="n">
        <f aca="false">C73-D73</f>
        <v>416500</v>
      </c>
    </row>
    <row r="74" customFormat="false" ht="15" hidden="false" customHeight="false" outlineLevel="0" collapsed="false">
      <c r="A74" s="11" t="n">
        <v>17</v>
      </c>
      <c r="B74" s="12" t="s">
        <v>59</v>
      </c>
      <c r="C74" s="13" t="n">
        <v>416500</v>
      </c>
      <c r="D74" s="13" t="n">
        <f aca="false">416500</f>
        <v>416500</v>
      </c>
      <c r="E74" s="14" t="n">
        <f aca="false">C74-D74</f>
        <v>0</v>
      </c>
    </row>
    <row r="75" customFormat="false" ht="15" hidden="false" customHeight="false" outlineLevel="0" collapsed="false">
      <c r="A75" s="11" t="n">
        <v>18</v>
      </c>
      <c r="B75" s="12" t="s">
        <v>60</v>
      </c>
      <c r="C75" s="13" t="n">
        <v>416500</v>
      </c>
      <c r="D75" s="13" t="n">
        <f aca="false">100000+200000+116500</f>
        <v>416500</v>
      </c>
      <c r="E75" s="14" t="n">
        <f aca="false">C75-D75</f>
        <v>0</v>
      </c>
    </row>
    <row r="76" customFormat="false" ht="15" hidden="false" customHeight="false" outlineLevel="0" collapsed="false">
      <c r="A76" s="11" t="n">
        <v>19</v>
      </c>
      <c r="B76" s="12" t="s">
        <v>61</v>
      </c>
      <c r="C76" s="13" t="n">
        <v>416500</v>
      </c>
      <c r="D76" s="13"/>
      <c r="E76" s="14" t="n">
        <f aca="false">C76-D76</f>
        <v>416500</v>
      </c>
    </row>
    <row r="77" customFormat="false" ht="15" hidden="false" customHeight="false" outlineLevel="0" collapsed="false">
      <c r="A77" s="11" t="n">
        <v>20</v>
      </c>
      <c r="B77" s="12" t="s">
        <v>62</v>
      </c>
      <c r="C77" s="13" t="n">
        <v>416500</v>
      </c>
      <c r="D77" s="13" t="n">
        <f aca="false">300000+120000</f>
        <v>420000</v>
      </c>
      <c r="E77" s="14" t="n">
        <f aca="false">C77-D77</f>
        <v>-3500</v>
      </c>
    </row>
    <row r="78" customFormat="false" ht="15" hidden="false" customHeight="false" outlineLevel="0" collapsed="false">
      <c r="A78" s="11" t="n">
        <v>21</v>
      </c>
      <c r="B78" s="12" t="s">
        <v>63</v>
      </c>
      <c r="C78" s="13" t="n">
        <v>416500</v>
      </c>
      <c r="D78" s="13" t="n">
        <f aca="false">99500+317000</f>
        <v>416500</v>
      </c>
      <c r="E78" s="14" t="n">
        <f aca="false">C78-D78</f>
        <v>0</v>
      </c>
    </row>
    <row r="79" customFormat="false" ht="15" hidden="false" customHeight="false" outlineLevel="0" collapsed="false">
      <c r="A79" s="11" t="n">
        <v>22</v>
      </c>
      <c r="B79" s="12" t="s">
        <v>64</v>
      </c>
      <c r="C79" s="13" t="n">
        <v>416500</v>
      </c>
      <c r="D79" s="13" t="n">
        <f aca="false">216500+100000+100000</f>
        <v>416500</v>
      </c>
      <c r="E79" s="14" t="n">
        <f aca="false">C79-D79</f>
        <v>0</v>
      </c>
    </row>
    <row r="80" customFormat="false" ht="15" hidden="false" customHeight="false" outlineLevel="0" collapsed="false">
      <c r="A80" s="11" t="n">
        <v>24</v>
      </c>
      <c r="B80" s="12" t="s">
        <v>65</v>
      </c>
      <c r="C80" s="13" t="n">
        <v>416500</v>
      </c>
      <c r="D80" s="13" t="n">
        <f aca="false">200000+216500</f>
        <v>416500</v>
      </c>
      <c r="E80" s="14" t="n">
        <f aca="false">C80-D80</f>
        <v>0</v>
      </c>
    </row>
    <row r="81" customFormat="false" ht="15" hidden="false" customHeight="false" outlineLevel="0" collapsed="false">
      <c r="A81" s="11" t="n">
        <v>25</v>
      </c>
      <c r="B81" s="12" t="s">
        <v>66</v>
      </c>
      <c r="C81" s="13" t="n">
        <v>416500</v>
      </c>
      <c r="D81" s="13" t="n">
        <f aca="false">20500+200000+200000</f>
        <v>420500</v>
      </c>
      <c r="E81" s="14" t="n">
        <f aca="false">C81-D81</f>
        <v>-4000</v>
      </c>
    </row>
    <row r="82" customFormat="false" ht="15" hidden="false" customHeight="false" outlineLevel="0" collapsed="false">
      <c r="A82" s="11" t="n">
        <v>26</v>
      </c>
      <c r="B82" s="12" t="s">
        <v>67</v>
      </c>
      <c r="C82" s="13" t="n">
        <v>416500</v>
      </c>
      <c r="D82" s="13" t="n">
        <v>416500</v>
      </c>
      <c r="E82" s="14" t="n">
        <f aca="false">C82-D82</f>
        <v>0</v>
      </c>
    </row>
    <row r="83" customFormat="false" ht="15" hidden="false" customHeight="false" outlineLevel="0" collapsed="false">
      <c r="A83" s="11" t="n">
        <v>27</v>
      </c>
      <c r="B83" s="12" t="s">
        <v>68</v>
      </c>
      <c r="C83" s="13" t="n">
        <v>416500</v>
      </c>
      <c r="D83" s="13" t="n">
        <f aca="false">216000+500+200000</f>
        <v>416500</v>
      </c>
      <c r="E83" s="14" t="n">
        <f aca="false">C83-D83</f>
        <v>0</v>
      </c>
    </row>
    <row r="84" customFormat="false" ht="15" hidden="false" customHeight="false" outlineLevel="0" collapsed="false">
      <c r="A84" s="11" t="n">
        <v>28</v>
      </c>
      <c r="B84" s="12" t="s">
        <v>69</v>
      </c>
      <c r="C84" s="13" t="n">
        <v>416500</v>
      </c>
      <c r="D84" s="13" t="n">
        <f aca="false">83500+33000+300000</f>
        <v>416500</v>
      </c>
      <c r="E84" s="14" t="n">
        <f aca="false">C84-D84</f>
        <v>0</v>
      </c>
    </row>
    <row r="85" customFormat="false" ht="15" hidden="false" customHeight="false" outlineLevel="0" collapsed="false">
      <c r="A85" s="11" t="n">
        <v>29</v>
      </c>
      <c r="B85" s="12" t="s">
        <v>70</v>
      </c>
      <c r="C85" s="13" t="n">
        <v>416500</v>
      </c>
      <c r="D85" s="13" t="n">
        <f aca="false">200000+100000+116500</f>
        <v>416500</v>
      </c>
      <c r="E85" s="14" t="n">
        <f aca="false">C85-D85</f>
        <v>0</v>
      </c>
    </row>
    <row r="86" customFormat="false" ht="15" hidden="false" customHeight="false" outlineLevel="0" collapsed="false">
      <c r="A86" s="11" t="n">
        <v>30</v>
      </c>
      <c r="B86" s="12" t="s">
        <v>71</v>
      </c>
      <c r="C86" s="13" t="n">
        <v>416500</v>
      </c>
      <c r="D86" s="13" t="n">
        <f aca="false">266000+150500</f>
        <v>416500</v>
      </c>
      <c r="E86" s="14" t="n">
        <f aca="false">C86-D86</f>
        <v>0</v>
      </c>
    </row>
    <row r="87" customFormat="false" ht="15" hidden="false" customHeight="false" outlineLevel="0" collapsed="false">
      <c r="A87" s="11" t="n">
        <v>31</v>
      </c>
      <c r="B87" s="12" t="s">
        <v>72</v>
      </c>
      <c r="C87" s="13" t="n">
        <v>416500</v>
      </c>
      <c r="D87" s="13" t="n">
        <f aca="false">68500+100000+55000+142950+50000</f>
        <v>416450</v>
      </c>
      <c r="E87" s="14" t="n">
        <f aca="false">C87-D87</f>
        <v>50</v>
      </c>
    </row>
    <row r="88" customFormat="false" ht="15" hidden="false" customHeight="false" outlineLevel="0" collapsed="false">
      <c r="A88" s="11" t="n">
        <v>32</v>
      </c>
      <c r="B88" s="12" t="s">
        <v>73</v>
      </c>
      <c r="C88" s="13" t="n">
        <v>416500</v>
      </c>
      <c r="D88" s="13" t="n">
        <f aca="false">216500+200000</f>
        <v>416500</v>
      </c>
      <c r="E88" s="14" t="n">
        <f aca="false">C88-D88</f>
        <v>0</v>
      </c>
    </row>
    <row r="89" customFormat="false" ht="15" hidden="false" customHeight="false" outlineLevel="0" collapsed="false">
      <c r="A89" s="11" t="n">
        <v>33</v>
      </c>
      <c r="B89" s="12" t="s">
        <v>74</v>
      </c>
      <c r="C89" s="13" t="n">
        <v>416500</v>
      </c>
      <c r="D89" s="13" t="n">
        <f aca="false">100000+316500</f>
        <v>416500</v>
      </c>
      <c r="E89" s="14" t="n">
        <f aca="false">C89-D89</f>
        <v>0</v>
      </c>
    </row>
    <row r="90" customFormat="false" ht="15" hidden="false" customHeight="false" outlineLevel="0" collapsed="false">
      <c r="A90" s="11" t="n">
        <v>34</v>
      </c>
      <c r="B90" s="12" t="s">
        <v>75</v>
      </c>
      <c r="C90" s="13" t="n">
        <v>416500</v>
      </c>
      <c r="D90" s="13" t="n">
        <f aca="false">100000+100000+100000+116500</f>
        <v>416500</v>
      </c>
      <c r="E90" s="14" t="n">
        <f aca="false">C90-D90</f>
        <v>0</v>
      </c>
    </row>
    <row r="91" customFormat="false" ht="15" hidden="false" customHeight="false" outlineLevel="0" collapsed="false">
      <c r="A91" s="11" t="n">
        <v>35</v>
      </c>
      <c r="B91" s="12" t="s">
        <v>76</v>
      </c>
      <c r="C91" s="13" t="n">
        <v>416500</v>
      </c>
      <c r="D91" s="13" t="n">
        <f aca="false">50000+160000+206500</f>
        <v>416500</v>
      </c>
      <c r="E91" s="14" t="n">
        <f aca="false">C91-D91</f>
        <v>0</v>
      </c>
    </row>
    <row r="92" customFormat="false" ht="15" hidden="false" customHeight="false" outlineLevel="0" collapsed="false">
      <c r="A92" s="11" t="n">
        <v>36</v>
      </c>
      <c r="B92" s="12" t="s">
        <v>77</v>
      </c>
      <c r="C92" s="13" t="n">
        <v>416500</v>
      </c>
      <c r="D92" s="13" t="n">
        <f aca="false">33500+350000+33000</f>
        <v>416500</v>
      </c>
      <c r="E92" s="14" t="n">
        <f aca="false">C92-D92</f>
        <v>0</v>
      </c>
    </row>
    <row r="93" customFormat="false" ht="15" hidden="false" customHeight="false" outlineLevel="0" collapsed="false">
      <c r="A93" s="11" t="n">
        <v>37</v>
      </c>
      <c r="B93" s="12" t="s">
        <v>78</v>
      </c>
      <c r="C93" s="13" t="n">
        <v>416500</v>
      </c>
      <c r="D93" s="13" t="n">
        <f aca="false">250000</f>
        <v>250000</v>
      </c>
      <c r="E93" s="14" t="n">
        <f aca="false">C93-D93</f>
        <v>166500</v>
      </c>
    </row>
    <row r="94" customFormat="false" ht="15" hidden="false" customHeight="false" outlineLevel="0" collapsed="false">
      <c r="A94" s="11" t="n">
        <v>38</v>
      </c>
      <c r="B94" s="12" t="s">
        <v>79</v>
      </c>
      <c r="C94" s="13" t="n">
        <v>416500</v>
      </c>
      <c r="D94" s="13"/>
      <c r="E94" s="14" t="n">
        <f aca="false">C94-D94</f>
        <v>416500</v>
      </c>
    </row>
    <row r="95" customFormat="false" ht="15" hidden="false" customHeight="false" outlineLevel="0" collapsed="false">
      <c r="A95" s="11" t="n">
        <v>39</v>
      </c>
      <c r="B95" s="12" t="s">
        <v>80</v>
      </c>
      <c r="C95" s="13" t="n">
        <v>416500</v>
      </c>
      <c r="D95" s="13" t="n">
        <f aca="false">66500+350000</f>
        <v>416500</v>
      </c>
      <c r="E95" s="14" t="n">
        <f aca="false">C95-D95</f>
        <v>0</v>
      </c>
    </row>
    <row r="96" customFormat="false" ht="15" hidden="false" customHeight="false" outlineLevel="0" collapsed="false">
      <c r="A96" s="11" t="n">
        <v>41</v>
      </c>
      <c r="B96" s="12" t="s">
        <v>81</v>
      </c>
      <c r="C96" s="13" t="n">
        <v>416500</v>
      </c>
      <c r="D96" s="13" t="n">
        <f aca="false">150000+100000+207000</f>
        <v>457000</v>
      </c>
      <c r="E96" s="27" t="n">
        <f aca="false">C96-D96</f>
        <v>-40500</v>
      </c>
    </row>
    <row r="97" customFormat="false" ht="15" hidden="false" customHeight="false" outlineLevel="0" collapsed="false">
      <c r="A97" s="11" t="n">
        <v>42</v>
      </c>
      <c r="B97" s="12" t="s">
        <v>82</v>
      </c>
      <c r="C97" s="13" t="n">
        <v>416500</v>
      </c>
      <c r="D97" s="13" t="n">
        <f aca="false">115000+101500+200000</f>
        <v>416500</v>
      </c>
      <c r="E97" s="14" t="n">
        <f aca="false">C97-D97</f>
        <v>0</v>
      </c>
    </row>
    <row r="98" customFormat="false" ht="15" hidden="false" customHeight="false" outlineLevel="0" collapsed="false">
      <c r="A98" s="28" t="n">
        <v>44</v>
      </c>
      <c r="B98" s="12" t="s">
        <v>83</v>
      </c>
      <c r="C98" s="13" t="n">
        <v>416500</v>
      </c>
      <c r="D98" s="23"/>
      <c r="E98" s="14" t="n">
        <f aca="false">C98-D98</f>
        <v>416500</v>
      </c>
    </row>
    <row r="99" customFormat="false" ht="15" hidden="false" customHeight="false" outlineLevel="0" collapsed="false">
      <c r="A99" s="28" t="n">
        <v>45</v>
      </c>
      <c r="B99" s="12" t="s">
        <v>84</v>
      </c>
      <c r="C99" s="13" t="n">
        <v>416500</v>
      </c>
      <c r="D99" s="23"/>
      <c r="E99" s="14" t="n">
        <f aca="false">C99-D99</f>
        <v>416500</v>
      </c>
    </row>
    <row r="100" customFormat="false" ht="15" hidden="false" customHeight="false" outlineLevel="0" collapsed="false">
      <c r="A100" s="28" t="n">
        <v>46</v>
      </c>
      <c r="B100" s="12" t="s">
        <v>85</v>
      </c>
      <c r="C100" s="13" t="n">
        <v>416500</v>
      </c>
      <c r="D100" s="23" t="n">
        <f aca="false">16500+55000+30000+20000+40000+70000+185000</f>
        <v>416500</v>
      </c>
      <c r="E100" s="14" t="n">
        <f aca="false">C100-D100</f>
        <v>0</v>
      </c>
    </row>
    <row r="101" customFormat="false" ht="15" hidden="false" customHeight="false" outlineLevel="0" collapsed="false">
      <c r="A101" s="28" t="n">
        <v>47</v>
      </c>
      <c r="B101" s="12" t="s">
        <v>86</v>
      </c>
      <c r="C101" s="13" t="n">
        <v>416500</v>
      </c>
      <c r="D101" s="23"/>
      <c r="E101" s="14" t="n">
        <f aca="false">C101-D101</f>
        <v>416500</v>
      </c>
    </row>
    <row r="102" customFormat="false" ht="15" hidden="false" customHeight="false" outlineLevel="0" collapsed="false">
      <c r="A102" s="28" t="n">
        <v>48</v>
      </c>
      <c r="B102" s="23" t="s">
        <v>87</v>
      </c>
      <c r="C102" s="13" t="n">
        <v>416500</v>
      </c>
      <c r="D102" s="23"/>
      <c r="E102" s="14" t="n">
        <f aca="false">C102-D102</f>
        <v>416500</v>
      </c>
    </row>
    <row r="103" customFormat="false" ht="17.35" hidden="false" customHeight="false" outlineLevel="0" collapsed="false">
      <c r="A103" s="29"/>
      <c r="B103" s="30" t="s">
        <v>88</v>
      </c>
      <c r="C103" s="18" t="n">
        <f aca="false">SUM(C59:C102)</f>
        <v>18326000</v>
      </c>
      <c r="D103" s="19" t="n">
        <f aca="false">SUM(D59:D97)</f>
        <v>14545450</v>
      </c>
      <c r="E103" s="20" t="n">
        <f aca="false">SUM(E59:E102)</f>
        <v>3367550</v>
      </c>
    </row>
    <row r="104" customFormat="false" ht="15" hidden="false" customHeight="false" outlineLevel="0" collapsed="false">
      <c r="A104" s="21"/>
      <c r="D104" s="31"/>
      <c r="E104" s="32"/>
    </row>
    <row r="107" customFormat="false" ht="17.35" hidden="false" customHeight="false" outlineLevel="0" collapsed="false">
      <c r="A107" s="22"/>
      <c r="B107" s="2" t="s">
        <v>0</v>
      </c>
    </row>
    <row r="108" customFormat="false" ht="15" hidden="false" customHeight="false" outlineLevel="0" collapsed="false">
      <c r="A108" s="21"/>
    </row>
    <row r="109" customFormat="false" ht="17.25" hidden="false" customHeight="false" outlineLevel="0" collapsed="false">
      <c r="A109" s="21"/>
      <c r="B109" s="3" t="s">
        <v>1</v>
      </c>
    </row>
    <row r="110" customFormat="false" ht="15" hidden="false" customHeight="false" outlineLevel="0" collapsed="false">
      <c r="A110" s="21"/>
    </row>
    <row r="111" customFormat="false" ht="17.35" hidden="false" customHeight="false" outlineLevel="0" collapsed="false">
      <c r="A111" s="21"/>
      <c r="B111" s="4" t="s">
        <v>89</v>
      </c>
    </row>
    <row r="112" customFormat="false" ht="15" hidden="false" customHeight="false" outlineLevel="0" collapsed="false">
      <c r="A112" s="21"/>
      <c r="B112" s="5" t="s">
        <v>3</v>
      </c>
    </row>
    <row r="113" customFormat="false" ht="15" hidden="false" customHeight="false" outlineLevel="0" collapsed="false">
      <c r="A113" s="21"/>
    </row>
    <row r="114" customFormat="false" ht="15" hidden="false" customHeight="false" outlineLevel="0" collapsed="false">
      <c r="A114" s="6" t="s">
        <v>4</v>
      </c>
      <c r="B114" s="7" t="s">
        <v>5</v>
      </c>
      <c r="C114" s="8" t="s">
        <v>6</v>
      </c>
      <c r="D114" s="9" t="s">
        <v>7</v>
      </c>
      <c r="E114" s="33" t="s">
        <v>8</v>
      </c>
    </row>
    <row r="115" customFormat="false" ht="15" hidden="false" customHeight="false" outlineLevel="0" collapsed="false">
      <c r="A115" s="11" t="n">
        <v>1</v>
      </c>
      <c r="B115" s="23" t="s">
        <v>90</v>
      </c>
      <c r="C115" s="13" t="n">
        <v>416500</v>
      </c>
      <c r="D115" s="13"/>
      <c r="E115" s="14" t="n">
        <f aca="false">C115-D115</f>
        <v>416500</v>
      </c>
    </row>
    <row r="116" customFormat="false" ht="15" hidden="false" customHeight="false" outlineLevel="0" collapsed="false">
      <c r="A116" s="11" t="n">
        <v>2</v>
      </c>
      <c r="B116" s="23" t="s">
        <v>91</v>
      </c>
      <c r="C116" s="13" t="n">
        <v>416500</v>
      </c>
      <c r="D116" s="13"/>
      <c r="E116" s="14" t="n">
        <f aca="false">C116-D116</f>
        <v>416500</v>
      </c>
    </row>
    <row r="117" customFormat="false" ht="15" hidden="false" customHeight="false" outlineLevel="0" collapsed="false">
      <c r="A117" s="11" t="n">
        <v>3</v>
      </c>
      <c r="B117" s="23" t="s">
        <v>92</v>
      </c>
      <c r="C117" s="13" t="n">
        <v>416500</v>
      </c>
      <c r="D117" s="13"/>
      <c r="E117" s="14" t="n">
        <f aca="false">C117-D117</f>
        <v>416500</v>
      </c>
    </row>
    <row r="118" customFormat="false" ht="15" hidden="false" customHeight="false" outlineLevel="0" collapsed="false">
      <c r="A118" s="11" t="n">
        <v>4</v>
      </c>
      <c r="B118" s="23" t="s">
        <v>93</v>
      </c>
      <c r="C118" s="13" t="n">
        <v>416500</v>
      </c>
      <c r="D118" s="13" t="n">
        <f aca="false">187500+298000</f>
        <v>485500</v>
      </c>
      <c r="E118" s="14" t="n">
        <f aca="false">C118-D118</f>
        <v>-69000</v>
      </c>
    </row>
    <row r="119" customFormat="false" ht="15" hidden="false" customHeight="false" outlineLevel="0" collapsed="false">
      <c r="A119" s="11" t="n">
        <v>5</v>
      </c>
      <c r="B119" s="23" t="s">
        <v>94</v>
      </c>
      <c r="C119" s="13" t="n">
        <v>416500</v>
      </c>
      <c r="D119" s="13"/>
      <c r="E119" s="14" t="n">
        <f aca="false">C119-D119</f>
        <v>416500</v>
      </c>
    </row>
    <row r="120" customFormat="false" ht="15" hidden="false" customHeight="false" outlineLevel="0" collapsed="false">
      <c r="A120" s="11" t="n">
        <v>6</v>
      </c>
      <c r="B120" s="23" t="s">
        <v>95</v>
      </c>
      <c r="C120" s="13" t="n">
        <v>416500</v>
      </c>
      <c r="D120" s="13" t="n">
        <f aca="false">100000+316500</f>
        <v>416500</v>
      </c>
      <c r="E120" s="14" t="n">
        <f aca="false">C120-D120</f>
        <v>0</v>
      </c>
    </row>
    <row r="121" customFormat="false" ht="15" hidden="false" customHeight="false" outlineLevel="0" collapsed="false">
      <c r="A121" s="11" t="n">
        <v>7</v>
      </c>
      <c r="B121" s="23" t="s">
        <v>96</v>
      </c>
      <c r="C121" s="13" t="n">
        <v>416500</v>
      </c>
      <c r="D121" s="13" t="n">
        <f aca="false">416500</f>
        <v>416500</v>
      </c>
      <c r="E121" s="14" t="n">
        <f aca="false">C121-D121</f>
        <v>0</v>
      </c>
    </row>
    <row r="122" customFormat="false" ht="15" hidden="false" customHeight="false" outlineLevel="0" collapsed="false">
      <c r="A122" s="11" t="n">
        <v>8</v>
      </c>
      <c r="B122" s="23" t="s">
        <v>97</v>
      </c>
      <c r="C122" s="13" t="n">
        <v>416500</v>
      </c>
      <c r="D122" s="13"/>
      <c r="E122" s="14" t="n">
        <f aca="false">C122-D122</f>
        <v>416500</v>
      </c>
    </row>
    <row r="123" customFormat="false" ht="15" hidden="false" customHeight="false" outlineLevel="0" collapsed="false">
      <c r="A123" s="11" t="n">
        <v>9</v>
      </c>
      <c r="B123" s="23" t="s">
        <v>98</v>
      </c>
      <c r="C123" s="13" t="n">
        <v>416500</v>
      </c>
      <c r="D123" s="13" t="n">
        <f aca="false">216500+170000+30000</f>
        <v>416500</v>
      </c>
      <c r="E123" s="14" t="n">
        <f aca="false">C123-D123</f>
        <v>0</v>
      </c>
    </row>
    <row r="124" customFormat="false" ht="15" hidden="false" customHeight="false" outlineLevel="0" collapsed="false">
      <c r="A124" s="11" t="n">
        <v>10</v>
      </c>
      <c r="B124" s="23" t="s">
        <v>99</v>
      </c>
      <c r="C124" s="13" t="n">
        <v>416500</v>
      </c>
      <c r="D124" s="13" t="n">
        <f aca="false">213500+200000+3000</f>
        <v>416500</v>
      </c>
      <c r="E124" s="14" t="n">
        <f aca="false">C124-D124</f>
        <v>0</v>
      </c>
    </row>
    <row r="125" customFormat="false" ht="15" hidden="false" customHeight="false" outlineLevel="0" collapsed="false">
      <c r="A125" s="11" t="n">
        <v>11</v>
      </c>
      <c r="B125" s="23" t="s">
        <v>100</v>
      </c>
      <c r="C125" s="13" t="n">
        <v>416500</v>
      </c>
      <c r="D125" s="13" t="n">
        <f aca="false">50000+366500</f>
        <v>416500</v>
      </c>
      <c r="E125" s="14" t="n">
        <f aca="false">C125-D125</f>
        <v>0</v>
      </c>
    </row>
    <row r="126" customFormat="false" ht="15" hidden="false" customHeight="false" outlineLevel="0" collapsed="false">
      <c r="A126" s="11" t="n">
        <v>12</v>
      </c>
      <c r="B126" s="23" t="s">
        <v>101</v>
      </c>
      <c r="C126" s="13" t="n">
        <v>416500</v>
      </c>
      <c r="D126" s="13" t="n">
        <f aca="false">83500+316500+16500</f>
        <v>416500</v>
      </c>
      <c r="E126" s="14" t="n">
        <f aca="false">C126-D126</f>
        <v>0</v>
      </c>
    </row>
    <row r="127" customFormat="false" ht="15" hidden="false" customHeight="false" outlineLevel="0" collapsed="false">
      <c r="A127" s="11" t="n">
        <v>13</v>
      </c>
      <c r="B127" s="23" t="s">
        <v>102</v>
      </c>
      <c r="C127" s="13" t="n">
        <v>416500</v>
      </c>
      <c r="D127" s="13"/>
      <c r="E127" s="14" t="n">
        <f aca="false">C127-D127</f>
        <v>416500</v>
      </c>
    </row>
    <row r="128" customFormat="false" ht="15" hidden="false" customHeight="false" outlineLevel="0" collapsed="false">
      <c r="A128" s="11" t="n">
        <v>14</v>
      </c>
      <c r="B128" s="23" t="s">
        <v>103</v>
      </c>
      <c r="C128" s="13" t="n">
        <v>416500</v>
      </c>
      <c r="D128" s="13" t="n">
        <f aca="false">416500</f>
        <v>416500</v>
      </c>
      <c r="E128" s="14" t="n">
        <f aca="false">C128-D128</f>
        <v>0</v>
      </c>
    </row>
    <row r="129" customFormat="false" ht="15" hidden="false" customHeight="false" outlineLevel="0" collapsed="false">
      <c r="A129" s="11" t="n">
        <v>15</v>
      </c>
      <c r="B129" s="23" t="s">
        <v>104</v>
      </c>
      <c r="C129" s="13" t="n">
        <v>416500</v>
      </c>
      <c r="D129" s="13" t="n">
        <f aca="false">416500</f>
        <v>416500</v>
      </c>
      <c r="E129" s="14" t="n">
        <f aca="false">C129-D129</f>
        <v>0</v>
      </c>
    </row>
    <row r="130" customFormat="false" ht="15" hidden="false" customHeight="false" outlineLevel="0" collapsed="false">
      <c r="A130" s="11" t="n">
        <v>16</v>
      </c>
      <c r="B130" s="23" t="s">
        <v>105</v>
      </c>
      <c r="C130" s="13" t="n">
        <v>416500</v>
      </c>
      <c r="D130" s="13"/>
      <c r="E130" s="14" t="n">
        <f aca="false">C130-D130</f>
        <v>416500</v>
      </c>
    </row>
    <row r="131" customFormat="false" ht="15" hidden="false" customHeight="false" outlineLevel="0" collapsed="false">
      <c r="A131" s="11" t="n">
        <v>17</v>
      </c>
      <c r="B131" s="34" t="s">
        <v>106</v>
      </c>
      <c r="C131" s="35" t="s">
        <v>107</v>
      </c>
      <c r="D131" s="35" t="n">
        <v>616500</v>
      </c>
      <c r="E131" s="14" t="n">
        <v>616500</v>
      </c>
    </row>
    <row r="132" customFormat="false" ht="15" hidden="false" customHeight="false" outlineLevel="0" collapsed="false">
      <c r="A132" s="11" t="n">
        <v>18</v>
      </c>
      <c r="B132" s="23" t="s">
        <v>108</v>
      </c>
      <c r="C132" s="13" t="n">
        <v>416500</v>
      </c>
      <c r="D132" s="13" t="n">
        <f aca="false">300000+116500</f>
        <v>416500</v>
      </c>
      <c r="E132" s="14" t="n">
        <f aca="false">C132-D132</f>
        <v>0</v>
      </c>
    </row>
    <row r="133" customFormat="false" ht="15" hidden="false" customHeight="false" outlineLevel="0" collapsed="false">
      <c r="A133" s="11" t="n">
        <v>19</v>
      </c>
      <c r="B133" s="24" t="s">
        <v>109</v>
      </c>
      <c r="C133" s="13" t="n">
        <v>416500</v>
      </c>
      <c r="D133" s="13"/>
      <c r="E133" s="14" t="n">
        <f aca="false">C133-D133</f>
        <v>416500</v>
      </c>
    </row>
    <row r="134" customFormat="false" ht="15" hidden="false" customHeight="false" outlineLevel="0" collapsed="false">
      <c r="A134" s="11" t="n">
        <v>20</v>
      </c>
      <c r="B134" s="23" t="s">
        <v>110</v>
      </c>
      <c r="C134" s="13" t="n">
        <v>416500</v>
      </c>
      <c r="D134" s="13" t="n">
        <f aca="false">416500</f>
        <v>416500</v>
      </c>
      <c r="E134" s="14" t="n">
        <f aca="false">C134-D134</f>
        <v>0</v>
      </c>
    </row>
    <row r="135" customFormat="false" ht="15" hidden="false" customHeight="false" outlineLevel="0" collapsed="false">
      <c r="A135" s="11" t="n">
        <v>21</v>
      </c>
      <c r="B135" s="23" t="s">
        <v>111</v>
      </c>
      <c r="C135" s="13" t="n">
        <v>416500</v>
      </c>
      <c r="D135" s="13" t="n">
        <v>416500</v>
      </c>
      <c r="E135" s="14" t="n">
        <f aca="false">C135-D135</f>
        <v>0</v>
      </c>
    </row>
    <row r="136" customFormat="false" ht="15" hidden="false" customHeight="false" outlineLevel="0" collapsed="false">
      <c r="A136" s="11" t="n">
        <v>22</v>
      </c>
      <c r="B136" s="23" t="s">
        <v>112</v>
      </c>
      <c r="C136" s="13" t="n">
        <v>416500</v>
      </c>
      <c r="D136" s="13" t="n">
        <v>416500</v>
      </c>
      <c r="E136" s="14" t="n">
        <f aca="false">C136-D136</f>
        <v>0</v>
      </c>
    </row>
    <row r="137" customFormat="false" ht="15" hidden="false" customHeight="false" outlineLevel="0" collapsed="false">
      <c r="A137" s="11" t="n">
        <v>23</v>
      </c>
      <c r="B137" s="23" t="s">
        <v>113</v>
      </c>
      <c r="C137" s="13" t="n">
        <v>416500</v>
      </c>
      <c r="D137" s="13" t="n">
        <v>416500</v>
      </c>
      <c r="E137" s="14" t="n">
        <f aca="false">C137-D137</f>
        <v>0</v>
      </c>
    </row>
    <row r="138" customFormat="false" ht="15" hidden="false" customHeight="false" outlineLevel="0" collapsed="false">
      <c r="A138" s="11" t="n">
        <v>24</v>
      </c>
      <c r="B138" s="23" t="s">
        <v>114</v>
      </c>
      <c r="C138" s="13" t="n">
        <v>416500</v>
      </c>
      <c r="D138" s="13" t="n">
        <f aca="false">90000+50000+11500+265000</f>
        <v>416500</v>
      </c>
      <c r="E138" s="14" t="n">
        <f aca="false">C138-D138</f>
        <v>0</v>
      </c>
    </row>
    <row r="139" customFormat="false" ht="15" hidden="false" customHeight="false" outlineLevel="0" collapsed="false">
      <c r="A139" s="11" t="n">
        <v>25</v>
      </c>
      <c r="B139" s="23" t="s">
        <v>115</v>
      </c>
      <c r="C139" s="13" t="n">
        <v>416500</v>
      </c>
      <c r="D139" s="13" t="n">
        <f aca="false">220000+196500</f>
        <v>416500</v>
      </c>
      <c r="E139" s="14" t="n">
        <f aca="false">C139-D139</f>
        <v>0</v>
      </c>
    </row>
    <row r="140" customFormat="false" ht="15" hidden="false" customHeight="false" outlineLevel="0" collapsed="false">
      <c r="A140" s="11" t="n">
        <v>26</v>
      </c>
      <c r="B140" s="23" t="s">
        <v>116</v>
      </c>
      <c r="C140" s="13" t="n">
        <v>416500</v>
      </c>
      <c r="D140" s="13" t="n">
        <f aca="false">50000+200000+166500</f>
        <v>416500</v>
      </c>
      <c r="E140" s="14" t="n">
        <f aca="false">C140-D140</f>
        <v>0</v>
      </c>
    </row>
    <row r="141" customFormat="false" ht="15" hidden="false" customHeight="false" outlineLevel="0" collapsed="false">
      <c r="A141" s="11" t="n">
        <v>27</v>
      </c>
      <c r="B141" s="23" t="s">
        <v>117</v>
      </c>
      <c r="C141" s="13" t="n">
        <v>416500</v>
      </c>
      <c r="D141" s="13" t="n">
        <v>16000</v>
      </c>
      <c r="E141" s="14" t="n">
        <f aca="false">C141-D141</f>
        <v>400500</v>
      </c>
    </row>
    <row r="142" customFormat="false" ht="19.7" hidden="false" customHeight="false" outlineLevel="0" collapsed="false">
      <c r="A142" s="29"/>
      <c r="B142" s="17" t="s">
        <v>42</v>
      </c>
      <c r="C142" s="18" t="n">
        <f aca="false">SUM(C115:C141)</f>
        <v>10829000</v>
      </c>
      <c r="D142" s="19" t="n">
        <f aca="false">SUM(D115:D141)</f>
        <v>7782000</v>
      </c>
      <c r="E142" s="20" t="n">
        <f aca="false">SUM(E115:E141)</f>
        <v>4280000</v>
      </c>
    </row>
    <row r="143" customFormat="false" ht="15" hidden="false" customHeight="false" outlineLevel="0" collapsed="false">
      <c r="A143" s="21"/>
    </row>
    <row r="147" customFormat="false" ht="17.35" hidden="false" customHeight="false" outlineLevel="0" collapsed="false">
      <c r="A147" s="21"/>
      <c r="B147" s="2" t="s">
        <v>0</v>
      </c>
    </row>
    <row r="148" customFormat="false" ht="15" hidden="false" customHeight="false" outlineLevel="0" collapsed="false">
      <c r="A148" s="21"/>
    </row>
    <row r="149" customFormat="false" ht="17.35" hidden="false" customHeight="false" outlineLevel="0" collapsed="false">
      <c r="A149" s="21"/>
      <c r="B149" s="4" t="s">
        <v>2</v>
      </c>
    </row>
    <row r="150" customFormat="false" ht="15" hidden="false" customHeight="false" outlineLevel="0" collapsed="false">
      <c r="A150" s="21"/>
      <c r="B150" s="5" t="s">
        <v>118</v>
      </c>
    </row>
    <row r="151" customFormat="false" ht="15" hidden="false" customHeight="false" outlineLevel="0" collapsed="false">
      <c r="A151" s="21"/>
    </row>
    <row r="152" customFormat="false" ht="15" hidden="false" customHeight="false" outlineLevel="0" collapsed="false">
      <c r="A152" s="6" t="s">
        <v>4</v>
      </c>
      <c r="B152" s="7" t="s">
        <v>5</v>
      </c>
      <c r="C152" s="8" t="s">
        <v>6</v>
      </c>
      <c r="D152" s="9" t="s">
        <v>7</v>
      </c>
      <c r="E152" s="10" t="s">
        <v>8</v>
      </c>
    </row>
    <row r="153" customFormat="false" ht="15" hidden="false" customHeight="false" outlineLevel="0" collapsed="false">
      <c r="A153" s="11" t="n">
        <v>1</v>
      </c>
      <c r="B153" s="23" t="s">
        <v>119</v>
      </c>
      <c r="C153" s="13" t="n">
        <v>416500</v>
      </c>
      <c r="D153" s="13"/>
      <c r="E153" s="14" t="n">
        <f aca="false">C153-D153</f>
        <v>416500</v>
      </c>
    </row>
    <row r="154" customFormat="false" ht="15" hidden="false" customHeight="false" outlineLevel="0" collapsed="false">
      <c r="A154" s="11" t="n">
        <v>2</v>
      </c>
      <c r="B154" s="23" t="s">
        <v>120</v>
      </c>
      <c r="C154" s="13" t="n">
        <v>416500</v>
      </c>
      <c r="D154" s="13" t="n">
        <f aca="false">100000+60000+40000+146000+70000+500</f>
        <v>416500</v>
      </c>
      <c r="E154" s="14" t="n">
        <f aca="false">C154-D154</f>
        <v>0</v>
      </c>
    </row>
    <row r="155" customFormat="false" ht="15" hidden="false" customHeight="false" outlineLevel="0" collapsed="false">
      <c r="A155" s="11" t="n">
        <v>3</v>
      </c>
      <c r="B155" s="12" t="s">
        <v>121</v>
      </c>
      <c r="C155" s="13" t="n">
        <v>416500</v>
      </c>
      <c r="D155" s="13" t="n">
        <f aca="false">100000+50000+70000+50000+140000+6500</f>
        <v>416500</v>
      </c>
      <c r="E155" s="14" t="n">
        <f aca="false">C155-D155</f>
        <v>0</v>
      </c>
    </row>
    <row r="156" customFormat="false" ht="15" hidden="false" customHeight="false" outlineLevel="0" collapsed="false">
      <c r="A156" s="11" t="n">
        <v>4</v>
      </c>
      <c r="B156" s="36" t="s">
        <v>122</v>
      </c>
      <c r="C156" s="13" t="n">
        <v>416500</v>
      </c>
      <c r="D156" s="13"/>
      <c r="E156" s="14" t="n">
        <f aca="false">C156-D156</f>
        <v>416500</v>
      </c>
    </row>
    <row r="157" customFormat="false" ht="15" hidden="false" customHeight="false" outlineLevel="0" collapsed="false">
      <c r="A157" s="11" t="n">
        <v>6</v>
      </c>
      <c r="B157" s="12" t="s">
        <v>123</v>
      </c>
      <c r="C157" s="13" t="n">
        <v>416500</v>
      </c>
      <c r="D157" s="13" t="n">
        <f aca="false">200000+216500</f>
        <v>416500</v>
      </c>
      <c r="E157" s="14" t="n">
        <f aca="false">C157-D157</f>
        <v>0</v>
      </c>
    </row>
    <row r="158" customFormat="false" ht="15" hidden="false" customHeight="false" outlineLevel="0" collapsed="false">
      <c r="A158" s="11" t="n">
        <v>7</v>
      </c>
      <c r="B158" s="12" t="s">
        <v>124</v>
      </c>
      <c r="C158" s="13" t="n">
        <v>416500</v>
      </c>
      <c r="D158" s="13" t="n">
        <f aca="false">3500+150000+60000+100000+100000+3000</f>
        <v>416500</v>
      </c>
      <c r="E158" s="14" t="n">
        <f aca="false">C158-D158</f>
        <v>0</v>
      </c>
    </row>
    <row r="159" customFormat="false" ht="15" hidden="false" customHeight="false" outlineLevel="0" collapsed="false">
      <c r="A159" s="11" t="n">
        <v>8</v>
      </c>
      <c r="B159" s="12" t="s">
        <v>125</v>
      </c>
      <c r="C159" s="13" t="n">
        <v>416500</v>
      </c>
      <c r="D159" s="13" t="n">
        <f aca="false">199500+50000+80000+86000+1000</f>
        <v>416500</v>
      </c>
      <c r="E159" s="14" t="n">
        <f aca="false">C159-D159</f>
        <v>0</v>
      </c>
    </row>
    <row r="160" customFormat="false" ht="15" hidden="false" customHeight="false" outlineLevel="0" collapsed="false">
      <c r="A160" s="11" t="n">
        <v>9</v>
      </c>
      <c r="B160" s="12" t="s">
        <v>126</v>
      </c>
      <c r="C160" s="13" t="n">
        <v>416500</v>
      </c>
      <c r="D160" s="13" t="n">
        <f aca="false">100000+116500+200000</f>
        <v>416500</v>
      </c>
      <c r="E160" s="14" t="n">
        <f aca="false">C160-D160</f>
        <v>0</v>
      </c>
    </row>
    <row r="161" customFormat="false" ht="15" hidden="false" customHeight="false" outlineLevel="0" collapsed="false">
      <c r="A161" s="11" t="n">
        <v>10</v>
      </c>
      <c r="B161" s="12" t="s">
        <v>127</v>
      </c>
      <c r="C161" s="13" t="n">
        <v>416500</v>
      </c>
      <c r="D161" s="13" t="n">
        <f aca="false">200000+100000+116500</f>
        <v>416500</v>
      </c>
      <c r="E161" s="14" t="n">
        <f aca="false">C161-D161</f>
        <v>0</v>
      </c>
    </row>
    <row r="162" customFormat="false" ht="15" hidden="false" customHeight="false" outlineLevel="0" collapsed="false">
      <c r="A162" s="11" t="n">
        <v>11</v>
      </c>
      <c r="B162" s="12" t="s">
        <v>128</v>
      </c>
      <c r="C162" s="13" t="n">
        <v>416500</v>
      </c>
      <c r="D162" s="13" t="n">
        <f aca="false">216500+200000</f>
        <v>416500</v>
      </c>
      <c r="E162" s="14" t="n">
        <f aca="false">C162-D162</f>
        <v>0</v>
      </c>
    </row>
    <row r="163" customFormat="false" ht="15" hidden="false" customHeight="false" outlineLevel="0" collapsed="false">
      <c r="A163" s="11" t="n">
        <v>12</v>
      </c>
      <c r="B163" s="12" t="s">
        <v>129</v>
      </c>
      <c r="C163" s="13" t="n">
        <v>416500</v>
      </c>
      <c r="D163" s="13" t="n">
        <f aca="false">100000+100000+216500</f>
        <v>416500</v>
      </c>
      <c r="E163" s="14" t="n">
        <f aca="false">C163-D163</f>
        <v>0</v>
      </c>
    </row>
    <row r="164" customFormat="false" ht="15" hidden="false" customHeight="false" outlineLevel="0" collapsed="false">
      <c r="A164" s="11" t="n">
        <v>13</v>
      </c>
      <c r="B164" s="12" t="s">
        <v>130</v>
      </c>
      <c r="C164" s="13" t="n">
        <v>416500</v>
      </c>
      <c r="D164" s="13" t="n">
        <f aca="false">133500</f>
        <v>133500</v>
      </c>
      <c r="E164" s="14" t="n">
        <f aca="false">C164-D164</f>
        <v>283000</v>
      </c>
    </row>
    <row r="165" customFormat="false" ht="15" hidden="false" customHeight="false" outlineLevel="0" collapsed="false">
      <c r="A165" s="11" t="n">
        <v>14</v>
      </c>
      <c r="B165" s="12" t="s">
        <v>131</v>
      </c>
      <c r="C165" s="13" t="n">
        <v>416500</v>
      </c>
      <c r="D165" s="13" t="n">
        <f aca="false">3500+100000+20000+300000</f>
        <v>423500</v>
      </c>
      <c r="E165" s="14" t="n">
        <f aca="false">C165-D165</f>
        <v>-7000</v>
      </c>
    </row>
    <row r="166" customFormat="false" ht="15" hidden="false" customHeight="false" outlineLevel="0" collapsed="false">
      <c r="A166" s="11" t="n">
        <v>16</v>
      </c>
      <c r="B166" s="12" t="s">
        <v>132</v>
      </c>
      <c r="C166" s="13" t="n">
        <v>416500</v>
      </c>
      <c r="D166" s="13" t="n">
        <v>416500</v>
      </c>
      <c r="E166" s="14" t="n">
        <f aca="false">C166-D166</f>
        <v>0</v>
      </c>
    </row>
    <row r="167" customFormat="false" ht="15" hidden="false" customHeight="false" outlineLevel="0" collapsed="false">
      <c r="A167" s="11" t="n">
        <v>17</v>
      </c>
      <c r="B167" s="12" t="s">
        <v>133</v>
      </c>
      <c r="C167" s="13" t="n">
        <v>416500</v>
      </c>
      <c r="D167" s="13"/>
      <c r="E167" s="14" t="n">
        <f aca="false">C167-D167</f>
        <v>416500</v>
      </c>
    </row>
    <row r="168" customFormat="false" ht="15" hidden="false" customHeight="false" outlineLevel="0" collapsed="false">
      <c r="A168" s="11" t="n">
        <v>18</v>
      </c>
      <c r="B168" s="12" t="s">
        <v>134</v>
      </c>
      <c r="C168" s="13" t="n">
        <v>416500</v>
      </c>
      <c r="D168" s="13" t="n">
        <f aca="false">83500+66500+266500</f>
        <v>416500</v>
      </c>
      <c r="E168" s="14" t="n">
        <f aca="false">C168-D168</f>
        <v>0</v>
      </c>
    </row>
    <row r="169" customFormat="false" ht="15" hidden="false" customHeight="false" outlineLevel="0" collapsed="false">
      <c r="A169" s="11" t="n">
        <v>19</v>
      </c>
      <c r="B169" s="12" t="s">
        <v>135</v>
      </c>
      <c r="C169" s="13" t="n">
        <v>416500</v>
      </c>
      <c r="D169" s="13"/>
      <c r="E169" s="14" t="n">
        <f aca="false">C169-D169</f>
        <v>416500</v>
      </c>
    </row>
    <row r="170" customFormat="false" ht="15" hidden="false" customHeight="false" outlineLevel="0" collapsed="false">
      <c r="A170" s="11" t="n">
        <v>20</v>
      </c>
      <c r="B170" s="12" t="s">
        <v>136</v>
      </c>
      <c r="C170" s="13" t="n">
        <v>416500</v>
      </c>
      <c r="D170" s="13" t="n">
        <f aca="false">161500+140000+105000+10000</f>
        <v>416500</v>
      </c>
      <c r="E170" s="14" t="n">
        <f aca="false">C170-D170</f>
        <v>0</v>
      </c>
    </row>
    <row r="171" customFormat="false" ht="15" hidden="false" customHeight="false" outlineLevel="0" collapsed="false">
      <c r="A171" s="11" t="n">
        <v>21</v>
      </c>
      <c r="B171" s="16" t="s">
        <v>137</v>
      </c>
      <c r="C171" s="13" t="n">
        <v>416500</v>
      </c>
      <c r="D171" s="13" t="n">
        <f aca="false">416500</f>
        <v>416500</v>
      </c>
      <c r="E171" s="14" t="n">
        <f aca="false">C171-D171</f>
        <v>0</v>
      </c>
    </row>
    <row r="172" customFormat="false" ht="15" hidden="false" customHeight="false" outlineLevel="0" collapsed="false">
      <c r="A172" s="11" t="n">
        <v>22</v>
      </c>
      <c r="B172" s="12" t="s">
        <v>138</v>
      </c>
      <c r="C172" s="13" t="n">
        <v>416500</v>
      </c>
      <c r="D172" s="13" t="n">
        <f aca="false">216500+100000+100000</f>
        <v>416500</v>
      </c>
      <c r="E172" s="14" t="n">
        <f aca="false">C172-D172</f>
        <v>0</v>
      </c>
    </row>
    <row r="173" customFormat="false" ht="15" hidden="false" customHeight="false" outlineLevel="0" collapsed="false">
      <c r="A173" s="11" t="n">
        <v>23</v>
      </c>
      <c r="B173" s="12" t="s">
        <v>139</v>
      </c>
      <c r="C173" s="13" t="n">
        <v>416500</v>
      </c>
      <c r="D173" s="13" t="n">
        <f aca="false">200000+200000+16500</f>
        <v>416500</v>
      </c>
      <c r="E173" s="14" t="n">
        <f aca="false">C173-D173</f>
        <v>0</v>
      </c>
    </row>
    <row r="174" customFormat="false" ht="15" hidden="false" customHeight="false" outlineLevel="0" collapsed="false">
      <c r="A174" s="11" t="n">
        <v>24</v>
      </c>
      <c r="B174" s="12" t="s">
        <v>140</v>
      </c>
      <c r="C174" s="13" t="n">
        <v>416500</v>
      </c>
      <c r="D174" s="13" t="n">
        <f aca="false">200000+216500</f>
        <v>416500</v>
      </c>
      <c r="E174" s="14" t="n">
        <f aca="false">C174-D174</f>
        <v>0</v>
      </c>
    </row>
    <row r="175" customFormat="false" ht="15" hidden="false" customHeight="false" outlineLevel="0" collapsed="false">
      <c r="A175" s="11" t="n">
        <v>26</v>
      </c>
      <c r="B175" s="12" t="s">
        <v>141</v>
      </c>
      <c r="C175" s="13" t="n">
        <v>416500</v>
      </c>
      <c r="D175" s="13" t="n">
        <f aca="false">57000+140000+200000+20000</f>
        <v>417000</v>
      </c>
      <c r="E175" s="14" t="n">
        <f aca="false">C175-D175</f>
        <v>-500</v>
      </c>
    </row>
    <row r="176" customFormat="false" ht="15" hidden="false" customHeight="false" outlineLevel="0" collapsed="false">
      <c r="A176" s="11" t="n">
        <v>28</v>
      </c>
      <c r="B176" s="12" t="s">
        <v>142</v>
      </c>
      <c r="C176" s="13" t="n">
        <v>416500</v>
      </c>
      <c r="D176" s="13" t="n">
        <f aca="false">50000+100000+266500</f>
        <v>416500</v>
      </c>
      <c r="E176" s="14" t="n">
        <f aca="false">C176-D176</f>
        <v>0</v>
      </c>
    </row>
    <row r="177" customFormat="false" ht="15" hidden="false" customHeight="false" outlineLevel="0" collapsed="false">
      <c r="A177" s="11" t="n">
        <v>29</v>
      </c>
      <c r="B177" s="12" t="s">
        <v>143</v>
      </c>
      <c r="C177" s="13" t="n">
        <v>416500</v>
      </c>
      <c r="D177" s="13" t="n">
        <f aca="false">150000+160000+106500</f>
        <v>416500</v>
      </c>
      <c r="E177" s="14" t="n">
        <f aca="false">C177-D177</f>
        <v>0</v>
      </c>
    </row>
    <row r="178" customFormat="false" ht="15" hidden="false" customHeight="false" outlineLevel="0" collapsed="false">
      <c r="A178" s="11" t="n">
        <v>29</v>
      </c>
      <c r="B178" s="12" t="s">
        <v>144</v>
      </c>
      <c r="C178" s="13" t="n">
        <v>416500</v>
      </c>
      <c r="D178" s="13" t="n">
        <f aca="false">200000+216500</f>
        <v>416500</v>
      </c>
      <c r="E178" s="14" t="n">
        <f aca="false">C178-D178</f>
        <v>0</v>
      </c>
    </row>
    <row r="179" customFormat="false" ht="15" hidden="false" customHeight="false" outlineLevel="0" collapsed="false">
      <c r="A179" s="11" t="n">
        <v>30</v>
      </c>
      <c r="B179" s="12" t="s">
        <v>145</v>
      </c>
      <c r="C179" s="13" t="n">
        <v>416500</v>
      </c>
      <c r="D179" s="13" t="n">
        <f aca="false">200000+130000+86500</f>
        <v>416500</v>
      </c>
      <c r="E179" s="14" t="n">
        <f aca="false">C179-D179</f>
        <v>0</v>
      </c>
    </row>
    <row r="180" customFormat="false" ht="15" hidden="false" customHeight="false" outlineLevel="0" collapsed="false">
      <c r="A180" s="11" t="n">
        <v>31</v>
      </c>
      <c r="B180" s="12" t="s">
        <v>146</v>
      </c>
      <c r="C180" s="13" t="n">
        <v>416500</v>
      </c>
      <c r="D180" s="13" t="n">
        <f aca="false">16500</f>
        <v>16500</v>
      </c>
      <c r="E180" s="14" t="n">
        <f aca="false">C180-D180</f>
        <v>400000</v>
      </c>
    </row>
    <row r="181" customFormat="false" ht="15" hidden="false" customHeight="false" outlineLevel="0" collapsed="false">
      <c r="A181" s="11" t="n">
        <v>32</v>
      </c>
      <c r="B181" s="12" t="s">
        <v>147</v>
      </c>
      <c r="C181" s="13" t="n">
        <v>416500</v>
      </c>
      <c r="D181" s="13" t="n">
        <f aca="false">50000+186500+180000</f>
        <v>416500</v>
      </c>
      <c r="E181" s="14" t="n">
        <f aca="false">C181-D181</f>
        <v>0</v>
      </c>
    </row>
    <row r="182" customFormat="false" ht="15" hidden="false" customHeight="false" outlineLevel="0" collapsed="false">
      <c r="A182" s="11" t="n">
        <v>33</v>
      </c>
      <c r="B182" s="12" t="s">
        <v>148</v>
      </c>
      <c r="C182" s="13" t="n">
        <v>416500</v>
      </c>
      <c r="D182" s="13" t="n">
        <f aca="false">100000+50000</f>
        <v>150000</v>
      </c>
      <c r="E182" s="14" t="n">
        <f aca="false">C182-D182</f>
        <v>266500</v>
      </c>
    </row>
    <row r="183" customFormat="false" ht="15" hidden="false" customHeight="false" outlineLevel="0" collapsed="false">
      <c r="A183" s="11" t="n">
        <v>34</v>
      </c>
      <c r="B183" s="12" t="s">
        <v>149</v>
      </c>
      <c r="C183" s="13" t="n">
        <v>416500</v>
      </c>
      <c r="D183" s="13" t="n">
        <f aca="false">216500+200000</f>
        <v>416500</v>
      </c>
      <c r="E183" s="14" t="n">
        <f aca="false">C183-D183</f>
        <v>0</v>
      </c>
    </row>
    <row r="184" customFormat="false" ht="15" hidden="false" customHeight="false" outlineLevel="0" collapsed="false">
      <c r="A184" s="11" t="n">
        <v>35</v>
      </c>
      <c r="B184" s="12" t="s">
        <v>150</v>
      </c>
      <c r="C184" s="13" t="n">
        <v>416500</v>
      </c>
      <c r="D184" s="13" t="n">
        <f aca="false">33500+50000+320000</f>
        <v>403500</v>
      </c>
      <c r="E184" s="14" t="n">
        <f aca="false">C184-D184</f>
        <v>13000</v>
      </c>
    </row>
    <row r="185" customFormat="false" ht="15" hidden="false" customHeight="false" outlineLevel="0" collapsed="false">
      <c r="A185" s="11" t="n">
        <v>36</v>
      </c>
      <c r="B185" s="12" t="s">
        <v>151</v>
      </c>
      <c r="C185" s="13" t="n">
        <v>416500</v>
      </c>
      <c r="D185" s="13" t="n">
        <f aca="false">200000+216500</f>
        <v>416500</v>
      </c>
      <c r="E185" s="14" t="n">
        <f aca="false">C185-D185</f>
        <v>0</v>
      </c>
    </row>
    <row r="186" customFormat="false" ht="15" hidden="false" customHeight="false" outlineLevel="0" collapsed="false">
      <c r="A186" s="11" t="n">
        <v>38</v>
      </c>
      <c r="B186" s="12" t="s">
        <v>152</v>
      </c>
      <c r="C186" s="13" t="n">
        <v>416500</v>
      </c>
      <c r="D186" s="13" t="n">
        <f aca="false">150000+150000+116500</f>
        <v>416500</v>
      </c>
      <c r="E186" s="14" t="n">
        <f aca="false">C186-D186</f>
        <v>0</v>
      </c>
    </row>
    <row r="187" customFormat="false" ht="15" hidden="false" customHeight="false" outlineLevel="0" collapsed="false">
      <c r="A187" s="11" t="n">
        <v>39</v>
      </c>
      <c r="B187" s="23" t="s">
        <v>153</v>
      </c>
      <c r="C187" s="13" t="n">
        <v>416500</v>
      </c>
      <c r="D187" s="13" t="n">
        <f aca="false">200000+106000+50000+60500</f>
        <v>416500</v>
      </c>
      <c r="E187" s="14" t="n">
        <f aca="false">C187-D187</f>
        <v>0</v>
      </c>
    </row>
    <row r="188" customFormat="false" ht="15" hidden="false" customHeight="false" outlineLevel="0" collapsed="false">
      <c r="A188" s="11" t="n">
        <v>40</v>
      </c>
      <c r="B188" s="23" t="s">
        <v>154</v>
      </c>
      <c r="C188" s="13" t="n">
        <v>416500</v>
      </c>
      <c r="D188" s="13" t="n">
        <f aca="false">115500+201000+100000</f>
        <v>416500</v>
      </c>
      <c r="E188" s="14" t="n">
        <f aca="false">C188-D188</f>
        <v>0</v>
      </c>
    </row>
    <row r="189" customFormat="false" ht="15" hidden="false" customHeight="false" outlineLevel="0" collapsed="false">
      <c r="A189" s="11" t="n">
        <v>41</v>
      </c>
      <c r="B189" s="23" t="s">
        <v>155</v>
      </c>
      <c r="C189" s="13" t="n">
        <v>416500</v>
      </c>
      <c r="D189" s="13" t="n">
        <f aca="false">100000+316500</f>
        <v>416500</v>
      </c>
      <c r="E189" s="14" t="n">
        <f aca="false">C189-D189</f>
        <v>0</v>
      </c>
    </row>
    <row r="190" customFormat="false" ht="19.7" hidden="false" customHeight="false" outlineLevel="0" collapsed="false">
      <c r="A190" s="29"/>
      <c r="B190" s="17" t="s">
        <v>42</v>
      </c>
      <c r="C190" s="18" t="n">
        <f aca="false">SUM(C153:C189)</f>
        <v>15410500</v>
      </c>
      <c r="D190" s="19" t="n">
        <v>5761500</v>
      </c>
      <c r="E190" s="20" t="n">
        <f aca="false">SUM(E153:E188)</f>
        <v>2621000</v>
      </c>
    </row>
    <row r="191" customFormat="false" ht="15" hidden="false" customHeight="false" outlineLevel="0" collapsed="false">
      <c r="A191" s="21"/>
    </row>
    <row r="193" customFormat="false" ht="15" hidden="false" customHeight="false" outlineLevel="0" collapsed="false">
      <c r="A193" s="21"/>
    </row>
    <row r="194" customFormat="false" ht="15" hidden="false" customHeight="false" outlineLevel="0" collapsed="false">
      <c r="A194" s="21"/>
    </row>
    <row r="195" customFormat="false" ht="17.35" hidden="false" customHeight="false" outlineLevel="0" collapsed="false">
      <c r="A195" s="21"/>
      <c r="B195" s="2" t="s">
        <v>0</v>
      </c>
    </row>
    <row r="196" customFormat="false" ht="15" hidden="false" customHeight="false" outlineLevel="0" collapsed="false">
      <c r="A196" s="21"/>
    </row>
    <row r="197" customFormat="false" ht="17.35" hidden="false" customHeight="false" outlineLevel="0" collapsed="false">
      <c r="A197" s="21"/>
      <c r="B197" s="4" t="s">
        <v>43</v>
      </c>
    </row>
    <row r="198" customFormat="false" ht="15" hidden="false" customHeight="false" outlineLevel="0" collapsed="false">
      <c r="A198" s="21"/>
      <c r="B198" s="5" t="s">
        <v>118</v>
      </c>
    </row>
    <row r="199" customFormat="false" ht="15" hidden="false" customHeight="false" outlineLevel="0" collapsed="false">
      <c r="A199" s="21"/>
    </row>
    <row r="200" customFormat="false" ht="15" hidden="false" customHeight="false" outlineLevel="0" collapsed="false">
      <c r="A200" s="6" t="s">
        <v>4</v>
      </c>
      <c r="B200" s="7" t="s">
        <v>5</v>
      </c>
      <c r="C200" s="8" t="s">
        <v>6</v>
      </c>
      <c r="D200" s="9" t="s">
        <v>7</v>
      </c>
      <c r="E200" s="10" t="s">
        <v>8</v>
      </c>
    </row>
    <row r="201" customFormat="false" ht="15" hidden="false" customHeight="false" outlineLevel="0" collapsed="false">
      <c r="A201" s="11" t="n">
        <v>1</v>
      </c>
      <c r="B201" s="23" t="s">
        <v>156</v>
      </c>
      <c r="C201" s="13" t="n">
        <v>416500</v>
      </c>
      <c r="D201" s="13" t="n">
        <f aca="false">50000</f>
        <v>50000</v>
      </c>
      <c r="E201" s="14" t="n">
        <f aca="false">C201-D201</f>
        <v>366500</v>
      </c>
    </row>
    <row r="202" customFormat="false" ht="15" hidden="false" customHeight="false" outlineLevel="0" collapsed="false">
      <c r="A202" s="11" t="n">
        <v>2</v>
      </c>
      <c r="B202" s="23" t="s">
        <v>157</v>
      </c>
      <c r="C202" s="13" t="n">
        <v>416500</v>
      </c>
      <c r="D202" s="13" t="n">
        <f aca="false">58500+100000+150000+108000</f>
        <v>416500</v>
      </c>
      <c r="E202" s="14" t="n">
        <f aca="false">C202-D202</f>
        <v>0</v>
      </c>
    </row>
    <row r="203" customFormat="false" ht="15" hidden="false" customHeight="false" outlineLevel="0" collapsed="false">
      <c r="A203" s="11" t="n">
        <v>3</v>
      </c>
      <c r="B203" s="23" t="s">
        <v>158</v>
      </c>
      <c r="C203" s="13" t="n">
        <v>416500</v>
      </c>
      <c r="D203" s="13" t="n">
        <f aca="false">198500+218000</f>
        <v>416500</v>
      </c>
      <c r="E203" s="14" t="n">
        <f aca="false">C203-D203</f>
        <v>0</v>
      </c>
    </row>
    <row r="204" customFormat="false" ht="15" hidden="false" customHeight="false" outlineLevel="0" collapsed="false">
      <c r="A204" s="11" t="n">
        <v>4</v>
      </c>
      <c r="B204" s="37" t="s">
        <v>159</v>
      </c>
      <c r="C204" s="13" t="n">
        <v>416500</v>
      </c>
      <c r="D204" s="13" t="n">
        <f aca="false">160000+156500+100000</f>
        <v>416500</v>
      </c>
      <c r="E204" s="14" t="n">
        <f aca="false">C204-D204</f>
        <v>0</v>
      </c>
    </row>
    <row r="205" customFormat="false" ht="15" hidden="false" customHeight="false" outlineLevel="0" collapsed="false">
      <c r="A205" s="11" t="n">
        <v>5</v>
      </c>
      <c r="B205" s="23" t="s">
        <v>160</v>
      </c>
      <c r="C205" s="13" t="n">
        <v>416500</v>
      </c>
      <c r="D205" s="13" t="n">
        <f aca="false">115000+200000+100000+1500</f>
        <v>416500</v>
      </c>
      <c r="E205" s="14" t="n">
        <f aca="false">C205-D205</f>
        <v>0</v>
      </c>
    </row>
    <row r="206" customFormat="false" ht="15" hidden="false" customHeight="false" outlineLevel="0" collapsed="false">
      <c r="A206" s="11" t="n">
        <v>6</v>
      </c>
      <c r="B206" s="38" t="s">
        <v>161</v>
      </c>
      <c r="C206" s="13" t="n">
        <v>416500</v>
      </c>
      <c r="D206" s="13"/>
      <c r="E206" s="14" t="n">
        <f aca="false">C206-D206</f>
        <v>416500</v>
      </c>
    </row>
    <row r="207" customFormat="false" ht="15" hidden="false" customHeight="false" outlineLevel="0" collapsed="false">
      <c r="A207" s="11" t="n">
        <v>7</v>
      </c>
      <c r="B207" s="23" t="s">
        <v>162</v>
      </c>
      <c r="C207" s="13" t="n">
        <v>416500</v>
      </c>
      <c r="D207" s="13" t="n">
        <f aca="false">199500+20000+196500</f>
        <v>416000</v>
      </c>
      <c r="E207" s="14" t="n">
        <f aca="false">C207-D207</f>
        <v>500</v>
      </c>
    </row>
    <row r="208" customFormat="false" ht="15" hidden="false" customHeight="false" outlineLevel="0" collapsed="false">
      <c r="A208" s="11" t="n">
        <v>8</v>
      </c>
      <c r="B208" s="23" t="s">
        <v>163</v>
      </c>
      <c r="C208" s="13" t="n">
        <v>416500</v>
      </c>
      <c r="D208" s="13" t="n">
        <f aca="false">55000+100000+27500+234000</f>
        <v>416500</v>
      </c>
      <c r="E208" s="14" t="n">
        <f aca="false">C208-D208</f>
        <v>0</v>
      </c>
    </row>
    <row r="209" customFormat="false" ht="15" hidden="false" customHeight="false" outlineLevel="0" collapsed="false">
      <c r="A209" s="11" t="n">
        <v>9</v>
      </c>
      <c r="B209" s="23" t="s">
        <v>164</v>
      </c>
      <c r="C209" s="13" t="n">
        <v>416500</v>
      </c>
      <c r="D209" s="13"/>
      <c r="E209" s="14" t="n">
        <f aca="false">C209-D209</f>
        <v>416500</v>
      </c>
    </row>
    <row r="210" customFormat="false" ht="15" hidden="false" customHeight="false" outlineLevel="0" collapsed="false">
      <c r="A210" s="11" t="n">
        <v>10</v>
      </c>
      <c r="B210" s="12" t="s">
        <v>165</v>
      </c>
      <c r="C210" s="13" t="n">
        <v>416500</v>
      </c>
      <c r="D210" s="13" t="n">
        <f aca="false">116500+100000+200000</f>
        <v>416500</v>
      </c>
      <c r="E210" s="14" t="n">
        <f aca="false">C210-D210</f>
        <v>0</v>
      </c>
    </row>
    <row r="211" customFormat="false" ht="15" hidden="false" customHeight="false" outlineLevel="0" collapsed="false">
      <c r="A211" s="11" t="n">
        <v>11</v>
      </c>
      <c r="B211" s="12" t="s">
        <v>166</v>
      </c>
      <c r="C211" s="13" t="n">
        <v>416500</v>
      </c>
      <c r="D211" s="13" t="n">
        <f aca="false">60500+110000+30000+110000+106000</f>
        <v>416500</v>
      </c>
      <c r="E211" s="14" t="n">
        <f aca="false">C211-D211</f>
        <v>0</v>
      </c>
    </row>
    <row r="212" customFormat="false" ht="15" hidden="false" customHeight="false" outlineLevel="0" collapsed="false">
      <c r="A212" s="11" t="n">
        <v>12</v>
      </c>
      <c r="B212" s="12" t="s">
        <v>167</v>
      </c>
      <c r="C212" s="13" t="n">
        <v>416500</v>
      </c>
      <c r="D212" s="13" t="n">
        <f aca="false">50000+100000+190000+50000+26500</f>
        <v>416500</v>
      </c>
      <c r="E212" s="14" t="n">
        <f aca="false">C212-D212</f>
        <v>0</v>
      </c>
    </row>
    <row r="213" customFormat="false" ht="15" hidden="false" customHeight="false" outlineLevel="0" collapsed="false">
      <c r="A213" s="11" t="n">
        <v>13</v>
      </c>
      <c r="B213" s="12" t="s">
        <v>168</v>
      </c>
      <c r="C213" s="13" t="n">
        <v>416500</v>
      </c>
      <c r="D213" s="13"/>
      <c r="E213" s="14" t="n">
        <f aca="false">C213-D213</f>
        <v>416500</v>
      </c>
    </row>
    <row r="214" customFormat="false" ht="15" hidden="false" customHeight="false" outlineLevel="0" collapsed="false">
      <c r="A214" s="11" t="n">
        <v>14</v>
      </c>
      <c r="B214" s="12" t="s">
        <v>169</v>
      </c>
      <c r="C214" s="13" t="n">
        <v>416500</v>
      </c>
      <c r="D214" s="13" t="n">
        <f aca="false">250000+166500</f>
        <v>416500</v>
      </c>
      <c r="E214" s="14" t="n">
        <f aca="false">C214-D214</f>
        <v>0</v>
      </c>
    </row>
    <row r="215" customFormat="false" ht="15" hidden="false" customHeight="false" outlineLevel="0" collapsed="false">
      <c r="A215" s="11" t="n">
        <v>15</v>
      </c>
      <c r="B215" s="12" t="s">
        <v>170</v>
      </c>
      <c r="C215" s="13" t="n">
        <v>416500</v>
      </c>
      <c r="D215" s="13" t="n">
        <f aca="false">100000+116500+100000+100000</f>
        <v>416500</v>
      </c>
      <c r="E215" s="14" t="n">
        <f aca="false">C215-D215</f>
        <v>0</v>
      </c>
    </row>
    <row r="216" customFormat="false" ht="15" hidden="false" customHeight="false" outlineLevel="0" collapsed="false">
      <c r="A216" s="11" t="n">
        <v>16</v>
      </c>
      <c r="B216" s="12" t="s">
        <v>171</v>
      </c>
      <c r="C216" s="13" t="n">
        <v>416500</v>
      </c>
      <c r="D216" s="13" t="n">
        <f aca="false">50500+150000+180000+36000</f>
        <v>416500</v>
      </c>
      <c r="E216" s="14" t="n">
        <f aca="false">C216-D216</f>
        <v>0</v>
      </c>
    </row>
    <row r="217" customFormat="false" ht="15" hidden="false" customHeight="false" outlineLevel="0" collapsed="false">
      <c r="A217" s="11" t="n">
        <v>18</v>
      </c>
      <c r="B217" s="12" t="s">
        <v>172</v>
      </c>
      <c r="C217" s="13" t="n">
        <v>416500</v>
      </c>
      <c r="D217" s="13" t="n">
        <v>143500</v>
      </c>
      <c r="E217" s="14" t="n">
        <f aca="false">C217-D217</f>
        <v>273000</v>
      </c>
    </row>
    <row r="218" customFormat="false" ht="15" hidden="false" customHeight="false" outlineLevel="0" collapsed="false">
      <c r="A218" s="11" t="n">
        <v>19</v>
      </c>
      <c r="B218" s="12" t="s">
        <v>173</v>
      </c>
      <c r="C218" s="13" t="n">
        <v>416500</v>
      </c>
      <c r="D218" s="13" t="n">
        <f aca="false">25000+75000+70000+130000+116500</f>
        <v>416500</v>
      </c>
      <c r="E218" s="14" t="n">
        <f aca="false">C218-D218</f>
        <v>0</v>
      </c>
    </row>
    <row r="219" customFormat="false" ht="15" hidden="false" customHeight="false" outlineLevel="0" collapsed="false">
      <c r="A219" s="11" t="n">
        <v>20</v>
      </c>
      <c r="B219" s="12" t="s">
        <v>174</v>
      </c>
      <c r="C219" s="13" t="n">
        <v>416500</v>
      </c>
      <c r="D219" s="13" t="n">
        <v>416500</v>
      </c>
      <c r="E219" s="14" t="n">
        <f aca="false">C219-D219</f>
        <v>0</v>
      </c>
    </row>
    <row r="220" customFormat="false" ht="15" hidden="false" customHeight="false" outlineLevel="0" collapsed="false">
      <c r="A220" s="11" t="n">
        <v>21</v>
      </c>
      <c r="B220" s="12" t="s">
        <v>175</v>
      </c>
      <c r="C220" s="13" t="n">
        <v>416500</v>
      </c>
      <c r="D220" s="13" t="n">
        <f aca="false">157000+45000+100000+114500</f>
        <v>416500</v>
      </c>
      <c r="E220" s="14" t="n">
        <f aca="false">C220-D220</f>
        <v>0</v>
      </c>
    </row>
    <row r="221" customFormat="false" ht="15" hidden="false" customHeight="false" outlineLevel="0" collapsed="false">
      <c r="A221" s="11" t="n">
        <v>22</v>
      </c>
      <c r="B221" s="12" t="s">
        <v>176</v>
      </c>
      <c r="C221" s="13" t="n">
        <v>416500</v>
      </c>
      <c r="D221" s="13" t="n">
        <f aca="false">103000+100000+213500</f>
        <v>416500</v>
      </c>
      <c r="E221" s="14" t="n">
        <f aca="false">C221-D221</f>
        <v>0</v>
      </c>
    </row>
    <row r="222" customFormat="false" ht="15" hidden="false" customHeight="false" outlineLevel="0" collapsed="false">
      <c r="A222" s="11" t="n">
        <v>23</v>
      </c>
      <c r="B222" s="12" t="s">
        <v>177</v>
      </c>
      <c r="C222" s="13" t="n">
        <v>416500</v>
      </c>
      <c r="D222" s="13"/>
      <c r="E222" s="14" t="n">
        <f aca="false">C222-D222</f>
        <v>416500</v>
      </c>
    </row>
    <row r="223" customFormat="false" ht="15" hidden="false" customHeight="false" outlineLevel="0" collapsed="false">
      <c r="A223" s="11" t="n">
        <v>24</v>
      </c>
      <c r="B223" s="12" t="s">
        <v>178</v>
      </c>
      <c r="C223" s="13" t="n">
        <v>416500</v>
      </c>
      <c r="D223" s="13" t="n">
        <v>50000</v>
      </c>
      <c r="E223" s="14" t="n">
        <f aca="false">C223-D223</f>
        <v>366500</v>
      </c>
    </row>
    <row r="224" customFormat="false" ht="15" hidden="false" customHeight="false" outlineLevel="0" collapsed="false">
      <c r="A224" s="11" t="n">
        <v>25</v>
      </c>
      <c r="B224" s="12" t="s">
        <v>179</v>
      </c>
      <c r="C224" s="13" t="n">
        <v>416500</v>
      </c>
      <c r="D224" s="13" t="n">
        <f aca="false">216500+195000+5000</f>
        <v>416500</v>
      </c>
      <c r="E224" s="14" t="n">
        <f aca="false">C224-D224</f>
        <v>0</v>
      </c>
    </row>
    <row r="225" customFormat="false" ht="15" hidden="false" customHeight="false" outlineLevel="0" collapsed="false">
      <c r="A225" s="11" t="n">
        <v>26</v>
      </c>
      <c r="B225" s="12" t="s">
        <v>180</v>
      </c>
      <c r="C225" s="13" t="n">
        <v>416500</v>
      </c>
      <c r="D225" s="13" t="n">
        <f aca="false">216500+100000+100000</f>
        <v>416500</v>
      </c>
      <c r="E225" s="14" t="n">
        <f aca="false">C225-D225</f>
        <v>0</v>
      </c>
    </row>
    <row r="226" customFormat="false" ht="15" hidden="false" customHeight="false" outlineLevel="0" collapsed="false">
      <c r="A226" s="11" t="n">
        <v>27</v>
      </c>
      <c r="B226" s="12" t="s">
        <v>181</v>
      </c>
      <c r="C226" s="13" t="n">
        <v>416500</v>
      </c>
      <c r="D226" s="13" t="n">
        <f aca="false">2500+180000+235000</f>
        <v>417500</v>
      </c>
      <c r="E226" s="14" t="n">
        <f aca="false">C226-D226</f>
        <v>-1000</v>
      </c>
    </row>
    <row r="227" customFormat="false" ht="15" hidden="false" customHeight="false" outlineLevel="0" collapsed="false">
      <c r="A227" s="11" t="n">
        <v>28</v>
      </c>
      <c r="B227" s="12" t="s">
        <v>182</v>
      </c>
      <c r="C227" s="13" t="n">
        <v>416500</v>
      </c>
      <c r="D227" s="13"/>
      <c r="E227" s="14" t="n">
        <f aca="false">C227-D227</f>
        <v>416500</v>
      </c>
    </row>
    <row r="228" customFormat="false" ht="15" hidden="false" customHeight="false" outlineLevel="0" collapsed="false">
      <c r="A228" s="11" t="n">
        <v>29</v>
      </c>
      <c r="B228" s="12" t="s">
        <v>183</v>
      </c>
      <c r="C228" s="13" t="n">
        <v>416500</v>
      </c>
      <c r="D228" s="13" t="n">
        <f aca="false">416500</f>
        <v>416500</v>
      </c>
      <c r="E228" s="14" t="n">
        <f aca="false">C228-D228</f>
        <v>0</v>
      </c>
    </row>
    <row r="229" customFormat="false" ht="15" hidden="false" customHeight="false" outlineLevel="0" collapsed="false">
      <c r="A229" s="11" t="n">
        <v>31</v>
      </c>
      <c r="B229" s="12" t="s">
        <v>184</v>
      </c>
      <c r="C229" s="13" t="n">
        <v>416500</v>
      </c>
      <c r="D229" s="13"/>
      <c r="E229" s="14" t="n">
        <f aca="false">C229-D229</f>
        <v>416500</v>
      </c>
    </row>
    <row r="230" customFormat="false" ht="15" hidden="false" customHeight="false" outlineLevel="0" collapsed="false">
      <c r="A230" s="11" t="n">
        <v>32</v>
      </c>
      <c r="B230" s="23" t="s">
        <v>185</v>
      </c>
      <c r="C230" s="13" t="n">
        <v>416500</v>
      </c>
      <c r="D230" s="13" t="n">
        <f aca="false">100000+200000+116500</f>
        <v>416500</v>
      </c>
      <c r="E230" s="14" t="n">
        <f aca="false">C230-D230</f>
        <v>0</v>
      </c>
    </row>
    <row r="231" customFormat="false" ht="15" hidden="false" customHeight="false" outlineLevel="0" collapsed="false">
      <c r="A231" s="11" t="n">
        <v>33</v>
      </c>
      <c r="B231" s="23" t="s">
        <v>186</v>
      </c>
      <c r="C231" s="13" t="n">
        <v>416500</v>
      </c>
      <c r="D231" s="13" t="n">
        <f aca="false">303000+3500+100000+10000</f>
        <v>416500</v>
      </c>
      <c r="E231" s="14" t="n">
        <f aca="false">C231-D231</f>
        <v>0</v>
      </c>
    </row>
    <row r="232" customFormat="false" ht="15" hidden="false" customHeight="false" outlineLevel="0" collapsed="false">
      <c r="A232" s="11" t="n">
        <v>34</v>
      </c>
      <c r="B232" s="23" t="s">
        <v>187</v>
      </c>
      <c r="C232" s="13" t="n">
        <v>616500</v>
      </c>
      <c r="D232" s="13" t="n">
        <v>616500</v>
      </c>
      <c r="E232" s="14" t="n">
        <f aca="false">C232-D232</f>
        <v>0</v>
      </c>
    </row>
    <row r="233" customFormat="false" ht="19.7" hidden="false" customHeight="false" outlineLevel="0" collapsed="false">
      <c r="A233" s="29"/>
      <c r="B233" s="17" t="s">
        <v>42</v>
      </c>
      <c r="C233" s="18" t="n">
        <f aca="false">SUM(C201:C232)</f>
        <v>13528000</v>
      </c>
      <c r="D233" s="19" t="n">
        <f aca="false">SUM(D201:D232)</f>
        <v>10023500</v>
      </c>
      <c r="E233" s="20" t="n">
        <v>7328000</v>
      </c>
    </row>
    <row r="234" customFormat="false" ht="15" hidden="false" customHeight="false" outlineLevel="0" collapsed="false">
      <c r="A234" s="21"/>
    </row>
    <row r="236" customFormat="false" ht="15" hidden="false" customHeight="false" outlineLevel="0" collapsed="false">
      <c r="A236" s="21"/>
    </row>
    <row r="237" customFormat="false" ht="15" hidden="false" customHeight="false" outlineLevel="0" collapsed="false">
      <c r="A237" s="21"/>
    </row>
    <row r="238" customFormat="false" ht="15" hidden="false" customHeight="false" outlineLevel="0" collapsed="false">
      <c r="A238" s="21"/>
    </row>
    <row r="239" customFormat="false" ht="15" hidden="false" customHeight="false" outlineLevel="0" collapsed="false">
      <c r="A239" s="21"/>
    </row>
    <row r="240" customFormat="false" ht="17.35" hidden="false" customHeight="false" outlineLevel="0" collapsed="false">
      <c r="A240" s="21"/>
      <c r="B240" s="2" t="s">
        <v>0</v>
      </c>
    </row>
    <row r="241" customFormat="false" ht="15" hidden="false" customHeight="false" outlineLevel="0" collapsed="false">
      <c r="A241" s="21"/>
    </row>
    <row r="242" customFormat="false" ht="17.35" hidden="false" customHeight="false" outlineLevel="0" collapsed="false">
      <c r="A242" s="21"/>
      <c r="B242" s="4" t="s">
        <v>89</v>
      </c>
    </row>
    <row r="243" customFormat="false" ht="15" hidden="false" customHeight="false" outlineLevel="0" collapsed="false">
      <c r="A243" s="21"/>
      <c r="B243" s="5" t="s">
        <v>118</v>
      </c>
    </row>
    <row r="244" customFormat="false" ht="15" hidden="false" customHeight="false" outlineLevel="0" collapsed="false">
      <c r="A244" s="21"/>
    </row>
    <row r="245" customFormat="false" ht="15" hidden="false" customHeight="false" outlineLevel="0" collapsed="false">
      <c r="A245" s="6" t="s">
        <v>4</v>
      </c>
      <c r="B245" s="7" t="s">
        <v>5</v>
      </c>
      <c r="C245" s="8" t="s">
        <v>6</v>
      </c>
      <c r="D245" s="9" t="s">
        <v>7</v>
      </c>
      <c r="E245" s="10" t="s">
        <v>8</v>
      </c>
    </row>
    <row r="246" customFormat="false" ht="15" hidden="false" customHeight="false" outlineLevel="0" collapsed="false">
      <c r="A246" s="11" t="n">
        <v>1</v>
      </c>
      <c r="B246" s="23" t="s">
        <v>188</v>
      </c>
      <c r="C246" s="13" t="n">
        <v>416500</v>
      </c>
      <c r="D246" s="13" t="n">
        <f aca="false">200000+216500</f>
        <v>416500</v>
      </c>
      <c r="E246" s="14" t="n">
        <f aca="false">C246-D246</f>
        <v>0</v>
      </c>
    </row>
    <row r="247" customFormat="false" ht="15" hidden="false" customHeight="false" outlineLevel="0" collapsed="false">
      <c r="A247" s="11" t="n">
        <v>2</v>
      </c>
      <c r="B247" s="23" t="s">
        <v>189</v>
      </c>
      <c r="C247" s="13" t="n">
        <v>416500</v>
      </c>
      <c r="D247" s="13"/>
      <c r="E247" s="14" t="n">
        <f aca="false">C247-D247</f>
        <v>416500</v>
      </c>
    </row>
    <row r="248" customFormat="false" ht="15" hidden="false" customHeight="false" outlineLevel="0" collapsed="false">
      <c r="A248" s="11" t="n">
        <v>3</v>
      </c>
      <c r="B248" s="23" t="s">
        <v>190</v>
      </c>
      <c r="C248" s="13" t="n">
        <v>416500</v>
      </c>
      <c r="D248" s="13"/>
      <c r="E248" s="14" t="n">
        <f aca="false">C248-D248</f>
        <v>416500</v>
      </c>
    </row>
    <row r="249" customFormat="false" ht="15" hidden="false" customHeight="false" outlineLevel="0" collapsed="false">
      <c r="A249" s="11" t="n">
        <v>4</v>
      </c>
      <c r="B249" s="37" t="s">
        <v>191</v>
      </c>
      <c r="C249" s="13" t="n">
        <v>416500</v>
      </c>
      <c r="D249" s="13" t="n">
        <f aca="false">395000+21500</f>
        <v>416500</v>
      </c>
      <c r="E249" s="14" t="n">
        <f aca="false">C249-D249</f>
        <v>0</v>
      </c>
    </row>
    <row r="250" customFormat="false" ht="15" hidden="false" customHeight="false" outlineLevel="0" collapsed="false">
      <c r="A250" s="11" t="n">
        <v>5</v>
      </c>
      <c r="B250" s="23" t="s">
        <v>192</v>
      </c>
      <c r="C250" s="13" t="n">
        <v>416500</v>
      </c>
      <c r="D250" s="13" t="n">
        <f aca="false">150000+266500</f>
        <v>416500</v>
      </c>
      <c r="E250" s="14" t="n">
        <f aca="false">C250-D250</f>
        <v>0</v>
      </c>
    </row>
    <row r="251" customFormat="false" ht="15" hidden="false" customHeight="false" outlineLevel="0" collapsed="false">
      <c r="A251" s="11" t="n">
        <v>6</v>
      </c>
      <c r="B251" s="23" t="s">
        <v>193</v>
      </c>
      <c r="C251" s="13" t="n">
        <v>416500</v>
      </c>
      <c r="D251" s="13" t="n">
        <f aca="false">166500+250000</f>
        <v>416500</v>
      </c>
      <c r="E251" s="14" t="n">
        <f aca="false">C251-D251</f>
        <v>0</v>
      </c>
    </row>
    <row r="252" customFormat="false" ht="15" hidden="false" customHeight="false" outlineLevel="0" collapsed="false">
      <c r="A252" s="11" t="n">
        <v>7</v>
      </c>
      <c r="B252" s="23" t="s">
        <v>194</v>
      </c>
      <c r="C252" s="13" t="n">
        <v>416500</v>
      </c>
      <c r="D252" s="13" t="n">
        <f aca="false">250000+166500</f>
        <v>416500</v>
      </c>
      <c r="E252" s="14" t="n">
        <f aca="false">C252-D252</f>
        <v>0</v>
      </c>
    </row>
    <row r="253" customFormat="false" ht="15" hidden="false" customHeight="false" outlineLevel="0" collapsed="false">
      <c r="A253" s="11" t="n">
        <v>8</v>
      </c>
      <c r="B253" s="23" t="s">
        <v>195</v>
      </c>
      <c r="C253" s="13" t="n">
        <v>416500</v>
      </c>
      <c r="D253" s="13"/>
      <c r="E253" s="14" t="n">
        <f aca="false">C253-D253</f>
        <v>416500</v>
      </c>
    </row>
    <row r="254" customFormat="false" ht="15" hidden="false" customHeight="false" outlineLevel="0" collapsed="false">
      <c r="A254" s="11" t="n">
        <v>9</v>
      </c>
      <c r="B254" s="24" t="s">
        <v>196</v>
      </c>
      <c r="C254" s="13" t="n">
        <v>416500</v>
      </c>
      <c r="D254" s="13"/>
      <c r="E254" s="14" t="n">
        <f aca="false">C254-D254</f>
        <v>416500</v>
      </c>
    </row>
    <row r="255" customFormat="false" ht="15" hidden="false" customHeight="false" outlineLevel="0" collapsed="false">
      <c r="A255" s="11" t="n">
        <v>10</v>
      </c>
      <c r="B255" s="23" t="s">
        <v>197</v>
      </c>
      <c r="C255" s="13" t="n">
        <v>416500</v>
      </c>
      <c r="D255" s="13" t="n">
        <v>416500</v>
      </c>
      <c r="E255" s="14" t="n">
        <f aca="false">C255-D255</f>
        <v>0</v>
      </c>
    </row>
    <row r="256" customFormat="false" ht="15" hidden="false" customHeight="false" outlineLevel="0" collapsed="false">
      <c r="A256" s="11" t="n">
        <v>11</v>
      </c>
      <c r="B256" s="23" t="s">
        <v>198</v>
      </c>
      <c r="C256" s="13" t="n">
        <v>416500</v>
      </c>
      <c r="D256" s="13" t="n">
        <f aca="false">300000</f>
        <v>300000</v>
      </c>
      <c r="E256" s="14" t="n">
        <f aca="false">C256-D256</f>
        <v>116500</v>
      </c>
    </row>
    <row r="257" customFormat="false" ht="15" hidden="false" customHeight="false" outlineLevel="0" collapsed="false">
      <c r="A257" s="11" t="n">
        <v>12</v>
      </c>
      <c r="B257" s="23" t="s">
        <v>199</v>
      </c>
      <c r="C257" s="13" t="n">
        <v>416500</v>
      </c>
      <c r="D257" s="13"/>
      <c r="E257" s="14" t="n">
        <f aca="false">C257-D257</f>
        <v>416500</v>
      </c>
    </row>
    <row r="258" customFormat="false" ht="15" hidden="false" customHeight="false" outlineLevel="0" collapsed="false">
      <c r="A258" s="11" t="n">
        <v>13</v>
      </c>
      <c r="B258" s="23" t="s">
        <v>200</v>
      </c>
      <c r="C258" s="13" t="n">
        <v>416500</v>
      </c>
      <c r="D258" s="13" t="n">
        <f aca="false">150000+266500</f>
        <v>416500</v>
      </c>
      <c r="E258" s="14" t="n">
        <f aca="false">C258-D258</f>
        <v>0</v>
      </c>
    </row>
    <row r="259" customFormat="false" ht="15" hidden="false" customHeight="false" outlineLevel="0" collapsed="false">
      <c r="A259" s="11" t="n">
        <v>14</v>
      </c>
      <c r="B259" s="23" t="s">
        <v>201</v>
      </c>
      <c r="C259" s="13" t="n">
        <v>416500</v>
      </c>
      <c r="D259" s="13" t="n">
        <f aca="false">216500+200000</f>
        <v>416500</v>
      </c>
      <c r="E259" s="14" t="n">
        <f aca="false">C259-D259</f>
        <v>0</v>
      </c>
    </row>
    <row r="260" customFormat="false" ht="15" hidden="false" customHeight="false" outlineLevel="0" collapsed="false">
      <c r="A260" s="11" t="n">
        <v>15</v>
      </c>
      <c r="B260" s="23" t="s">
        <v>202</v>
      </c>
      <c r="C260" s="13" t="n">
        <v>416500</v>
      </c>
      <c r="D260" s="13"/>
      <c r="E260" s="14" t="n">
        <f aca="false">C260-D260</f>
        <v>416500</v>
      </c>
    </row>
    <row r="261" customFormat="false" ht="15" hidden="false" customHeight="false" outlineLevel="0" collapsed="false">
      <c r="A261" s="11" t="n">
        <v>16</v>
      </c>
      <c r="B261" s="23" t="s">
        <v>203</v>
      </c>
      <c r="C261" s="13" t="n">
        <v>416500</v>
      </c>
      <c r="D261" s="13" t="n">
        <f aca="false">100000+170000+146500</f>
        <v>416500</v>
      </c>
      <c r="E261" s="14" t="n">
        <f aca="false">C261-D261</f>
        <v>0</v>
      </c>
    </row>
    <row r="262" customFormat="false" ht="15" hidden="false" customHeight="false" outlineLevel="0" collapsed="false">
      <c r="A262" s="11" t="n">
        <v>17</v>
      </c>
      <c r="B262" s="23" t="s">
        <v>204</v>
      </c>
      <c r="C262" s="13" t="n">
        <v>416500</v>
      </c>
      <c r="D262" s="13" t="n">
        <f aca="false">241500+115000+60000</f>
        <v>416500</v>
      </c>
      <c r="E262" s="14" t="n">
        <f aca="false">C262-D262</f>
        <v>0</v>
      </c>
    </row>
    <row r="263" customFormat="false" ht="15" hidden="false" customHeight="false" outlineLevel="0" collapsed="false">
      <c r="A263" s="11" t="n">
        <v>18</v>
      </c>
      <c r="B263" s="24" t="s">
        <v>205</v>
      </c>
      <c r="C263" s="13" t="n">
        <v>416500</v>
      </c>
      <c r="D263" s="13" t="n">
        <f aca="false">116500</f>
        <v>116500</v>
      </c>
      <c r="E263" s="14" t="n">
        <f aca="false">C263-D263</f>
        <v>300000</v>
      </c>
    </row>
    <row r="264" customFormat="false" ht="15" hidden="false" customHeight="false" outlineLevel="0" collapsed="false">
      <c r="A264" s="11" t="n">
        <v>19</v>
      </c>
      <c r="B264" s="23" t="s">
        <v>206</v>
      </c>
      <c r="C264" s="13" t="n">
        <v>416500</v>
      </c>
      <c r="D264" s="13" t="n">
        <f aca="false">216500+200000</f>
        <v>416500</v>
      </c>
      <c r="E264" s="14" t="n">
        <f aca="false">C264-D264</f>
        <v>0</v>
      </c>
    </row>
    <row r="265" customFormat="false" ht="15" hidden="false" customHeight="false" outlineLevel="0" collapsed="false">
      <c r="A265" s="11" t="n">
        <v>20</v>
      </c>
      <c r="B265" s="23" t="s">
        <v>207</v>
      </c>
      <c r="C265" s="13" t="n">
        <v>416500</v>
      </c>
      <c r="D265" s="13" t="n">
        <f aca="false">29000+50000+16500+50000+60000+25000+85000+45000+56000</f>
        <v>416500</v>
      </c>
      <c r="E265" s="14" t="n">
        <f aca="false">C265-D265</f>
        <v>0</v>
      </c>
    </row>
    <row r="266" customFormat="false" ht="15" hidden="false" customHeight="false" outlineLevel="0" collapsed="false">
      <c r="A266" s="11" t="n">
        <v>21</v>
      </c>
      <c r="B266" s="23" t="s">
        <v>208</v>
      </c>
      <c r="C266" s="13" t="n">
        <v>416500</v>
      </c>
      <c r="D266" s="13" t="n">
        <f aca="false">290000+500+126000</f>
        <v>416500</v>
      </c>
      <c r="E266" s="14" t="n">
        <f aca="false">C266-D266</f>
        <v>0</v>
      </c>
    </row>
    <row r="267" customFormat="false" ht="15" hidden="false" customHeight="false" outlineLevel="0" collapsed="false">
      <c r="A267" s="11" t="n">
        <v>22</v>
      </c>
      <c r="B267" s="23" t="s">
        <v>209</v>
      </c>
      <c r="C267" s="13" t="n">
        <v>416500</v>
      </c>
      <c r="D267" s="13" t="n">
        <v>416500</v>
      </c>
      <c r="E267" s="14" t="n">
        <f aca="false">C267-D267</f>
        <v>0</v>
      </c>
    </row>
    <row r="268" customFormat="false" ht="15" hidden="false" customHeight="false" outlineLevel="0" collapsed="false">
      <c r="A268" s="11" t="n">
        <v>23</v>
      </c>
      <c r="B268" s="23" t="s">
        <v>210</v>
      </c>
      <c r="C268" s="13" t="n">
        <v>416500</v>
      </c>
      <c r="D268" s="13" t="n">
        <f aca="false">217000+199500</f>
        <v>416500</v>
      </c>
      <c r="E268" s="14" t="n">
        <f aca="false">C268-D268</f>
        <v>0</v>
      </c>
    </row>
    <row r="269" customFormat="false" ht="15" hidden="false" customHeight="false" outlineLevel="0" collapsed="false">
      <c r="A269" s="11" t="n">
        <v>24</v>
      </c>
      <c r="B269" s="23" t="s">
        <v>211</v>
      </c>
      <c r="C269" s="13" t="n">
        <v>416500</v>
      </c>
      <c r="D269" s="13"/>
      <c r="E269" s="14" t="n">
        <f aca="false">C269-D269</f>
        <v>416500</v>
      </c>
    </row>
    <row r="270" customFormat="false" ht="15" hidden="false" customHeight="false" outlineLevel="0" collapsed="false">
      <c r="A270" s="11" t="n">
        <v>25</v>
      </c>
      <c r="B270" s="23" t="s">
        <v>212</v>
      </c>
      <c r="C270" s="13" t="n">
        <v>416500</v>
      </c>
      <c r="D270" s="13" t="n">
        <f aca="false">416500</f>
        <v>416500</v>
      </c>
      <c r="E270" s="14" t="n">
        <f aca="false">C270-D270</f>
        <v>0</v>
      </c>
    </row>
    <row r="271" customFormat="false" ht="15" hidden="false" customHeight="false" outlineLevel="0" collapsed="false">
      <c r="A271" s="11" t="n">
        <v>26</v>
      </c>
      <c r="B271" s="23" t="s">
        <v>213</v>
      </c>
      <c r="C271" s="13" t="n">
        <v>416500</v>
      </c>
      <c r="D271" s="13" t="n">
        <v>416500</v>
      </c>
      <c r="E271" s="14" t="n">
        <f aca="false">C271-D271</f>
        <v>0</v>
      </c>
    </row>
    <row r="272" customFormat="false" ht="15" hidden="false" customHeight="false" outlineLevel="0" collapsed="false">
      <c r="A272" s="11" t="n">
        <v>27</v>
      </c>
      <c r="B272" s="23" t="s">
        <v>214</v>
      </c>
      <c r="C272" s="13" t="n">
        <v>416500</v>
      </c>
      <c r="D272" s="13" t="n">
        <f aca="false">100000+316500</f>
        <v>416500</v>
      </c>
      <c r="E272" s="14" t="n">
        <f aca="false">C272-D272</f>
        <v>0</v>
      </c>
    </row>
    <row r="273" customFormat="false" ht="15" hidden="false" customHeight="false" outlineLevel="0" collapsed="false">
      <c r="A273" s="11" t="n">
        <v>28</v>
      </c>
      <c r="B273" s="23" t="s">
        <v>215</v>
      </c>
      <c r="C273" s="13" t="n">
        <v>416500</v>
      </c>
      <c r="D273" s="13" t="n">
        <f aca="false">416500</f>
        <v>416500</v>
      </c>
      <c r="E273" s="14" t="n">
        <f aca="false">C273-D273</f>
        <v>0</v>
      </c>
    </row>
    <row r="274" customFormat="false" ht="15" hidden="false" customHeight="false" outlineLevel="0" collapsed="false">
      <c r="A274" s="11" t="n">
        <v>29</v>
      </c>
      <c r="B274" s="23" t="s">
        <v>216</v>
      </c>
      <c r="C274" s="13" t="n">
        <v>416500</v>
      </c>
      <c r="D274" s="13" t="n">
        <f aca="false">416500</f>
        <v>416500</v>
      </c>
      <c r="E274" s="14" t="n">
        <f aca="false">C274-D274</f>
        <v>0</v>
      </c>
    </row>
    <row r="275" customFormat="false" ht="15" hidden="false" customHeight="false" outlineLevel="0" collapsed="false">
      <c r="A275" s="11" t="n">
        <v>30</v>
      </c>
      <c r="B275" s="23" t="s">
        <v>217</v>
      </c>
      <c r="C275" s="13" t="n">
        <v>416500</v>
      </c>
      <c r="D275" s="13" t="n">
        <f aca="false">200000+216500</f>
        <v>416500</v>
      </c>
      <c r="E275" s="14" t="n">
        <f aca="false">C275-D275</f>
        <v>0</v>
      </c>
    </row>
    <row r="276" customFormat="false" ht="15" hidden="false" customHeight="false" outlineLevel="0" collapsed="false">
      <c r="A276" s="11" t="n">
        <v>31</v>
      </c>
      <c r="B276" s="23" t="s">
        <v>218</v>
      </c>
      <c r="C276" s="13" t="n">
        <v>416500</v>
      </c>
      <c r="D276" s="13"/>
      <c r="E276" s="14" t="n">
        <f aca="false">C276-D276</f>
        <v>416500</v>
      </c>
    </row>
    <row r="277" customFormat="false" ht="15" hidden="false" customHeight="false" outlineLevel="0" collapsed="false">
      <c r="A277" s="11" t="n">
        <v>32</v>
      </c>
      <c r="B277" s="23" t="s">
        <v>219</v>
      </c>
      <c r="C277" s="13" t="n">
        <v>416500</v>
      </c>
      <c r="D277" s="13" t="n">
        <f aca="false">316500+100000</f>
        <v>416500</v>
      </c>
      <c r="E277" s="14" t="n">
        <f aca="false">C277-D277</f>
        <v>0</v>
      </c>
    </row>
    <row r="278" customFormat="false" ht="15" hidden="false" customHeight="false" outlineLevel="0" collapsed="false">
      <c r="A278" s="11" t="n">
        <v>33</v>
      </c>
      <c r="B278" s="23" t="s">
        <v>220</v>
      </c>
      <c r="C278" s="13" t="n">
        <v>416500</v>
      </c>
      <c r="D278" s="13" t="n">
        <f aca="false">66500+150000+200000</f>
        <v>416500</v>
      </c>
      <c r="E278" s="14" t="n">
        <f aca="false">C278-D278</f>
        <v>0</v>
      </c>
    </row>
    <row r="279" customFormat="false" ht="15" hidden="false" customHeight="false" outlineLevel="0" collapsed="false">
      <c r="A279" s="11" t="n">
        <v>34</v>
      </c>
      <c r="B279" s="23" t="s">
        <v>221</v>
      </c>
      <c r="C279" s="13" t="n">
        <v>416500</v>
      </c>
      <c r="D279" s="13"/>
      <c r="E279" s="14" t="n">
        <f aca="false">C279-D279</f>
        <v>416500</v>
      </c>
    </row>
    <row r="280" customFormat="false" ht="15" hidden="false" customHeight="false" outlineLevel="0" collapsed="false">
      <c r="A280" s="11" t="n">
        <v>35</v>
      </c>
      <c r="B280" s="23" t="s">
        <v>222</v>
      </c>
      <c r="C280" s="13" t="n">
        <v>416500</v>
      </c>
      <c r="D280" s="13" t="n">
        <f aca="false">200000+66500+70000+80000</f>
        <v>416500</v>
      </c>
      <c r="E280" s="14" t="n">
        <f aca="false">C280-D280</f>
        <v>0</v>
      </c>
    </row>
    <row r="281" customFormat="false" ht="15" hidden="false" customHeight="false" outlineLevel="0" collapsed="false">
      <c r="A281" s="11" t="n">
        <v>36</v>
      </c>
      <c r="B281" s="23" t="s">
        <v>223</v>
      </c>
      <c r="C281" s="13" t="n">
        <v>416500</v>
      </c>
      <c r="D281" s="13" t="n">
        <f aca="false">216000+100000+100000+1000</f>
        <v>417000</v>
      </c>
      <c r="E281" s="14" t="n">
        <f aca="false">C281-D281</f>
        <v>-500</v>
      </c>
    </row>
    <row r="282" customFormat="false" ht="15" hidden="false" customHeight="false" outlineLevel="0" collapsed="false">
      <c r="A282" s="11" t="n">
        <v>37</v>
      </c>
      <c r="B282" s="23" t="s">
        <v>224</v>
      </c>
      <c r="C282" s="13" t="n">
        <v>416500</v>
      </c>
      <c r="D282" s="13"/>
      <c r="E282" s="14" t="n">
        <f aca="false">C282-D282</f>
        <v>416500</v>
      </c>
    </row>
    <row r="283" customFormat="false" ht="15" hidden="false" customHeight="false" outlineLevel="0" collapsed="false">
      <c r="A283" s="11" t="n">
        <v>38</v>
      </c>
      <c r="B283" s="23" t="s">
        <v>225</v>
      </c>
      <c r="C283" s="13" t="n">
        <v>416500</v>
      </c>
      <c r="D283" s="13" t="n">
        <f aca="false">150000+265000+1500</f>
        <v>416500</v>
      </c>
      <c r="E283" s="14" t="n">
        <f aca="false">C283-D283</f>
        <v>0</v>
      </c>
    </row>
    <row r="284" customFormat="false" ht="15" hidden="false" customHeight="false" outlineLevel="0" collapsed="false">
      <c r="A284" s="11" t="n">
        <v>39</v>
      </c>
      <c r="B284" s="23" t="s">
        <v>226</v>
      </c>
      <c r="C284" s="13" t="n">
        <v>416500</v>
      </c>
      <c r="D284" s="13" t="n">
        <f aca="false">100000+316500</f>
        <v>416500</v>
      </c>
      <c r="E284" s="14" t="n">
        <f aca="false">C284-D284</f>
        <v>0</v>
      </c>
    </row>
    <row r="285" customFormat="false" ht="15" hidden="false" customHeight="false" outlineLevel="0" collapsed="false">
      <c r="A285" s="11" t="n">
        <v>40</v>
      </c>
      <c r="B285" s="23" t="s">
        <v>227</v>
      </c>
      <c r="C285" s="13" t="n">
        <v>416500</v>
      </c>
      <c r="D285" s="13" t="n">
        <f aca="false">400000+10000+13500</f>
        <v>423500</v>
      </c>
      <c r="E285" s="14" t="n">
        <f aca="false">C285-D285</f>
        <v>-7000</v>
      </c>
    </row>
    <row r="286" customFormat="false" ht="15" hidden="false" customHeight="false" outlineLevel="0" collapsed="false">
      <c r="A286" s="11" t="n">
        <v>41</v>
      </c>
      <c r="B286" s="23" t="s">
        <v>228</v>
      </c>
      <c r="C286" s="13" t="n">
        <v>416500</v>
      </c>
      <c r="D286" s="13" t="n">
        <f aca="false">220000+130000+70000</f>
        <v>420000</v>
      </c>
      <c r="E286" s="39" t="n">
        <f aca="false">C286-D286</f>
        <v>-3500</v>
      </c>
    </row>
    <row r="287" customFormat="false" ht="15" hidden="false" customHeight="false" outlineLevel="0" collapsed="false">
      <c r="A287" s="11" t="n">
        <v>42</v>
      </c>
      <c r="B287" s="23" t="s">
        <v>229</v>
      </c>
      <c r="C287" s="13" t="n">
        <v>416500</v>
      </c>
      <c r="D287" s="13"/>
      <c r="E287" s="14" t="n">
        <f aca="false">C287-D287</f>
        <v>416500</v>
      </c>
    </row>
    <row r="288" customFormat="false" ht="15" hidden="false" customHeight="false" outlineLevel="0" collapsed="false">
      <c r="A288" s="11" t="n">
        <v>43</v>
      </c>
      <c r="B288" s="23" t="s">
        <v>230</v>
      </c>
      <c r="C288" s="13" t="n">
        <v>416500</v>
      </c>
      <c r="D288" s="13"/>
      <c r="E288" s="14" t="n">
        <f aca="false">C288-D288</f>
        <v>416500</v>
      </c>
    </row>
    <row r="289" customFormat="false" ht="15" hidden="false" customHeight="false" outlineLevel="0" collapsed="false">
      <c r="A289" s="11" t="n">
        <v>45</v>
      </c>
      <c r="B289" s="23" t="s">
        <v>231</v>
      </c>
      <c r="C289" s="13" t="n">
        <v>416500</v>
      </c>
      <c r="D289" s="13" t="n">
        <f aca="false">3000+40000+20000+70000+270000+20000</f>
        <v>423000</v>
      </c>
      <c r="E289" s="14" t="n">
        <f aca="false">C289-D289</f>
        <v>-6500</v>
      </c>
    </row>
    <row r="290" customFormat="false" ht="15" hidden="false" customHeight="false" outlineLevel="0" collapsed="false">
      <c r="A290" s="11" t="n">
        <v>46</v>
      </c>
      <c r="B290" s="23" t="s">
        <v>232</v>
      </c>
      <c r="C290" s="13" t="n">
        <v>416500</v>
      </c>
      <c r="D290" s="13" t="n">
        <f aca="false">117500+300000</f>
        <v>417500</v>
      </c>
      <c r="E290" s="14" t="n">
        <f aca="false">C290-D290</f>
        <v>-1000</v>
      </c>
    </row>
    <row r="291" customFormat="false" ht="15" hidden="false" customHeight="false" outlineLevel="0" collapsed="false">
      <c r="A291" s="11" t="n">
        <v>47</v>
      </c>
      <c r="B291" s="23" t="s">
        <v>233</v>
      </c>
      <c r="C291" s="13" t="n">
        <v>416500</v>
      </c>
      <c r="D291" s="13" t="n">
        <f aca="false">55000+361500</f>
        <v>416500</v>
      </c>
      <c r="E291" s="14" t="n">
        <f aca="false">C291-D291</f>
        <v>0</v>
      </c>
    </row>
    <row r="292" customFormat="false" ht="15" hidden="false" customHeight="false" outlineLevel="0" collapsed="false">
      <c r="A292" s="11" t="n">
        <v>48</v>
      </c>
      <c r="B292" s="23" t="s">
        <v>234</v>
      </c>
      <c r="C292" s="13" t="n">
        <v>416500</v>
      </c>
      <c r="D292" s="13" t="n">
        <f aca="false">150000+266500</f>
        <v>416500</v>
      </c>
      <c r="E292" s="14" t="n">
        <f aca="false">C292-D292</f>
        <v>0</v>
      </c>
    </row>
    <row r="293" customFormat="false" ht="15" hidden="false" customHeight="false" outlineLevel="0" collapsed="false">
      <c r="A293" s="11" t="n">
        <v>49</v>
      </c>
      <c r="B293" s="23" t="s">
        <v>235</v>
      </c>
      <c r="C293" s="13" t="n">
        <v>416500</v>
      </c>
      <c r="D293" s="13" t="n">
        <f aca="false">200000+216500</f>
        <v>416500</v>
      </c>
      <c r="E293" s="14" t="n">
        <f aca="false">C293-D293</f>
        <v>0</v>
      </c>
    </row>
    <row r="294" customFormat="false" ht="15" hidden="false" customHeight="false" outlineLevel="0" collapsed="false">
      <c r="A294" s="11" t="n">
        <v>44</v>
      </c>
      <c r="B294" s="23" t="s">
        <v>236</v>
      </c>
      <c r="C294" s="13" t="n">
        <v>416500</v>
      </c>
      <c r="D294" s="13" t="n">
        <f aca="false">70000+70500+259000+17000</f>
        <v>416500</v>
      </c>
      <c r="E294" s="14" t="n">
        <f aca="false">C294-D294</f>
        <v>0</v>
      </c>
    </row>
    <row r="295" customFormat="false" ht="15" hidden="false" customHeight="false" outlineLevel="0" collapsed="false">
      <c r="A295" s="11" t="n">
        <v>50</v>
      </c>
      <c r="B295" s="23" t="s">
        <v>237</v>
      </c>
      <c r="C295" s="13" t="n">
        <v>416500</v>
      </c>
      <c r="D295" s="13" t="n">
        <f aca="false">136500+80000+200000</f>
        <v>416500</v>
      </c>
      <c r="E295" s="14" t="n">
        <f aca="false">C295-D295</f>
        <v>0</v>
      </c>
    </row>
    <row r="296" customFormat="false" ht="15" hidden="false" customHeight="false" outlineLevel="0" collapsed="false">
      <c r="A296" s="11" t="n">
        <v>51</v>
      </c>
      <c r="B296" s="23" t="s">
        <v>238</v>
      </c>
      <c r="C296" s="13" t="n">
        <v>416500</v>
      </c>
      <c r="D296" s="13" t="n">
        <f aca="false">26500+40000</f>
        <v>66500</v>
      </c>
      <c r="E296" s="14" t="n">
        <f aca="false">C296-D296</f>
        <v>350000</v>
      </c>
    </row>
    <row r="297" customFormat="false" ht="15" hidden="false" customHeight="false" outlineLevel="0" collapsed="false">
      <c r="A297" s="11" t="n">
        <v>52</v>
      </c>
      <c r="B297" s="23" t="s">
        <v>239</v>
      </c>
      <c r="C297" s="13" t="n">
        <v>416500</v>
      </c>
      <c r="D297" s="13" t="n">
        <f aca="false">160000+100000+156500</f>
        <v>416500</v>
      </c>
      <c r="E297" s="14" t="n">
        <f aca="false">C297-D297</f>
        <v>0</v>
      </c>
    </row>
    <row r="298" customFormat="false" ht="15" hidden="false" customHeight="false" outlineLevel="0" collapsed="false">
      <c r="A298" s="11" t="n">
        <v>53</v>
      </c>
      <c r="B298" s="23" t="s">
        <v>240</v>
      </c>
      <c r="C298" s="13" t="n">
        <v>416500</v>
      </c>
      <c r="D298" s="13" t="n">
        <f aca="false">30000+40000+50000+120000+120000+56500</f>
        <v>416500</v>
      </c>
      <c r="E298" s="14" t="n">
        <f aca="false">C298-D298</f>
        <v>0</v>
      </c>
    </row>
    <row r="299" customFormat="false" ht="15" hidden="false" customHeight="false" outlineLevel="0" collapsed="false">
      <c r="A299" s="11" t="s">
        <v>241</v>
      </c>
      <c r="B299" s="23" t="s">
        <v>242</v>
      </c>
      <c r="C299" s="13" t="n">
        <v>416500</v>
      </c>
      <c r="D299" s="13" t="n">
        <f aca="false">100000+20000</f>
        <v>120000</v>
      </c>
      <c r="E299" s="14" t="n">
        <f aca="false">C299-D299</f>
        <v>296500</v>
      </c>
    </row>
    <row r="300" customFormat="false" ht="15" hidden="false" customHeight="false" outlineLevel="0" collapsed="false">
      <c r="A300" s="11" t="n">
        <v>55</v>
      </c>
      <c r="B300" s="23" t="s">
        <v>243</v>
      </c>
      <c r="C300" s="13" t="n">
        <v>416500</v>
      </c>
      <c r="D300" s="13"/>
      <c r="E300" s="14" t="n">
        <f aca="false">C300-D300</f>
        <v>416500</v>
      </c>
    </row>
    <row r="301" customFormat="false" ht="15" hidden="false" customHeight="false" outlineLevel="0" collapsed="false">
      <c r="A301" s="11" t="n">
        <v>56</v>
      </c>
      <c r="B301" s="24" t="s">
        <v>244</v>
      </c>
      <c r="C301" s="13" t="n">
        <v>416500</v>
      </c>
      <c r="D301" s="13"/>
      <c r="E301" s="14" t="n">
        <f aca="false">C301-D301</f>
        <v>416500</v>
      </c>
    </row>
    <row r="302" customFormat="false" ht="15" hidden="false" customHeight="false" outlineLevel="0" collapsed="false">
      <c r="A302" s="11" t="n">
        <v>57</v>
      </c>
      <c r="B302" s="23" t="s">
        <v>245</v>
      </c>
      <c r="C302" s="13" t="n">
        <v>416500</v>
      </c>
      <c r="D302" s="13"/>
      <c r="E302" s="14" t="n">
        <f aca="false">C302-D302</f>
        <v>416500</v>
      </c>
    </row>
    <row r="303" customFormat="false" ht="15" hidden="false" customHeight="false" outlineLevel="0" collapsed="false">
      <c r="A303" s="15" t="n">
        <v>58</v>
      </c>
      <c r="B303" s="24" t="s">
        <v>246</v>
      </c>
      <c r="C303" s="25" t="n">
        <v>416500</v>
      </c>
      <c r="D303" s="1" t="n">
        <f aca="false">200000+120000+96500</f>
        <v>416500</v>
      </c>
      <c r="E303" s="26" t="n">
        <f aca="false">C303-D303</f>
        <v>0</v>
      </c>
    </row>
    <row r="304" customFormat="false" ht="19.7" hidden="false" customHeight="false" outlineLevel="0" collapsed="false">
      <c r="A304" s="29"/>
      <c r="B304" s="17" t="s">
        <v>42</v>
      </c>
      <c r="C304" s="18" t="n">
        <f aca="false">SUM(C246:C303)</f>
        <v>24157000</v>
      </c>
      <c r="D304" s="19" t="n">
        <f aca="false">SUM(D246:D302)</f>
        <v>16448500</v>
      </c>
      <c r="E304" s="20" t="n">
        <f aca="false">SUM(E246:E303)</f>
        <v>7292000</v>
      </c>
    </row>
    <row r="305" customFormat="false" ht="15" hidden="false" customHeight="false" outlineLevel="0" collapsed="false">
      <c r="A305" s="21"/>
    </row>
    <row r="309" customFormat="false" ht="15" hidden="false" customHeight="false" outlineLevel="0" collapsed="false">
      <c r="A309" s="21"/>
    </row>
    <row r="310" customFormat="false" ht="15" hidden="false" customHeight="false" outlineLevel="0" collapsed="false">
      <c r="A310" s="21"/>
    </row>
    <row r="311" customFormat="false" ht="15" hidden="false" customHeight="false" outlineLevel="0" collapsed="false">
      <c r="A311" s="21"/>
    </row>
    <row r="312" customFormat="false" ht="17.35" hidden="false" customHeight="false" outlineLevel="0" collapsed="false">
      <c r="A312" s="21"/>
      <c r="B312" s="2" t="s">
        <v>0</v>
      </c>
      <c r="C312" s="2"/>
      <c r="D312" s="2"/>
    </row>
    <row r="313" customFormat="false" ht="15" hidden="false" customHeight="false" outlineLevel="0" collapsed="false">
      <c r="A313" s="21"/>
    </row>
    <row r="314" customFormat="false" ht="17.35" hidden="false" customHeight="false" outlineLevel="0" collapsed="false">
      <c r="A314" s="21"/>
      <c r="B314" s="4" t="s">
        <v>2</v>
      </c>
    </row>
    <row r="315" customFormat="false" ht="15" hidden="false" customHeight="false" outlineLevel="0" collapsed="false">
      <c r="A315" s="21"/>
      <c r="B315" s="5" t="s">
        <v>247</v>
      </c>
    </row>
    <row r="316" customFormat="false" ht="15" hidden="false" customHeight="false" outlineLevel="0" collapsed="false">
      <c r="A316" s="21"/>
    </row>
    <row r="317" customFormat="false" ht="15" hidden="false" customHeight="false" outlineLevel="0" collapsed="false">
      <c r="A317" s="6" t="s">
        <v>4</v>
      </c>
      <c r="B317" s="7" t="s">
        <v>5</v>
      </c>
      <c r="C317" s="8" t="s">
        <v>6</v>
      </c>
      <c r="D317" s="9" t="s">
        <v>7</v>
      </c>
      <c r="E317" s="10" t="s">
        <v>8</v>
      </c>
    </row>
    <row r="318" customFormat="false" ht="15" hidden="false" customHeight="false" outlineLevel="0" collapsed="false">
      <c r="A318" s="11" t="n">
        <v>1</v>
      </c>
      <c r="B318" s="23" t="s">
        <v>248</v>
      </c>
      <c r="C318" s="13" t="n">
        <v>416500</v>
      </c>
      <c r="D318" s="13" t="n">
        <f aca="false">100000+316500</f>
        <v>416500</v>
      </c>
      <c r="E318" s="14" t="n">
        <f aca="false">C318-D318</f>
        <v>0</v>
      </c>
    </row>
    <row r="319" customFormat="false" ht="15" hidden="false" customHeight="false" outlineLevel="0" collapsed="false">
      <c r="A319" s="11" t="n">
        <v>2</v>
      </c>
      <c r="B319" s="23" t="s">
        <v>249</v>
      </c>
      <c r="C319" s="13" t="n">
        <v>416500</v>
      </c>
      <c r="D319" s="13" t="n">
        <f aca="false">100000+160000+80000+76500</f>
        <v>416500</v>
      </c>
      <c r="E319" s="14" t="n">
        <f aca="false">C319-D319</f>
        <v>0</v>
      </c>
    </row>
    <row r="320" customFormat="false" ht="15" hidden="false" customHeight="false" outlineLevel="0" collapsed="false">
      <c r="A320" s="11" t="n">
        <v>3</v>
      </c>
      <c r="B320" s="23" t="s">
        <v>250</v>
      </c>
      <c r="C320" s="13" t="n">
        <v>416500</v>
      </c>
      <c r="D320" s="13" t="n">
        <f aca="false">99500+200000+200000</f>
        <v>499500</v>
      </c>
      <c r="E320" s="14" t="n">
        <v>0</v>
      </c>
    </row>
    <row r="321" customFormat="false" ht="15" hidden="false" customHeight="false" outlineLevel="0" collapsed="false">
      <c r="A321" s="11" t="n">
        <v>4</v>
      </c>
      <c r="B321" s="23" t="s">
        <v>251</v>
      </c>
      <c r="C321" s="13" t="n">
        <v>416500</v>
      </c>
      <c r="D321" s="13" t="n">
        <f aca="false">116500+100000+200000</f>
        <v>416500</v>
      </c>
      <c r="E321" s="14" t="n">
        <f aca="false">C321-D321</f>
        <v>0</v>
      </c>
    </row>
    <row r="322" customFormat="false" ht="15" hidden="false" customHeight="false" outlineLevel="0" collapsed="false">
      <c r="A322" s="11" t="n">
        <v>5</v>
      </c>
      <c r="B322" s="23" t="s">
        <v>252</v>
      </c>
      <c r="C322" s="13" t="n">
        <v>416500</v>
      </c>
      <c r="D322" s="13" t="n">
        <f aca="false">200000+200000+16500</f>
        <v>416500</v>
      </c>
      <c r="E322" s="14" t="n">
        <f aca="false">C322-D322</f>
        <v>0</v>
      </c>
    </row>
    <row r="323" customFormat="false" ht="15" hidden="false" customHeight="false" outlineLevel="0" collapsed="false">
      <c r="A323" s="11" t="n">
        <v>6</v>
      </c>
      <c r="B323" s="23" t="s">
        <v>253</v>
      </c>
      <c r="C323" s="13" t="n">
        <v>416500</v>
      </c>
      <c r="D323" s="13" t="n">
        <f aca="false">116500+200000+50000+50000</f>
        <v>416500</v>
      </c>
      <c r="E323" s="14" t="n">
        <f aca="false">C323-D323</f>
        <v>0</v>
      </c>
    </row>
    <row r="324" customFormat="false" ht="15" hidden="false" customHeight="false" outlineLevel="0" collapsed="false">
      <c r="A324" s="11" t="n">
        <v>7</v>
      </c>
      <c r="B324" s="23" t="s">
        <v>254</v>
      </c>
      <c r="C324" s="13" t="n">
        <v>416500</v>
      </c>
      <c r="D324" s="13" t="n">
        <f aca="false">258000+158500</f>
        <v>416500</v>
      </c>
      <c r="E324" s="14" t="n">
        <f aca="false">C324-D324</f>
        <v>0</v>
      </c>
    </row>
    <row r="325" customFormat="false" ht="15" hidden="false" customHeight="false" outlineLevel="0" collapsed="false">
      <c r="A325" s="11" t="n">
        <v>8</v>
      </c>
      <c r="B325" s="23" t="s">
        <v>255</v>
      </c>
      <c r="C325" s="13" t="n">
        <v>416500</v>
      </c>
      <c r="D325" s="13" t="n">
        <f aca="false">300000+116500</f>
        <v>416500</v>
      </c>
      <c r="E325" s="14" t="n">
        <f aca="false">C325-D325</f>
        <v>0</v>
      </c>
    </row>
    <row r="326" customFormat="false" ht="15" hidden="false" customHeight="false" outlineLevel="0" collapsed="false">
      <c r="A326" s="11" t="n">
        <v>9</v>
      </c>
      <c r="B326" s="23" t="s">
        <v>256</v>
      </c>
      <c r="C326" s="13" t="n">
        <v>416500</v>
      </c>
      <c r="D326" s="13" t="n">
        <f aca="false">143500+130000</f>
        <v>273500</v>
      </c>
      <c r="E326" s="14" t="n">
        <f aca="false">C326-D326</f>
        <v>143000</v>
      </c>
    </row>
    <row r="327" customFormat="false" ht="15" hidden="false" customHeight="false" outlineLevel="0" collapsed="false">
      <c r="A327" s="11" t="n">
        <v>10</v>
      </c>
      <c r="B327" s="23" t="s">
        <v>257</v>
      </c>
      <c r="C327" s="13" t="n">
        <v>416500</v>
      </c>
      <c r="D327" s="13" t="n">
        <f aca="false">216500+40000+70000+70000+20000</f>
        <v>416500</v>
      </c>
      <c r="E327" s="14" t="n">
        <f aca="false">C327-D327</f>
        <v>0</v>
      </c>
    </row>
    <row r="328" customFormat="false" ht="15" hidden="false" customHeight="false" outlineLevel="0" collapsed="false">
      <c r="A328" s="11" t="n">
        <v>11</v>
      </c>
      <c r="B328" s="23" t="s">
        <v>258</v>
      </c>
      <c r="C328" s="13" t="n">
        <v>416500</v>
      </c>
      <c r="D328" s="13" t="n">
        <f aca="false">216500+200000</f>
        <v>416500</v>
      </c>
      <c r="E328" s="14" t="n">
        <f aca="false">C328-D328</f>
        <v>0</v>
      </c>
    </row>
    <row r="329" customFormat="false" ht="15" hidden="false" customHeight="false" outlineLevel="0" collapsed="false">
      <c r="A329" s="11" t="n">
        <v>12</v>
      </c>
      <c r="B329" s="23" t="s">
        <v>259</v>
      </c>
      <c r="C329" s="13" t="n">
        <v>416500</v>
      </c>
      <c r="D329" s="13" t="n">
        <v>416500</v>
      </c>
      <c r="E329" s="14" t="n">
        <f aca="false">C329-D329</f>
        <v>0</v>
      </c>
    </row>
    <row r="330" customFormat="false" ht="15" hidden="false" customHeight="false" outlineLevel="0" collapsed="false">
      <c r="A330" s="11" t="n">
        <v>13</v>
      </c>
      <c r="B330" s="12" t="s">
        <v>260</v>
      </c>
      <c r="C330" s="13" t="n">
        <v>416500</v>
      </c>
      <c r="D330" s="13" t="n">
        <f aca="false">120000+90000+16500+90000+50000+50000</f>
        <v>416500</v>
      </c>
      <c r="E330" s="14" t="n">
        <f aca="false">C330-D330</f>
        <v>0</v>
      </c>
    </row>
    <row r="331" customFormat="false" ht="15" hidden="false" customHeight="false" outlineLevel="0" collapsed="false">
      <c r="A331" s="11" t="n">
        <v>14</v>
      </c>
      <c r="B331" s="12" t="s">
        <v>261</v>
      </c>
      <c r="C331" s="13" t="n">
        <v>416500</v>
      </c>
      <c r="D331" s="13" t="n">
        <f aca="false">100000+105000+211500</f>
        <v>416500</v>
      </c>
      <c r="E331" s="14" t="n">
        <f aca="false">C331-D331</f>
        <v>0</v>
      </c>
    </row>
    <row r="332" customFormat="false" ht="15" hidden="false" customHeight="false" outlineLevel="0" collapsed="false">
      <c r="A332" s="11" t="n">
        <v>15</v>
      </c>
      <c r="B332" s="12" t="s">
        <v>262</v>
      </c>
      <c r="C332" s="13" t="n">
        <v>416500</v>
      </c>
      <c r="D332" s="13"/>
      <c r="E332" s="14" t="n">
        <f aca="false">C332-D332</f>
        <v>416500</v>
      </c>
    </row>
    <row r="333" customFormat="false" ht="19.7" hidden="false" customHeight="false" outlineLevel="0" collapsed="false">
      <c r="A333" s="29"/>
      <c r="B333" s="17" t="s">
        <v>42</v>
      </c>
      <c r="C333" s="18" t="n">
        <f aca="false">SUM(C318:C332)</f>
        <v>6247500</v>
      </c>
      <c r="D333" s="19" t="n">
        <f aca="false">SUM(D318:D332)</f>
        <v>5771000</v>
      </c>
      <c r="E333" s="20" t="n">
        <f aca="false">SUM(E318:E332)</f>
        <v>559500</v>
      </c>
    </row>
    <row r="334" customFormat="false" ht="15" hidden="false" customHeight="false" outlineLevel="0" collapsed="false">
      <c r="A334" s="21"/>
    </row>
    <row r="340" customFormat="false" ht="17.35" hidden="false" customHeight="false" outlineLevel="0" collapsed="false">
      <c r="A340" s="21"/>
      <c r="B340" s="40" t="s">
        <v>0</v>
      </c>
      <c r="C340" s="40"/>
      <c r="D340" s="40"/>
      <c r="E340" s="40"/>
    </row>
    <row r="341" customFormat="false" ht="15" hidden="false" customHeight="false" outlineLevel="0" collapsed="false">
      <c r="A341" s="21"/>
    </row>
    <row r="342" customFormat="false" ht="17.35" hidden="false" customHeight="false" outlineLevel="0" collapsed="false">
      <c r="A342" s="21"/>
      <c r="B342" s="4" t="s">
        <v>89</v>
      </c>
    </row>
    <row r="343" customFormat="false" ht="15" hidden="false" customHeight="false" outlineLevel="0" collapsed="false">
      <c r="A343" s="21"/>
      <c r="B343" s="5" t="s">
        <v>247</v>
      </c>
    </row>
    <row r="344" customFormat="false" ht="15" hidden="false" customHeight="false" outlineLevel="0" collapsed="false">
      <c r="A344" s="21"/>
    </row>
    <row r="345" customFormat="false" ht="15" hidden="false" customHeight="false" outlineLevel="0" collapsed="false">
      <c r="A345" s="6" t="s">
        <v>4</v>
      </c>
      <c r="B345" s="7" t="s">
        <v>5</v>
      </c>
      <c r="C345" s="8" t="s">
        <v>6</v>
      </c>
      <c r="D345" s="9" t="s">
        <v>7</v>
      </c>
      <c r="E345" s="10" t="s">
        <v>8</v>
      </c>
    </row>
    <row r="346" customFormat="false" ht="15" hidden="false" customHeight="false" outlineLevel="0" collapsed="false">
      <c r="A346" s="11" t="n">
        <v>1</v>
      </c>
      <c r="B346" s="23" t="s">
        <v>263</v>
      </c>
      <c r="C346" s="13" t="n">
        <v>416500</v>
      </c>
      <c r="D346" s="13" t="n">
        <v>416500</v>
      </c>
      <c r="E346" s="14" t="n">
        <f aca="false">C346-D346</f>
        <v>0</v>
      </c>
    </row>
    <row r="347" customFormat="false" ht="15" hidden="false" customHeight="false" outlineLevel="0" collapsed="false">
      <c r="A347" s="11" t="n">
        <v>2</v>
      </c>
      <c r="B347" s="23" t="s">
        <v>264</v>
      </c>
      <c r="C347" s="13" t="n">
        <v>416500</v>
      </c>
      <c r="D347" s="13" t="n">
        <f aca="false">70000+346500</f>
        <v>416500</v>
      </c>
      <c r="E347" s="14" t="n">
        <f aca="false">C347-D347</f>
        <v>0</v>
      </c>
    </row>
    <row r="348" customFormat="false" ht="15" hidden="false" customHeight="false" outlineLevel="0" collapsed="false">
      <c r="A348" s="11" t="n">
        <v>3</v>
      </c>
      <c r="B348" s="23" t="s">
        <v>265</v>
      </c>
      <c r="C348" s="13" t="n">
        <v>416500</v>
      </c>
      <c r="D348" s="13" t="n">
        <f aca="false">66500+150000+200000</f>
        <v>416500</v>
      </c>
      <c r="E348" s="14" t="n">
        <f aca="false">C348-D348</f>
        <v>0</v>
      </c>
    </row>
    <row r="349" customFormat="false" ht="15" hidden="false" customHeight="false" outlineLevel="0" collapsed="false">
      <c r="A349" s="11" t="n">
        <v>4</v>
      </c>
      <c r="B349" s="23" t="s">
        <v>266</v>
      </c>
      <c r="C349" s="13" t="n">
        <v>416500</v>
      </c>
      <c r="D349" s="13" t="n">
        <f aca="false">200000+60000+50000+20000+16500+70000</f>
        <v>416500</v>
      </c>
      <c r="E349" s="14" t="n">
        <f aca="false">C349-D349</f>
        <v>0</v>
      </c>
    </row>
    <row r="350" customFormat="false" ht="15" hidden="false" customHeight="false" outlineLevel="0" collapsed="false">
      <c r="A350" s="11" t="n">
        <v>5</v>
      </c>
      <c r="B350" s="23" t="s">
        <v>267</v>
      </c>
      <c r="C350" s="13" t="n">
        <v>416500</v>
      </c>
      <c r="D350" s="13" t="n">
        <f aca="false">200000+216500</f>
        <v>416500</v>
      </c>
      <c r="E350" s="14" t="n">
        <f aca="false">C350-D350</f>
        <v>0</v>
      </c>
    </row>
    <row r="351" customFormat="false" ht="15" hidden="false" customHeight="false" outlineLevel="0" collapsed="false">
      <c r="A351" s="11" t="n">
        <v>6</v>
      </c>
      <c r="B351" s="23" t="s">
        <v>268</v>
      </c>
      <c r="C351" s="13" t="n">
        <v>416500</v>
      </c>
      <c r="D351" s="13" t="n">
        <f aca="false">416500</f>
        <v>416500</v>
      </c>
      <c r="E351" s="14" t="n">
        <f aca="false">C351-D351</f>
        <v>0</v>
      </c>
    </row>
    <row r="352" customFormat="false" ht="15" hidden="false" customHeight="false" outlineLevel="0" collapsed="false">
      <c r="A352" s="11" t="n">
        <v>7</v>
      </c>
      <c r="B352" s="23" t="s">
        <v>269</v>
      </c>
      <c r="C352" s="13" t="n">
        <v>416500</v>
      </c>
      <c r="D352" s="13"/>
      <c r="E352" s="14" t="n">
        <f aca="false">C352-D352</f>
        <v>416500</v>
      </c>
    </row>
    <row r="353" customFormat="false" ht="15" hidden="false" customHeight="false" outlineLevel="0" collapsed="false">
      <c r="A353" s="11" t="n">
        <v>8</v>
      </c>
      <c r="B353" s="23" t="s">
        <v>270</v>
      </c>
      <c r="C353" s="13" t="n">
        <v>416500</v>
      </c>
      <c r="D353" s="13"/>
      <c r="E353" s="14" t="n">
        <f aca="false">C353-D353</f>
        <v>416500</v>
      </c>
    </row>
    <row r="354" customFormat="false" ht="15" hidden="false" customHeight="false" outlineLevel="0" collapsed="false">
      <c r="A354" s="11" t="n">
        <v>9</v>
      </c>
      <c r="B354" s="23" t="s">
        <v>271</v>
      </c>
      <c r="C354" s="13" t="n">
        <v>416500</v>
      </c>
      <c r="D354" s="13"/>
      <c r="E354" s="14" t="n">
        <f aca="false">C354-D354</f>
        <v>416500</v>
      </c>
    </row>
    <row r="355" customFormat="false" ht="15" hidden="false" customHeight="false" outlineLevel="0" collapsed="false">
      <c r="A355" s="11" t="n">
        <v>10</v>
      </c>
      <c r="B355" s="23" t="s">
        <v>272</v>
      </c>
      <c r="C355" s="13" t="n">
        <v>416500</v>
      </c>
      <c r="D355" s="13" t="n">
        <f aca="false">170000+220000+26500</f>
        <v>416500</v>
      </c>
      <c r="E355" s="14" t="n">
        <f aca="false">C355-D355</f>
        <v>0</v>
      </c>
    </row>
    <row r="356" customFormat="false" ht="15" hidden="false" customHeight="false" outlineLevel="0" collapsed="false">
      <c r="A356" s="11" t="n">
        <v>11</v>
      </c>
      <c r="B356" s="23" t="s">
        <v>273</v>
      </c>
      <c r="C356" s="13" t="n">
        <v>416500</v>
      </c>
      <c r="D356" s="13"/>
      <c r="E356" s="14" t="n">
        <f aca="false">C356-D356</f>
        <v>416500</v>
      </c>
    </row>
    <row r="357" customFormat="false" ht="15" hidden="false" customHeight="false" outlineLevel="0" collapsed="false">
      <c r="A357" s="11" t="n">
        <v>12</v>
      </c>
      <c r="B357" s="23" t="s">
        <v>274</v>
      </c>
      <c r="C357" s="13" t="n">
        <v>416500</v>
      </c>
      <c r="D357" s="13" t="n">
        <f aca="false">116500+100000+100000+50000+50000</f>
        <v>416500</v>
      </c>
      <c r="E357" s="14" t="n">
        <f aca="false">C357-D357</f>
        <v>0</v>
      </c>
    </row>
    <row r="358" customFormat="false" ht="15" hidden="false" customHeight="false" outlineLevel="0" collapsed="false">
      <c r="A358" s="11" t="n">
        <v>13</v>
      </c>
      <c r="B358" s="23" t="s">
        <v>275</v>
      </c>
      <c r="C358" s="13" t="n">
        <v>416500</v>
      </c>
      <c r="D358" s="13" t="n">
        <f aca="false">216500+200000</f>
        <v>416500</v>
      </c>
      <c r="E358" s="14" t="n">
        <f aca="false">C358-D358</f>
        <v>0</v>
      </c>
    </row>
    <row r="359" customFormat="false" ht="15" hidden="false" customHeight="false" outlineLevel="0" collapsed="false">
      <c r="A359" s="11" t="n">
        <v>14</v>
      </c>
      <c r="B359" s="23" t="s">
        <v>276</v>
      </c>
      <c r="C359" s="13" t="n">
        <v>416500</v>
      </c>
      <c r="D359" s="13" t="n">
        <v>416500</v>
      </c>
      <c r="E359" s="14" t="n">
        <f aca="false">C359-D359</f>
        <v>0</v>
      </c>
    </row>
    <row r="360" customFormat="false" ht="15" hidden="false" customHeight="false" outlineLevel="0" collapsed="false">
      <c r="A360" s="11" t="n">
        <v>15</v>
      </c>
      <c r="B360" s="23" t="s">
        <v>277</v>
      </c>
      <c r="C360" s="13" t="n">
        <v>416500</v>
      </c>
      <c r="D360" s="13" t="n">
        <f aca="false">416500</f>
        <v>416500</v>
      </c>
      <c r="E360" s="14" t="n">
        <f aca="false">C360-D360</f>
        <v>0</v>
      </c>
    </row>
    <row r="361" customFormat="false" ht="15" hidden="false" customHeight="false" outlineLevel="0" collapsed="false">
      <c r="A361" s="11" t="n">
        <v>16</v>
      </c>
      <c r="B361" s="23" t="s">
        <v>278</v>
      </c>
      <c r="C361" s="13" t="n">
        <v>416500</v>
      </c>
      <c r="D361" s="13" t="n">
        <f aca="false">100000+316500</f>
        <v>416500</v>
      </c>
      <c r="E361" s="14" t="n">
        <f aca="false">C361-D361</f>
        <v>0</v>
      </c>
    </row>
    <row r="362" customFormat="false" ht="15" hidden="false" customHeight="false" outlineLevel="0" collapsed="false">
      <c r="A362" s="11" t="n">
        <v>17</v>
      </c>
      <c r="B362" s="23" t="s">
        <v>279</v>
      </c>
      <c r="C362" s="13" t="n">
        <v>416500</v>
      </c>
      <c r="D362" s="13" t="n">
        <f aca="false">50000+316500+50000</f>
        <v>416500</v>
      </c>
      <c r="E362" s="14" t="n">
        <f aca="false">C362-D362</f>
        <v>0</v>
      </c>
    </row>
    <row r="363" customFormat="false" ht="15" hidden="false" customHeight="false" outlineLevel="0" collapsed="false">
      <c r="A363" s="11" t="n">
        <v>18</v>
      </c>
      <c r="B363" s="23" t="s">
        <v>280</v>
      </c>
      <c r="C363" s="13" t="n">
        <v>416500</v>
      </c>
      <c r="D363" s="13" t="n">
        <f aca="false">316500+100000</f>
        <v>416500</v>
      </c>
      <c r="E363" s="14" t="n">
        <f aca="false">C363-D363</f>
        <v>0</v>
      </c>
    </row>
    <row r="364" customFormat="false" ht="15" hidden="false" customHeight="false" outlineLevel="0" collapsed="false">
      <c r="A364" s="11" t="n">
        <v>19</v>
      </c>
      <c r="B364" s="23" t="s">
        <v>281</v>
      </c>
      <c r="C364" s="13" t="n">
        <v>416500</v>
      </c>
      <c r="D364" s="13"/>
      <c r="E364" s="14" t="n">
        <f aca="false">C364-D364</f>
        <v>416500</v>
      </c>
    </row>
    <row r="365" customFormat="false" ht="15" hidden="false" customHeight="false" outlineLevel="0" collapsed="false">
      <c r="A365" s="11" t="n">
        <v>20</v>
      </c>
      <c r="B365" s="23" t="s">
        <v>282</v>
      </c>
      <c r="C365" s="13" t="n">
        <v>416500</v>
      </c>
      <c r="D365" s="13" t="n">
        <f aca="false">100000+200000+116500</f>
        <v>416500</v>
      </c>
      <c r="E365" s="14" t="n">
        <f aca="false">C365-D365</f>
        <v>0</v>
      </c>
    </row>
    <row r="366" customFormat="false" ht="15" hidden="false" customHeight="false" outlineLevel="0" collapsed="false">
      <c r="A366" s="11" t="n">
        <v>21</v>
      </c>
      <c r="B366" s="23" t="s">
        <v>283</v>
      </c>
      <c r="C366" s="13" t="n">
        <v>416500</v>
      </c>
      <c r="D366" s="13" t="n">
        <f aca="false">170000+130000+116500</f>
        <v>416500</v>
      </c>
      <c r="E366" s="14" t="n">
        <f aca="false">C366-D366</f>
        <v>0</v>
      </c>
    </row>
    <row r="367" customFormat="false" ht="15" hidden="false" customHeight="false" outlineLevel="0" collapsed="false">
      <c r="A367" s="11" t="n">
        <v>22</v>
      </c>
      <c r="B367" s="23" t="s">
        <v>284</v>
      </c>
      <c r="C367" s="13" t="n">
        <v>416500</v>
      </c>
      <c r="D367" s="13" t="n">
        <v>416500</v>
      </c>
      <c r="E367" s="14" t="n">
        <f aca="false">C367-D367</f>
        <v>0</v>
      </c>
    </row>
    <row r="368" customFormat="false" ht="15" hidden="false" customHeight="false" outlineLevel="0" collapsed="false">
      <c r="A368" s="11" t="n">
        <v>23</v>
      </c>
      <c r="B368" s="37" t="s">
        <v>285</v>
      </c>
      <c r="C368" s="13" t="n">
        <v>416500</v>
      </c>
      <c r="D368" s="13"/>
      <c r="E368" s="14" t="n">
        <f aca="false">C368-D368</f>
        <v>416500</v>
      </c>
    </row>
    <row r="369" customFormat="false" ht="19.7" hidden="false" customHeight="false" outlineLevel="0" collapsed="false">
      <c r="A369" s="29"/>
      <c r="B369" s="17" t="s">
        <v>42</v>
      </c>
      <c r="C369" s="18" t="n">
        <f aca="false">SUM(C346:C368)</f>
        <v>9579500</v>
      </c>
      <c r="D369" s="19" t="n">
        <f aca="false">SUM(D346:D368)</f>
        <v>7080500</v>
      </c>
      <c r="E369" s="41" t="n">
        <f aca="false">SUM(E346:E368)</f>
        <v>2499000</v>
      </c>
    </row>
    <row r="370" customFormat="false" ht="15" hidden="false" customHeight="false" outlineLevel="0" collapsed="false">
      <c r="A370" s="21"/>
      <c r="D370" s="31"/>
      <c r="E370" s="32"/>
    </row>
    <row r="382" customFormat="false" ht="17.35" hidden="false" customHeight="false" outlineLevel="0" collapsed="false">
      <c r="A382" s="22"/>
      <c r="B382" s="2" t="s">
        <v>0</v>
      </c>
    </row>
    <row r="383" customFormat="false" ht="15" hidden="false" customHeight="false" outlineLevel="0" collapsed="false">
      <c r="A383" s="21"/>
    </row>
    <row r="384" customFormat="false" ht="17.35" hidden="false" customHeight="false" outlineLevel="0" collapsed="false">
      <c r="A384" s="21"/>
      <c r="B384" s="4" t="s">
        <v>2</v>
      </c>
    </row>
    <row r="385" customFormat="false" ht="15" hidden="false" customHeight="false" outlineLevel="0" collapsed="false">
      <c r="A385" s="21"/>
      <c r="B385" s="5" t="s">
        <v>286</v>
      </c>
    </row>
    <row r="386" customFormat="false" ht="15" hidden="false" customHeight="false" outlineLevel="0" collapsed="false">
      <c r="A386" s="21"/>
    </row>
    <row r="387" customFormat="false" ht="15" hidden="false" customHeight="false" outlineLevel="0" collapsed="false">
      <c r="A387" s="42" t="s">
        <v>4</v>
      </c>
      <c r="B387" s="43" t="s">
        <v>5</v>
      </c>
      <c r="C387" s="8" t="s">
        <v>6</v>
      </c>
      <c r="D387" s="9" t="s">
        <v>7</v>
      </c>
      <c r="E387" s="10" t="s">
        <v>8</v>
      </c>
    </row>
    <row r="388" customFormat="false" ht="15" hidden="false" customHeight="false" outlineLevel="0" collapsed="false">
      <c r="A388" s="44" t="n">
        <v>2</v>
      </c>
      <c r="B388" s="45" t="s">
        <v>287</v>
      </c>
      <c r="C388" s="46" t="n">
        <v>416500</v>
      </c>
      <c r="D388" s="46" t="n">
        <f aca="false">230000+120000+66500</f>
        <v>416500</v>
      </c>
      <c r="E388" s="47" t="n">
        <f aca="false">C388-D388</f>
        <v>0</v>
      </c>
    </row>
    <row r="389" customFormat="false" ht="15" hidden="false" customHeight="false" outlineLevel="0" collapsed="false">
      <c r="A389" s="44"/>
      <c r="B389" s="48" t="s">
        <v>288</v>
      </c>
      <c r="C389" s="46" t="n">
        <v>416500</v>
      </c>
      <c r="D389" s="46" t="n">
        <f aca="false">220000+200000</f>
        <v>420000</v>
      </c>
      <c r="E389" s="47" t="n">
        <f aca="false">C389-D389</f>
        <v>-3500</v>
      </c>
    </row>
    <row r="390" customFormat="false" ht="15" hidden="false" customHeight="false" outlineLevel="0" collapsed="false">
      <c r="A390" s="44" t="n">
        <v>3</v>
      </c>
      <c r="B390" s="48" t="s">
        <v>289</v>
      </c>
      <c r="C390" s="46" t="n">
        <v>416500</v>
      </c>
      <c r="D390" s="46" t="n">
        <v>130000</v>
      </c>
      <c r="E390" s="47" t="n">
        <f aca="false">C390-D390</f>
        <v>286500</v>
      </c>
    </row>
    <row r="391" customFormat="false" ht="15" hidden="false" customHeight="false" outlineLevel="0" collapsed="false">
      <c r="A391" s="44" t="n">
        <v>5</v>
      </c>
      <c r="B391" s="45" t="s">
        <v>290</v>
      </c>
      <c r="C391" s="46" t="n">
        <v>416500</v>
      </c>
      <c r="D391" s="46" t="n">
        <f aca="false">73500+100000+100000+20000+30000+93000</f>
        <v>416500</v>
      </c>
      <c r="E391" s="47" t="n">
        <f aca="false">C391-D391</f>
        <v>0</v>
      </c>
    </row>
    <row r="392" customFormat="false" ht="15" hidden="false" customHeight="false" outlineLevel="0" collapsed="false">
      <c r="A392" s="44" t="n">
        <v>10</v>
      </c>
      <c r="B392" s="45" t="s">
        <v>291</v>
      </c>
      <c r="C392" s="46" t="n">
        <v>416500</v>
      </c>
      <c r="D392" s="46" t="n">
        <f aca="false">16500+20000+50000+30000+110000+20000+30000+50000+90000</f>
        <v>416500</v>
      </c>
      <c r="E392" s="47" t="n">
        <f aca="false">C392-D392</f>
        <v>0</v>
      </c>
    </row>
    <row r="393" customFormat="false" ht="15" hidden="false" customHeight="false" outlineLevel="0" collapsed="false">
      <c r="A393" s="44" t="n">
        <v>12</v>
      </c>
      <c r="B393" s="45" t="s">
        <v>292</v>
      </c>
      <c r="C393" s="46" t="n">
        <v>416500</v>
      </c>
      <c r="D393" s="46" t="n">
        <f aca="false">16500+150000+250000</f>
        <v>416500</v>
      </c>
      <c r="E393" s="47" t="n">
        <f aca="false">C393-D393</f>
        <v>0</v>
      </c>
    </row>
    <row r="394" customFormat="false" ht="15" hidden="false" customHeight="false" outlineLevel="0" collapsed="false">
      <c r="A394" s="44" t="n">
        <v>14</v>
      </c>
      <c r="B394" s="45" t="s">
        <v>293</v>
      </c>
      <c r="C394" s="46" t="n">
        <v>416500</v>
      </c>
      <c r="D394" s="46" t="n">
        <f aca="false">10000+40000</f>
        <v>50000</v>
      </c>
      <c r="E394" s="47" t="n">
        <f aca="false">C394-D394</f>
        <v>366500</v>
      </c>
    </row>
    <row r="395" customFormat="false" ht="15" hidden="false" customHeight="false" outlineLevel="0" collapsed="false">
      <c r="A395" s="44" t="n">
        <v>15</v>
      </c>
      <c r="B395" s="45" t="s">
        <v>294</v>
      </c>
      <c r="C395" s="46" t="n">
        <v>416500</v>
      </c>
      <c r="D395" s="46" t="n">
        <f aca="false">33500+180000+200000+3000</f>
        <v>416500</v>
      </c>
      <c r="E395" s="47" t="n">
        <f aca="false">C395-D395</f>
        <v>0</v>
      </c>
    </row>
    <row r="396" customFormat="false" ht="15" hidden="false" customHeight="false" outlineLevel="0" collapsed="false">
      <c r="A396" s="44" t="n">
        <v>16</v>
      </c>
      <c r="B396" s="45" t="s">
        <v>295</v>
      </c>
      <c r="C396" s="46" t="n">
        <v>416500</v>
      </c>
      <c r="D396" s="46" t="n">
        <f aca="false">173500+26000+20000+197000</f>
        <v>416500</v>
      </c>
      <c r="E396" s="47" t="n">
        <f aca="false">C396-D396</f>
        <v>0</v>
      </c>
    </row>
    <row r="397" customFormat="false" ht="15" hidden="false" customHeight="false" outlineLevel="0" collapsed="false">
      <c r="A397" s="44" t="n">
        <v>18</v>
      </c>
      <c r="B397" s="48" t="s">
        <v>296</v>
      </c>
      <c r="C397" s="46" t="n">
        <v>416500</v>
      </c>
      <c r="D397" s="46" t="n">
        <f aca="false">216000+100000+100500</f>
        <v>416500</v>
      </c>
      <c r="E397" s="47" t="n">
        <f aca="false">C397-D397</f>
        <v>0</v>
      </c>
    </row>
    <row r="398" customFormat="false" ht="15" hidden="false" customHeight="false" outlineLevel="0" collapsed="false">
      <c r="A398" s="44" t="n">
        <v>19</v>
      </c>
      <c r="B398" s="49" t="s">
        <v>297</v>
      </c>
      <c r="C398" s="46" t="n">
        <v>416500</v>
      </c>
      <c r="D398" s="46"/>
      <c r="E398" s="47" t="n">
        <f aca="false">C398-D398</f>
        <v>416500</v>
      </c>
    </row>
    <row r="399" customFormat="false" ht="15" hidden="false" customHeight="false" outlineLevel="0" collapsed="false">
      <c r="A399" s="44" t="n">
        <v>20</v>
      </c>
      <c r="B399" s="45" t="s">
        <v>298</v>
      </c>
      <c r="C399" s="46" t="n">
        <v>416500</v>
      </c>
      <c r="D399" s="46" t="n">
        <v>53500</v>
      </c>
      <c r="E399" s="47" t="n">
        <f aca="false">C399-D399</f>
        <v>363000</v>
      </c>
    </row>
    <row r="400" customFormat="false" ht="15" hidden="false" customHeight="false" outlineLevel="0" collapsed="false">
      <c r="A400" s="44" t="n">
        <v>21</v>
      </c>
      <c r="B400" s="45" t="s">
        <v>299</v>
      </c>
      <c r="C400" s="46" t="n">
        <v>416500</v>
      </c>
      <c r="D400" s="46" t="n">
        <f aca="false">208000+208500</f>
        <v>416500</v>
      </c>
      <c r="E400" s="47" t="n">
        <f aca="false">C400-D400</f>
        <v>0</v>
      </c>
    </row>
    <row r="401" customFormat="false" ht="15" hidden="false" customHeight="false" outlineLevel="0" collapsed="false">
      <c r="A401" s="44" t="n">
        <v>22</v>
      </c>
      <c r="B401" s="45" t="s">
        <v>300</v>
      </c>
      <c r="C401" s="46" t="n">
        <v>416500</v>
      </c>
      <c r="D401" s="46" t="n">
        <f aca="false">15000+50000+215000+115000+21500</f>
        <v>416500</v>
      </c>
      <c r="E401" s="47" t="n">
        <f aca="false">C401-D401</f>
        <v>0</v>
      </c>
    </row>
    <row r="402" customFormat="false" ht="15" hidden="false" customHeight="false" outlineLevel="0" collapsed="false">
      <c r="A402" s="44" t="n">
        <v>23</v>
      </c>
      <c r="B402" s="45" t="s">
        <v>301</v>
      </c>
      <c r="C402" s="46" t="n">
        <v>416500</v>
      </c>
      <c r="D402" s="46" t="n">
        <f aca="false">200000+216500</f>
        <v>416500</v>
      </c>
      <c r="E402" s="47" t="n">
        <f aca="false">C402-D402</f>
        <v>0</v>
      </c>
    </row>
    <row r="403" customFormat="false" ht="15" hidden="false" customHeight="false" outlineLevel="0" collapsed="false">
      <c r="A403" s="44" t="n">
        <v>24</v>
      </c>
      <c r="B403" s="45" t="s">
        <v>302</v>
      </c>
      <c r="C403" s="46" t="n">
        <v>416500</v>
      </c>
      <c r="D403" s="46" t="n">
        <f aca="false">150000+120000+100000+46500</f>
        <v>416500</v>
      </c>
      <c r="E403" s="47" t="n">
        <f aca="false">C403-D403</f>
        <v>0</v>
      </c>
    </row>
    <row r="404" customFormat="false" ht="15" hidden="false" customHeight="false" outlineLevel="0" collapsed="false">
      <c r="A404" s="44" t="n">
        <v>25</v>
      </c>
      <c r="B404" s="45" t="s">
        <v>303</v>
      </c>
      <c r="C404" s="46" t="n">
        <v>416500</v>
      </c>
      <c r="D404" s="46" t="n">
        <f aca="false">50000+150000+200000+16500</f>
        <v>416500</v>
      </c>
      <c r="E404" s="47" t="n">
        <f aca="false">C404-D404</f>
        <v>0</v>
      </c>
    </row>
    <row r="405" customFormat="false" ht="15" hidden="false" customHeight="false" outlineLevel="0" collapsed="false">
      <c r="A405" s="44" t="n">
        <v>26</v>
      </c>
      <c r="B405" s="48" t="s">
        <v>304</v>
      </c>
      <c r="C405" s="46" t="n">
        <v>416500</v>
      </c>
      <c r="D405" s="46" t="n">
        <f aca="false">216500</f>
        <v>216500</v>
      </c>
      <c r="E405" s="47" t="n">
        <f aca="false">C405-D405</f>
        <v>200000</v>
      </c>
    </row>
    <row r="406" customFormat="false" ht="15" hidden="false" customHeight="false" outlineLevel="0" collapsed="false">
      <c r="A406" s="44" t="n">
        <v>27</v>
      </c>
      <c r="B406" s="45" t="s">
        <v>305</v>
      </c>
      <c r="C406" s="46" t="n">
        <v>416500</v>
      </c>
      <c r="D406" s="46" t="n">
        <f aca="false">150000+200000+66500</f>
        <v>416500</v>
      </c>
      <c r="E406" s="47" t="n">
        <f aca="false">C406-D406</f>
        <v>0</v>
      </c>
    </row>
    <row r="407" customFormat="false" ht="15" hidden="false" customHeight="false" outlineLevel="0" collapsed="false">
      <c r="A407" s="44" t="n">
        <v>28</v>
      </c>
      <c r="B407" s="45" t="s">
        <v>306</v>
      </c>
      <c r="C407" s="46" t="n">
        <v>416500</v>
      </c>
      <c r="D407" s="46" t="n">
        <f aca="false">83500</f>
        <v>83500</v>
      </c>
      <c r="E407" s="47" t="n">
        <f aca="false">C407-D407</f>
        <v>333000</v>
      </c>
    </row>
    <row r="408" customFormat="false" ht="15" hidden="false" customHeight="false" outlineLevel="0" collapsed="false">
      <c r="A408" s="44" t="n">
        <v>29</v>
      </c>
      <c r="B408" s="45" t="s">
        <v>307</v>
      </c>
      <c r="C408" s="46" t="n">
        <v>416500</v>
      </c>
      <c r="D408" s="46"/>
      <c r="E408" s="47" t="n">
        <f aca="false">C408-D408</f>
        <v>416500</v>
      </c>
    </row>
    <row r="409" customFormat="false" ht="15" hidden="false" customHeight="false" outlineLevel="0" collapsed="false">
      <c r="A409" s="44" t="n">
        <v>30</v>
      </c>
      <c r="B409" s="45" t="s">
        <v>308</v>
      </c>
      <c r="C409" s="46" t="n">
        <v>416500</v>
      </c>
      <c r="D409" s="46" t="n">
        <f aca="false">210000+206500</f>
        <v>416500</v>
      </c>
      <c r="E409" s="47" t="n">
        <f aca="false">C409-D409</f>
        <v>0</v>
      </c>
    </row>
    <row r="410" customFormat="false" ht="15" hidden="false" customHeight="false" outlineLevel="0" collapsed="false">
      <c r="A410" s="44" t="n">
        <v>31</v>
      </c>
      <c r="B410" s="45" t="s">
        <v>309</v>
      </c>
      <c r="C410" s="46" t="n">
        <v>416500</v>
      </c>
      <c r="D410" s="46" t="n">
        <f aca="false">100000+33500+83000+200000</f>
        <v>416500</v>
      </c>
      <c r="E410" s="47" t="n">
        <f aca="false">C410-D410</f>
        <v>0</v>
      </c>
    </row>
    <row r="411" customFormat="false" ht="15" hidden="false" customHeight="false" outlineLevel="0" collapsed="false">
      <c r="A411" s="44" t="n">
        <v>32</v>
      </c>
      <c r="B411" s="45" t="s">
        <v>310</v>
      </c>
      <c r="C411" s="46" t="n">
        <v>416500</v>
      </c>
      <c r="D411" s="46" t="n">
        <f aca="false">59500+68000+89000+100000+100000</f>
        <v>416500</v>
      </c>
      <c r="E411" s="47" t="n">
        <f aca="false">C411-D411</f>
        <v>0</v>
      </c>
    </row>
    <row r="412" customFormat="false" ht="15" hidden="false" customHeight="false" outlineLevel="0" collapsed="false">
      <c r="A412" s="44" t="n">
        <v>33</v>
      </c>
      <c r="B412" s="45" t="s">
        <v>311</v>
      </c>
      <c r="C412" s="46" t="n">
        <v>416500</v>
      </c>
      <c r="D412" s="46" t="n">
        <f aca="false">10500+406000</f>
        <v>416500</v>
      </c>
      <c r="E412" s="47" t="n">
        <f aca="false">C412-D412</f>
        <v>0</v>
      </c>
    </row>
    <row r="413" customFormat="false" ht="15" hidden="false" customHeight="false" outlineLevel="0" collapsed="false">
      <c r="A413" s="44" t="n">
        <v>34</v>
      </c>
      <c r="B413" s="45" t="s">
        <v>312</v>
      </c>
      <c r="C413" s="46" t="n">
        <v>416500</v>
      </c>
      <c r="D413" s="46" t="n">
        <f aca="false">13500+86000+200500+116000</f>
        <v>416000</v>
      </c>
      <c r="E413" s="47" t="n">
        <f aca="false">C413-D413</f>
        <v>500</v>
      </c>
    </row>
    <row r="414" customFormat="false" ht="15" hidden="false" customHeight="false" outlineLevel="0" collapsed="false">
      <c r="A414" s="44" t="n">
        <v>35</v>
      </c>
      <c r="B414" s="45" t="s">
        <v>313</v>
      </c>
      <c r="C414" s="46" t="n">
        <v>416500</v>
      </c>
      <c r="D414" s="46" t="n">
        <f aca="false">40000+376500</f>
        <v>416500</v>
      </c>
      <c r="E414" s="47" t="n">
        <f aca="false">C414-D414</f>
        <v>0</v>
      </c>
    </row>
    <row r="415" customFormat="false" ht="15" hidden="false" customHeight="false" outlineLevel="0" collapsed="false">
      <c r="A415" s="44"/>
      <c r="B415" s="45" t="s">
        <v>314</v>
      </c>
      <c r="C415" s="46" t="n">
        <v>416500</v>
      </c>
      <c r="D415" s="46" t="n">
        <f aca="false">16500+50000+350000</f>
        <v>416500</v>
      </c>
      <c r="E415" s="47" t="n">
        <f aca="false">C415-D415</f>
        <v>0</v>
      </c>
    </row>
    <row r="416" customFormat="false" ht="15" hidden="false" customHeight="false" outlineLevel="0" collapsed="false">
      <c r="A416" s="44" t="n">
        <v>37</v>
      </c>
      <c r="B416" s="45" t="s">
        <v>315</v>
      </c>
      <c r="C416" s="46" t="n">
        <v>416500</v>
      </c>
      <c r="D416" s="50" t="n">
        <f aca="false">200000+216500</f>
        <v>416500</v>
      </c>
      <c r="E416" s="47" t="n">
        <f aca="false">C416-D416</f>
        <v>0</v>
      </c>
    </row>
    <row r="417" customFormat="false" ht="15" hidden="false" customHeight="false" outlineLevel="0" collapsed="false">
      <c r="A417" s="44" t="n">
        <v>38</v>
      </c>
      <c r="B417" s="45" t="s">
        <v>316</v>
      </c>
      <c r="C417" s="46" t="n">
        <v>416500</v>
      </c>
      <c r="D417" s="50" t="n">
        <f aca="false">280000+70000+66500</f>
        <v>416500</v>
      </c>
      <c r="E417" s="47" t="n">
        <f aca="false">C417-D417</f>
        <v>0</v>
      </c>
    </row>
    <row r="418" customFormat="false" ht="15" hidden="false" customHeight="false" outlineLevel="0" collapsed="false">
      <c r="A418" s="44" t="n">
        <v>39</v>
      </c>
      <c r="B418" s="45" t="s">
        <v>317</v>
      </c>
      <c r="C418" s="46" t="n">
        <v>416500</v>
      </c>
      <c r="D418" s="50" t="n">
        <f aca="false">216500+200000</f>
        <v>416500</v>
      </c>
      <c r="E418" s="47" t="n">
        <f aca="false">C418-D418</f>
        <v>0</v>
      </c>
    </row>
    <row r="419" customFormat="false" ht="15" hidden="false" customHeight="false" outlineLevel="0" collapsed="false">
      <c r="A419" s="44"/>
      <c r="B419" s="48" t="s">
        <v>318</v>
      </c>
      <c r="C419" s="46" t="n">
        <v>416500</v>
      </c>
      <c r="D419" s="50" t="n">
        <v>416500</v>
      </c>
      <c r="E419" s="47" t="n">
        <f aca="false">C419-D419</f>
        <v>0</v>
      </c>
    </row>
    <row r="420" customFormat="false" ht="15" hidden="false" customHeight="false" outlineLevel="0" collapsed="false">
      <c r="A420" s="44" t="n">
        <v>41</v>
      </c>
      <c r="B420" s="48" t="s">
        <v>319</v>
      </c>
      <c r="C420" s="46" t="n">
        <v>416500</v>
      </c>
      <c r="D420" s="50" t="n">
        <f aca="false">23500</f>
        <v>23500</v>
      </c>
      <c r="E420" s="47" t="n">
        <f aca="false">C420-D420</f>
        <v>393000</v>
      </c>
    </row>
    <row r="421" customFormat="false" ht="15" hidden="false" customHeight="false" outlineLevel="0" collapsed="false">
      <c r="A421" s="44" t="n">
        <v>42</v>
      </c>
      <c r="B421" s="48" t="s">
        <v>320</v>
      </c>
      <c r="C421" s="46" t="n">
        <v>416500</v>
      </c>
      <c r="D421" s="46" t="n">
        <f aca="false">83500+400000</f>
        <v>483500</v>
      </c>
      <c r="E421" s="47" t="n">
        <f aca="false">C421-D421</f>
        <v>-67000</v>
      </c>
    </row>
    <row r="422" customFormat="false" ht="15" hidden="false" customHeight="false" outlineLevel="0" collapsed="false">
      <c r="A422" s="44" t="n">
        <v>44</v>
      </c>
      <c r="B422" s="45" t="s">
        <v>321</v>
      </c>
      <c r="C422" s="46" t="n">
        <v>416500</v>
      </c>
      <c r="D422" s="46" t="n">
        <f aca="false">182000+34500+100000+100000</f>
        <v>416500</v>
      </c>
      <c r="E422" s="47" t="n">
        <f aca="false">C422-D422</f>
        <v>0</v>
      </c>
    </row>
    <row r="423" customFormat="false" ht="15" hidden="false" customHeight="false" outlineLevel="0" collapsed="false">
      <c r="A423" s="44" t="n">
        <v>45</v>
      </c>
      <c r="B423" s="48" t="s">
        <v>322</v>
      </c>
      <c r="C423" s="51" t="n">
        <v>216500</v>
      </c>
      <c r="D423" s="21" t="n">
        <f aca="false">200000+16500</f>
        <v>216500</v>
      </c>
      <c r="E423" s="47" t="n">
        <f aca="false">C423-D423</f>
        <v>0</v>
      </c>
    </row>
    <row r="424" customFormat="false" ht="17.35" hidden="false" customHeight="false" outlineLevel="0" collapsed="false">
      <c r="A424" s="52"/>
      <c r="B424" s="53"/>
      <c r="C424" s="18" t="n">
        <f aca="false">SUM(C388:C423)</f>
        <v>14794000</v>
      </c>
      <c r="D424" s="19" t="n">
        <f aca="false">SUM(D388:D422)</f>
        <v>11872500</v>
      </c>
      <c r="E424" s="20" t="n">
        <f aca="false">SUM(E388:E423)</f>
        <v>2705000</v>
      </c>
    </row>
    <row r="429" customFormat="false" ht="17.35" hidden="false" customHeight="false" outlineLevel="0" collapsed="false">
      <c r="A429" s="22"/>
      <c r="B429" s="2" t="s">
        <v>0</v>
      </c>
    </row>
    <row r="430" customFormat="false" ht="15" hidden="false" customHeight="false" outlineLevel="0" collapsed="false">
      <c r="A430" s="21"/>
    </row>
    <row r="431" customFormat="false" ht="17.35" hidden="false" customHeight="false" outlineLevel="0" collapsed="false">
      <c r="A431" s="21"/>
      <c r="B431" s="4" t="s">
        <v>43</v>
      </c>
    </row>
    <row r="432" customFormat="false" ht="15" hidden="false" customHeight="false" outlineLevel="0" collapsed="false">
      <c r="A432" s="21"/>
      <c r="B432" s="5" t="s">
        <v>286</v>
      </c>
    </row>
    <row r="433" customFormat="false" ht="15" hidden="false" customHeight="false" outlineLevel="0" collapsed="false">
      <c r="A433" s="21"/>
    </row>
    <row r="434" customFormat="false" ht="15" hidden="false" customHeight="false" outlineLevel="0" collapsed="false">
      <c r="A434" s="6" t="s">
        <v>4</v>
      </c>
      <c r="B434" s="7" t="s">
        <v>5</v>
      </c>
      <c r="C434" s="8" t="s">
        <v>6</v>
      </c>
      <c r="D434" s="9" t="s">
        <v>7</v>
      </c>
      <c r="E434" s="10" t="s">
        <v>8</v>
      </c>
    </row>
    <row r="435" customFormat="false" ht="15" hidden="false" customHeight="false" outlineLevel="0" collapsed="false">
      <c r="A435" s="11" t="n">
        <v>1</v>
      </c>
      <c r="B435" s="1" t="s">
        <v>323</v>
      </c>
      <c r="C435" s="13" t="n">
        <v>416500</v>
      </c>
      <c r="D435" s="13" t="n">
        <f aca="false">216500+200000</f>
        <v>416500</v>
      </c>
      <c r="E435" s="14" t="n">
        <f aca="false">C435-D435</f>
        <v>0</v>
      </c>
    </row>
    <row r="436" customFormat="false" ht="15" hidden="false" customHeight="false" outlineLevel="0" collapsed="false">
      <c r="A436" s="11" t="n">
        <v>2</v>
      </c>
      <c r="B436" s="1" t="s">
        <v>324</v>
      </c>
      <c r="C436" s="13" t="n">
        <v>416500</v>
      </c>
      <c r="D436" s="13"/>
      <c r="E436" s="14" t="n">
        <f aca="false">C436-D436</f>
        <v>416500</v>
      </c>
    </row>
    <row r="437" customFormat="false" ht="15" hidden="false" customHeight="false" outlineLevel="0" collapsed="false">
      <c r="A437" s="11" t="n">
        <v>3</v>
      </c>
      <c r="B437" s="34" t="s">
        <v>325</v>
      </c>
      <c r="C437" s="35" t="n">
        <v>416500</v>
      </c>
      <c r="D437" s="35"/>
      <c r="E437" s="14" t="n">
        <v>416500</v>
      </c>
    </row>
    <row r="438" customFormat="false" ht="15" hidden="false" customHeight="false" outlineLevel="0" collapsed="false">
      <c r="A438" s="11" t="n">
        <v>4</v>
      </c>
      <c r="B438" s="23" t="s">
        <v>326</v>
      </c>
      <c r="C438" s="13" t="n">
        <v>416500</v>
      </c>
      <c r="D438" s="13"/>
      <c r="E438" s="14" t="n">
        <f aca="false">C438-D438</f>
        <v>416500</v>
      </c>
    </row>
    <row r="439" customFormat="false" ht="15" hidden="false" customHeight="false" outlineLevel="0" collapsed="false">
      <c r="A439" s="11" t="n">
        <v>5</v>
      </c>
      <c r="B439" s="12" t="s">
        <v>327</v>
      </c>
      <c r="C439" s="13" t="n">
        <v>416500</v>
      </c>
      <c r="D439" s="13"/>
      <c r="E439" s="14" t="n">
        <f aca="false">C439-D439</f>
        <v>416500</v>
      </c>
    </row>
    <row r="440" customFormat="false" ht="15" hidden="false" customHeight="false" outlineLevel="0" collapsed="false">
      <c r="A440" s="11" t="n">
        <v>6</v>
      </c>
      <c r="B440" s="34" t="s">
        <v>328</v>
      </c>
      <c r="C440" s="35" t="n">
        <v>416500</v>
      </c>
      <c r="D440" s="35"/>
      <c r="E440" s="14" t="n">
        <f aca="false">C440-D440</f>
        <v>416500</v>
      </c>
    </row>
    <row r="441" customFormat="false" ht="15" hidden="false" customHeight="false" outlineLevel="0" collapsed="false">
      <c r="A441" s="11" t="n">
        <v>7</v>
      </c>
      <c r="B441" s="12" t="s">
        <v>329</v>
      </c>
      <c r="C441" s="13" t="n">
        <v>416500</v>
      </c>
      <c r="D441" s="13" t="n">
        <f aca="false">40000+10000+150000+100000+35000+50000+31500</f>
        <v>416500</v>
      </c>
      <c r="E441" s="14" t="n">
        <f aca="false">C441-D441</f>
        <v>0</v>
      </c>
    </row>
    <row r="442" customFormat="false" ht="15" hidden="false" customHeight="false" outlineLevel="0" collapsed="false">
      <c r="A442" s="11" t="n">
        <v>8</v>
      </c>
      <c r="B442" s="54" t="s">
        <v>330</v>
      </c>
      <c r="C442" s="13" t="n">
        <v>416500</v>
      </c>
      <c r="D442" s="13" t="n">
        <f aca="false">200000+200000</f>
        <v>400000</v>
      </c>
      <c r="E442" s="14" t="n">
        <f aca="false">C442-D442</f>
        <v>16500</v>
      </c>
    </row>
    <row r="443" customFormat="false" ht="15" hidden="false" customHeight="false" outlineLevel="0" collapsed="false">
      <c r="A443" s="11" t="n">
        <v>9</v>
      </c>
      <c r="B443" s="12" t="s">
        <v>331</v>
      </c>
      <c r="C443" s="13" t="n">
        <v>416500</v>
      </c>
      <c r="D443" s="13" t="n">
        <f aca="false">216500+200000</f>
        <v>416500</v>
      </c>
      <c r="E443" s="14" t="n">
        <f aca="false">C443-D443</f>
        <v>0</v>
      </c>
    </row>
    <row r="444" customFormat="false" ht="15" hidden="false" customHeight="false" outlineLevel="0" collapsed="false">
      <c r="A444" s="11" t="n">
        <v>10</v>
      </c>
      <c r="B444" s="12" t="s">
        <v>332</v>
      </c>
      <c r="C444" s="13" t="n">
        <v>416500</v>
      </c>
      <c r="D444" s="13" t="n">
        <f aca="false">173500+50000+200000</f>
        <v>423500</v>
      </c>
      <c r="E444" s="14" t="n">
        <f aca="false">C444-D444</f>
        <v>-7000</v>
      </c>
    </row>
    <row r="445" customFormat="false" ht="15" hidden="false" customHeight="false" outlineLevel="0" collapsed="false">
      <c r="A445" s="11" t="n">
        <v>11</v>
      </c>
      <c r="B445" s="12" t="s">
        <v>333</v>
      </c>
      <c r="C445" s="13" t="n">
        <v>416500</v>
      </c>
      <c r="D445" s="13" t="n">
        <f aca="false">216500+100000+99950</f>
        <v>416450</v>
      </c>
      <c r="E445" s="14" t="n">
        <f aca="false">C445-D445</f>
        <v>50</v>
      </c>
    </row>
    <row r="446" customFormat="false" ht="15" hidden="false" customHeight="false" outlineLevel="0" collapsed="false">
      <c r="A446" s="11" t="n">
        <v>12</v>
      </c>
      <c r="B446" s="12" t="s">
        <v>334</v>
      </c>
      <c r="C446" s="13" t="n">
        <v>416500</v>
      </c>
      <c r="D446" s="13" t="n">
        <f aca="false">200000+216500</f>
        <v>416500</v>
      </c>
      <c r="E446" s="14" t="n">
        <v>0</v>
      </c>
    </row>
    <row r="447" customFormat="false" ht="15" hidden="false" customHeight="false" outlineLevel="0" collapsed="false">
      <c r="A447" s="11" t="n">
        <v>13</v>
      </c>
      <c r="B447" s="12" t="s">
        <v>335</v>
      </c>
      <c r="C447" s="13" t="n">
        <v>416500</v>
      </c>
      <c r="D447" s="13"/>
      <c r="E447" s="14" t="n">
        <f aca="false">C447-D447</f>
        <v>416500</v>
      </c>
    </row>
    <row r="448" customFormat="false" ht="15" hidden="false" customHeight="false" outlineLevel="0" collapsed="false">
      <c r="A448" s="11" t="n">
        <v>14</v>
      </c>
      <c r="B448" s="12" t="s">
        <v>336</v>
      </c>
      <c r="C448" s="13" t="n">
        <v>416500</v>
      </c>
      <c r="D448" s="13" t="n">
        <f aca="false">367000+50000</f>
        <v>417000</v>
      </c>
      <c r="E448" s="14" t="n">
        <f aca="false">C448-D448</f>
        <v>-500</v>
      </c>
    </row>
    <row r="449" customFormat="false" ht="15" hidden="false" customHeight="false" outlineLevel="0" collapsed="false">
      <c r="A449" s="11" t="n">
        <v>15</v>
      </c>
      <c r="B449" s="12" t="s">
        <v>337</v>
      </c>
      <c r="C449" s="13" t="n">
        <v>416500</v>
      </c>
      <c r="D449" s="13" t="n">
        <f aca="false">50000+70000</f>
        <v>120000</v>
      </c>
      <c r="E449" s="14" t="n">
        <f aca="false">C449-D449</f>
        <v>296500</v>
      </c>
    </row>
    <row r="450" customFormat="false" ht="15" hidden="false" customHeight="false" outlineLevel="0" collapsed="false">
      <c r="A450" s="11" t="n">
        <v>16</v>
      </c>
      <c r="B450" s="12" t="s">
        <v>338</v>
      </c>
      <c r="C450" s="13" t="n">
        <v>416500</v>
      </c>
      <c r="D450" s="13"/>
      <c r="E450" s="14" t="n">
        <f aca="false">C450-D450</f>
        <v>416500</v>
      </c>
    </row>
    <row r="451" customFormat="false" ht="15" hidden="false" customHeight="false" outlineLevel="0" collapsed="false">
      <c r="A451" s="11" t="n">
        <v>17</v>
      </c>
      <c r="B451" s="12" t="s">
        <v>339</v>
      </c>
      <c r="C451" s="13" t="n">
        <v>416500</v>
      </c>
      <c r="D451" s="13"/>
      <c r="E451" s="14" t="n">
        <f aca="false">C451-D451</f>
        <v>416500</v>
      </c>
    </row>
    <row r="452" customFormat="false" ht="15" hidden="false" customHeight="false" outlineLevel="0" collapsed="false">
      <c r="A452" s="11" t="n">
        <v>18</v>
      </c>
      <c r="B452" s="12" t="s">
        <v>340</v>
      </c>
      <c r="C452" s="13" t="n">
        <v>416500</v>
      </c>
      <c r="D452" s="13" t="n">
        <v>416500</v>
      </c>
      <c r="E452" s="14" t="n">
        <f aca="false">C452-D452</f>
        <v>0</v>
      </c>
    </row>
    <row r="453" customFormat="false" ht="15" hidden="false" customHeight="false" outlineLevel="0" collapsed="false">
      <c r="A453" s="11" t="n">
        <v>19</v>
      </c>
      <c r="B453" s="12" t="s">
        <v>341</v>
      </c>
      <c r="C453" s="13" t="n">
        <v>416500</v>
      </c>
      <c r="D453" s="13" t="n">
        <f aca="false">200000+30000+30000+30000+126000+500</f>
        <v>416500</v>
      </c>
      <c r="E453" s="14" t="n">
        <f aca="false">C453-D453</f>
        <v>0</v>
      </c>
    </row>
    <row r="454" customFormat="false" ht="15" hidden="false" customHeight="false" outlineLevel="0" collapsed="false">
      <c r="A454" s="11" t="n">
        <v>20</v>
      </c>
      <c r="B454" s="12" t="s">
        <v>342</v>
      </c>
      <c r="C454" s="13" t="n">
        <v>416500</v>
      </c>
      <c r="D454" s="13"/>
      <c r="E454" s="14" t="n">
        <f aca="false">C454-D454</f>
        <v>416500</v>
      </c>
    </row>
    <row r="455" customFormat="false" ht="15" hidden="false" customHeight="false" outlineLevel="0" collapsed="false">
      <c r="A455" s="11" t="n">
        <v>21</v>
      </c>
      <c r="B455" s="12" t="s">
        <v>343</v>
      </c>
      <c r="C455" s="13" t="n">
        <v>416500</v>
      </c>
      <c r="D455" s="13"/>
      <c r="E455" s="14" t="n">
        <f aca="false">C455-D455</f>
        <v>416500</v>
      </c>
    </row>
    <row r="456" customFormat="false" ht="15" hidden="false" customHeight="false" outlineLevel="0" collapsed="false">
      <c r="A456" s="11" t="n">
        <v>22</v>
      </c>
      <c r="B456" s="12" t="s">
        <v>344</v>
      </c>
      <c r="C456" s="13" t="n">
        <v>416500</v>
      </c>
      <c r="D456" s="13"/>
      <c r="E456" s="14" t="n">
        <f aca="false">C456-D456</f>
        <v>416500</v>
      </c>
    </row>
    <row r="457" customFormat="false" ht="15" hidden="false" customHeight="false" outlineLevel="0" collapsed="false">
      <c r="A457" s="11" t="n">
        <v>23</v>
      </c>
      <c r="B457" s="12" t="s">
        <v>345</v>
      </c>
      <c r="C457" s="13" t="n">
        <v>416500</v>
      </c>
      <c r="D457" s="13"/>
      <c r="E457" s="14" t="n">
        <f aca="false">C457-D457</f>
        <v>416500</v>
      </c>
    </row>
    <row r="458" customFormat="false" ht="15" hidden="false" customHeight="false" outlineLevel="0" collapsed="false">
      <c r="A458" s="11" t="n">
        <v>24</v>
      </c>
      <c r="B458" s="12" t="s">
        <v>346</v>
      </c>
      <c r="C458" s="13" t="n">
        <v>416500</v>
      </c>
      <c r="D458" s="13" t="n">
        <f aca="false">190000+226500</f>
        <v>416500</v>
      </c>
      <c r="E458" s="14" t="n">
        <f aca="false">C458-D458</f>
        <v>0</v>
      </c>
    </row>
    <row r="459" customFormat="false" ht="15" hidden="false" customHeight="false" outlineLevel="0" collapsed="false">
      <c r="A459" s="11" t="n">
        <v>25</v>
      </c>
      <c r="B459" s="12" t="s">
        <v>347</v>
      </c>
      <c r="C459" s="13" t="n">
        <v>416500</v>
      </c>
      <c r="D459" s="13"/>
      <c r="E459" s="14" t="n">
        <f aca="false">C459-D459</f>
        <v>416500</v>
      </c>
    </row>
    <row r="460" customFormat="false" ht="15" hidden="false" customHeight="false" outlineLevel="0" collapsed="false">
      <c r="A460" s="11" t="n">
        <v>26</v>
      </c>
      <c r="B460" s="12" t="s">
        <v>348</v>
      </c>
      <c r="C460" s="13" t="n">
        <v>416500</v>
      </c>
      <c r="D460" s="13" t="n">
        <f aca="false">100000+250000+66500</f>
        <v>416500</v>
      </c>
      <c r="E460" s="14" t="n">
        <f aca="false">C460-D460</f>
        <v>0</v>
      </c>
    </row>
    <row r="461" customFormat="false" ht="15" hidden="false" customHeight="false" outlineLevel="0" collapsed="false">
      <c r="A461" s="11" t="n">
        <v>27</v>
      </c>
      <c r="B461" s="12" t="s">
        <v>349</v>
      </c>
      <c r="C461" s="13" t="n">
        <v>416500</v>
      </c>
      <c r="D461" s="13"/>
      <c r="E461" s="14" t="n">
        <f aca="false">C461-D461</f>
        <v>416500</v>
      </c>
    </row>
    <row r="462" customFormat="false" ht="15" hidden="false" customHeight="false" outlineLevel="0" collapsed="false">
      <c r="A462" s="11" t="n">
        <v>28</v>
      </c>
      <c r="B462" s="12" t="s">
        <v>350</v>
      </c>
      <c r="C462" s="13" t="n">
        <v>416500</v>
      </c>
      <c r="D462" s="13"/>
      <c r="E462" s="14" t="n">
        <f aca="false">C462-D462</f>
        <v>416500</v>
      </c>
    </row>
    <row r="463" customFormat="false" ht="19.7" hidden="false" customHeight="false" outlineLevel="0" collapsed="false">
      <c r="A463" s="29"/>
      <c r="B463" s="17" t="s">
        <v>42</v>
      </c>
      <c r="C463" s="18" t="n">
        <f aca="false">SUM(C435:C462)</f>
        <v>11662000</v>
      </c>
      <c r="D463" s="19" t="n">
        <f aca="false">SUM(D435:D462)</f>
        <v>5108950</v>
      </c>
      <c r="E463" s="20" t="n">
        <f aca="false">SUM(E435:E462)</f>
        <v>6553050</v>
      </c>
    </row>
    <row r="469" customFormat="false" ht="17.35" hidden="false" customHeight="false" outlineLevel="0" collapsed="false">
      <c r="A469" s="22"/>
      <c r="B469" s="2" t="s">
        <v>0</v>
      </c>
    </row>
    <row r="470" customFormat="false" ht="15" hidden="false" customHeight="false" outlineLevel="0" collapsed="false">
      <c r="A470" s="21"/>
    </row>
    <row r="471" customFormat="false" ht="17.35" hidden="false" customHeight="false" outlineLevel="0" collapsed="false">
      <c r="A471" s="21"/>
      <c r="B471" s="4" t="s">
        <v>89</v>
      </c>
    </row>
    <row r="472" customFormat="false" ht="15" hidden="false" customHeight="false" outlineLevel="0" collapsed="false">
      <c r="A472" s="21"/>
      <c r="B472" s="5" t="s">
        <v>286</v>
      </c>
    </row>
    <row r="473" customFormat="false" ht="15" hidden="false" customHeight="false" outlineLevel="0" collapsed="false">
      <c r="A473" s="21"/>
    </row>
    <row r="474" customFormat="false" ht="15" hidden="false" customHeight="false" outlineLevel="0" collapsed="false">
      <c r="A474" s="6" t="s">
        <v>4</v>
      </c>
      <c r="B474" s="7" t="s">
        <v>5</v>
      </c>
      <c r="C474" s="8" t="s">
        <v>6</v>
      </c>
      <c r="D474" s="9" t="s">
        <v>7</v>
      </c>
      <c r="E474" s="10" t="s">
        <v>8</v>
      </c>
    </row>
    <row r="475" customFormat="false" ht="15" hidden="false" customHeight="false" outlineLevel="0" collapsed="false">
      <c r="A475" s="11" t="n">
        <v>1</v>
      </c>
      <c r="B475" s="23" t="s">
        <v>351</v>
      </c>
      <c r="C475" s="13" t="n">
        <v>416500</v>
      </c>
      <c r="D475" s="13" t="n">
        <f aca="false">300000+116500</f>
        <v>416500</v>
      </c>
      <c r="E475" s="14" t="n">
        <f aca="false">C475-D475</f>
        <v>0</v>
      </c>
    </row>
    <row r="476" customFormat="false" ht="15" hidden="false" customHeight="false" outlineLevel="0" collapsed="false">
      <c r="A476" s="11" t="n">
        <v>2</v>
      </c>
      <c r="B476" s="23" t="s">
        <v>352</v>
      </c>
      <c r="C476" s="13" t="n">
        <v>416500</v>
      </c>
      <c r="D476" s="13" t="n">
        <f aca="false">216500+200000</f>
        <v>416500</v>
      </c>
      <c r="E476" s="14" t="n">
        <f aca="false">C476-D476</f>
        <v>0</v>
      </c>
    </row>
    <row r="477" customFormat="false" ht="15" hidden="false" customHeight="false" outlineLevel="0" collapsed="false">
      <c r="A477" s="11" t="n">
        <v>3</v>
      </c>
      <c r="B477" s="23" t="s">
        <v>353</v>
      </c>
      <c r="C477" s="13" t="n">
        <v>416500</v>
      </c>
      <c r="D477" s="13" t="n">
        <f aca="false">140000</f>
        <v>140000</v>
      </c>
      <c r="E477" s="14" t="n">
        <f aca="false">C477-D477</f>
        <v>276500</v>
      </c>
    </row>
    <row r="478" customFormat="false" ht="15" hidden="false" customHeight="false" outlineLevel="0" collapsed="false">
      <c r="A478" s="11" t="n">
        <v>4</v>
      </c>
      <c r="B478" s="34" t="s">
        <v>354</v>
      </c>
      <c r="C478" s="55" t="s">
        <v>355</v>
      </c>
      <c r="D478" s="35" t="n">
        <v>616500</v>
      </c>
      <c r="E478" s="27" t="n">
        <v>616500</v>
      </c>
    </row>
    <row r="479" customFormat="false" ht="15" hidden="false" customHeight="false" outlineLevel="0" collapsed="false">
      <c r="A479" s="11" t="n">
        <v>5</v>
      </c>
      <c r="B479" s="23" t="s">
        <v>356</v>
      </c>
      <c r="C479" s="13" t="n">
        <v>416500</v>
      </c>
      <c r="D479" s="13"/>
      <c r="E479" s="14" t="n">
        <f aca="false">C479-D479</f>
        <v>416500</v>
      </c>
    </row>
    <row r="480" customFormat="false" ht="15" hidden="false" customHeight="false" outlineLevel="0" collapsed="false">
      <c r="A480" s="11" t="n">
        <v>6</v>
      </c>
      <c r="B480" s="23" t="s">
        <v>357</v>
      </c>
      <c r="C480" s="13" t="n">
        <v>416500</v>
      </c>
      <c r="D480" s="13" t="n">
        <v>416500</v>
      </c>
      <c r="E480" s="14" t="n">
        <f aca="false">C480-D480</f>
        <v>0</v>
      </c>
    </row>
    <row r="481" customFormat="false" ht="15" hidden="false" customHeight="false" outlineLevel="0" collapsed="false">
      <c r="A481" s="11" t="n">
        <v>7</v>
      </c>
      <c r="B481" s="23" t="s">
        <v>358</v>
      </c>
      <c r="C481" s="13" t="n">
        <v>416500</v>
      </c>
      <c r="D481" s="13"/>
      <c r="E481" s="14" t="n">
        <f aca="false">C481-D481</f>
        <v>416500</v>
      </c>
    </row>
    <row r="482" customFormat="false" ht="15" hidden="false" customHeight="false" outlineLevel="0" collapsed="false">
      <c r="A482" s="11" t="n">
        <v>8</v>
      </c>
      <c r="B482" s="23" t="s">
        <v>359</v>
      </c>
      <c r="C482" s="13" t="n">
        <v>416500</v>
      </c>
      <c r="D482" s="13"/>
      <c r="E482" s="14" t="n">
        <f aca="false">C482-D482</f>
        <v>416500</v>
      </c>
    </row>
    <row r="483" customFormat="false" ht="15" hidden="false" customHeight="false" outlineLevel="0" collapsed="false">
      <c r="A483" s="11" t="n">
        <v>9</v>
      </c>
      <c r="B483" s="23" t="s">
        <v>360</v>
      </c>
      <c r="C483" s="13" t="n">
        <v>416500</v>
      </c>
      <c r="D483" s="13" t="n">
        <f aca="false">100000+316500</f>
        <v>416500</v>
      </c>
      <c r="E483" s="14" t="n">
        <f aca="false">C483-D483</f>
        <v>0</v>
      </c>
    </row>
    <row r="484" customFormat="false" ht="15" hidden="false" customHeight="false" outlineLevel="0" collapsed="false">
      <c r="A484" s="11" t="n">
        <v>10</v>
      </c>
      <c r="B484" s="56" t="s">
        <v>361</v>
      </c>
      <c r="C484" s="13" t="n">
        <v>416500</v>
      </c>
      <c r="D484" s="13"/>
      <c r="E484" s="14" t="n">
        <f aca="false">C484-D484</f>
        <v>416500</v>
      </c>
    </row>
    <row r="485" customFormat="false" ht="15" hidden="false" customHeight="false" outlineLevel="0" collapsed="false">
      <c r="A485" s="11"/>
      <c r="B485" s="34" t="s">
        <v>362</v>
      </c>
      <c r="C485" s="55" t="s">
        <v>355</v>
      </c>
      <c r="D485" s="35" t="n">
        <v>616500</v>
      </c>
      <c r="E485" s="27" t="n">
        <v>616500</v>
      </c>
    </row>
    <row r="486" customFormat="false" ht="15" hidden="false" customHeight="false" outlineLevel="0" collapsed="false">
      <c r="A486" s="11" t="n">
        <v>11</v>
      </c>
      <c r="B486" s="23" t="s">
        <v>363</v>
      </c>
      <c r="C486" s="13" t="n">
        <v>416500</v>
      </c>
      <c r="D486" s="13" t="n">
        <f aca="false">416500</f>
        <v>416500</v>
      </c>
      <c r="E486" s="14" t="n">
        <f aca="false">C486-D486</f>
        <v>0</v>
      </c>
    </row>
    <row r="487" customFormat="false" ht="15" hidden="false" customHeight="false" outlineLevel="0" collapsed="false">
      <c r="A487" s="11" t="n">
        <v>12</v>
      </c>
      <c r="B487" s="23" t="s">
        <v>364</v>
      </c>
      <c r="C487" s="13" t="n">
        <v>416500</v>
      </c>
      <c r="D487" s="13" t="n">
        <f aca="false">74000+342500</f>
        <v>416500</v>
      </c>
      <c r="E487" s="14" t="n">
        <f aca="false">C487-D487</f>
        <v>0</v>
      </c>
    </row>
    <row r="488" customFormat="false" ht="15" hidden="false" customHeight="false" outlineLevel="0" collapsed="false">
      <c r="A488" s="11" t="n">
        <v>13</v>
      </c>
      <c r="B488" s="23" t="s">
        <v>365</v>
      </c>
      <c r="C488" s="13" t="n">
        <v>416500</v>
      </c>
      <c r="D488" s="13"/>
      <c r="E488" s="14" t="n">
        <f aca="false">C488-D488</f>
        <v>416500</v>
      </c>
    </row>
    <row r="489" customFormat="false" ht="15" hidden="false" customHeight="false" outlineLevel="0" collapsed="false">
      <c r="A489" s="11" t="n">
        <v>14</v>
      </c>
      <c r="B489" s="23" t="s">
        <v>366</v>
      </c>
      <c r="C489" s="13" t="n">
        <v>416500</v>
      </c>
      <c r="D489" s="13" t="n">
        <f aca="false">150000+166000+100500</f>
        <v>416500</v>
      </c>
      <c r="E489" s="14" t="n">
        <f aca="false">C489-D489</f>
        <v>0</v>
      </c>
    </row>
    <row r="490" customFormat="false" ht="15" hidden="false" customHeight="false" outlineLevel="0" collapsed="false">
      <c r="A490" s="11" t="n">
        <v>15</v>
      </c>
      <c r="B490" s="23" t="s">
        <v>367</v>
      </c>
      <c r="C490" s="13" t="n">
        <v>416500</v>
      </c>
      <c r="D490" s="13"/>
      <c r="E490" s="14" t="n">
        <f aca="false">C490-D490</f>
        <v>416500</v>
      </c>
    </row>
    <row r="491" customFormat="false" ht="15" hidden="false" customHeight="false" outlineLevel="0" collapsed="false">
      <c r="A491" s="11" t="n">
        <v>16</v>
      </c>
      <c r="B491" s="23" t="s">
        <v>368</v>
      </c>
      <c r="C491" s="13" t="n">
        <v>416500</v>
      </c>
      <c r="D491" s="13"/>
      <c r="E491" s="14" t="n">
        <f aca="false">C491-D491</f>
        <v>416500</v>
      </c>
    </row>
    <row r="492" customFormat="false" ht="15" hidden="false" customHeight="false" outlineLevel="0" collapsed="false">
      <c r="A492" s="11" t="n">
        <v>17</v>
      </c>
      <c r="B492" s="23" t="s">
        <v>369</v>
      </c>
      <c r="C492" s="13" t="n">
        <v>416500</v>
      </c>
      <c r="D492" s="13"/>
      <c r="E492" s="14" t="n">
        <f aca="false">C492-D492</f>
        <v>416500</v>
      </c>
    </row>
    <row r="493" customFormat="false" ht="15" hidden="false" customHeight="false" outlineLevel="0" collapsed="false">
      <c r="A493" s="11" t="n">
        <v>18</v>
      </c>
      <c r="B493" s="23" t="s">
        <v>370</v>
      </c>
      <c r="C493" s="13" t="n">
        <v>416500</v>
      </c>
      <c r="D493" s="13" t="n">
        <f aca="false">210000+206500</f>
        <v>416500</v>
      </c>
      <c r="E493" s="14" t="n">
        <f aca="false">C493-D493</f>
        <v>0</v>
      </c>
    </row>
    <row r="494" customFormat="false" ht="19.7" hidden="false" customHeight="false" outlineLevel="0" collapsed="false">
      <c r="A494" s="29"/>
      <c r="B494" s="17" t="s">
        <v>42</v>
      </c>
      <c r="C494" s="18" t="n">
        <f aca="false">SUM(C475:C493)</f>
        <v>7080500</v>
      </c>
      <c r="D494" s="19" t="n">
        <f aca="false">SUM(D475:D493)</f>
        <v>4705000</v>
      </c>
      <c r="E494" s="20" t="n">
        <f aca="false">SUM(E475:E493)</f>
        <v>4841500</v>
      </c>
    </row>
    <row r="498" customFormat="false" ht="17.35" hidden="false" customHeight="false" outlineLevel="0" collapsed="false">
      <c r="A498" s="22"/>
      <c r="B498" s="2" t="s">
        <v>0</v>
      </c>
    </row>
    <row r="499" customFormat="false" ht="15" hidden="false" customHeight="false" outlineLevel="0" collapsed="false">
      <c r="A499" s="21"/>
    </row>
    <row r="500" customFormat="false" ht="17.35" hidden="false" customHeight="false" outlineLevel="0" collapsed="false">
      <c r="A500" s="21"/>
      <c r="B500" s="4" t="s">
        <v>371</v>
      </c>
    </row>
    <row r="501" customFormat="false" ht="15" hidden="false" customHeight="false" outlineLevel="0" collapsed="false">
      <c r="A501" s="21"/>
      <c r="B501" s="5" t="s">
        <v>372</v>
      </c>
    </row>
    <row r="502" customFormat="false" ht="15" hidden="false" customHeight="false" outlineLevel="0" collapsed="false">
      <c r="A502" s="21"/>
    </row>
    <row r="503" customFormat="false" ht="15" hidden="false" customHeight="false" outlineLevel="0" collapsed="false">
      <c r="A503" s="6" t="s">
        <v>4</v>
      </c>
      <c r="B503" s="7" t="s">
        <v>5</v>
      </c>
      <c r="C503" s="8" t="s">
        <v>6</v>
      </c>
      <c r="D503" s="9" t="s">
        <v>7</v>
      </c>
      <c r="E503" s="10" t="s">
        <v>8</v>
      </c>
    </row>
    <row r="504" customFormat="false" ht="15" hidden="false" customHeight="false" outlineLevel="0" collapsed="false">
      <c r="A504" s="11" t="n">
        <v>1</v>
      </c>
      <c r="B504" s="23" t="s">
        <v>373</v>
      </c>
      <c r="C504" s="13" t="n">
        <v>416500</v>
      </c>
      <c r="D504" s="13"/>
      <c r="E504" s="14" t="n">
        <f aca="false">C504-D504</f>
        <v>416500</v>
      </c>
    </row>
    <row r="505" customFormat="false" ht="15" hidden="false" customHeight="false" outlineLevel="0" collapsed="false">
      <c r="A505" s="11" t="n">
        <v>2</v>
      </c>
      <c r="B505" s="23" t="s">
        <v>374</v>
      </c>
      <c r="C505" s="13" t="n">
        <v>416500</v>
      </c>
      <c r="D505" s="13"/>
      <c r="E505" s="14" t="n">
        <f aca="false">C505-D505</f>
        <v>416500</v>
      </c>
    </row>
    <row r="506" customFormat="false" ht="15" hidden="false" customHeight="false" outlineLevel="0" collapsed="false">
      <c r="A506" s="11" t="n">
        <v>3</v>
      </c>
      <c r="B506" s="23" t="s">
        <v>375</v>
      </c>
      <c r="C506" s="13" t="n">
        <v>416500</v>
      </c>
      <c r="D506" s="13" t="n">
        <f aca="false">216500+200000</f>
        <v>416500</v>
      </c>
      <c r="E506" s="14" t="n">
        <f aca="false">C506-D506</f>
        <v>0</v>
      </c>
    </row>
    <row r="507" customFormat="false" ht="15" hidden="false" customHeight="false" outlineLevel="0" collapsed="false">
      <c r="A507" s="11" t="n">
        <v>4</v>
      </c>
      <c r="B507" s="23" t="s">
        <v>376</v>
      </c>
      <c r="C507" s="13" t="n">
        <v>416500</v>
      </c>
      <c r="D507" s="13"/>
      <c r="E507" s="14" t="n">
        <f aca="false">C507-D507</f>
        <v>416500</v>
      </c>
    </row>
    <row r="508" customFormat="false" ht="15" hidden="false" customHeight="false" outlineLevel="0" collapsed="false">
      <c r="A508" s="11" t="n">
        <v>5</v>
      </c>
      <c r="B508" s="23" t="s">
        <v>377</v>
      </c>
      <c r="C508" s="13" t="n">
        <v>416500</v>
      </c>
      <c r="D508" s="13" t="n">
        <f aca="false">253500+163000</f>
        <v>416500</v>
      </c>
      <c r="E508" s="14" t="n">
        <f aca="false">C508-D508</f>
        <v>0</v>
      </c>
    </row>
    <row r="509" customFormat="false" ht="15" hidden="false" customHeight="false" outlineLevel="0" collapsed="false">
      <c r="A509" s="11" t="n">
        <v>6</v>
      </c>
      <c r="B509" s="23" t="s">
        <v>378</v>
      </c>
      <c r="C509" s="13" t="n">
        <v>416500</v>
      </c>
      <c r="D509" s="13"/>
      <c r="E509" s="14" t="n">
        <f aca="false">C509-D509</f>
        <v>416500</v>
      </c>
    </row>
    <row r="510" customFormat="false" ht="15" hidden="false" customHeight="false" outlineLevel="0" collapsed="false">
      <c r="A510" s="11" t="n">
        <v>7</v>
      </c>
      <c r="B510" s="23" t="s">
        <v>379</v>
      </c>
      <c r="C510" s="13" t="n">
        <v>416500</v>
      </c>
      <c r="D510" s="13" t="n">
        <f aca="false">216500+200000</f>
        <v>416500</v>
      </c>
      <c r="E510" s="14" t="n">
        <f aca="false">C510-D510</f>
        <v>0</v>
      </c>
    </row>
    <row r="511" customFormat="false" ht="15" hidden="false" customHeight="false" outlineLevel="0" collapsed="false">
      <c r="A511" s="11" t="n">
        <v>8</v>
      </c>
      <c r="B511" s="23" t="s">
        <v>380</v>
      </c>
      <c r="C511" s="13" t="n">
        <v>416500</v>
      </c>
      <c r="D511" s="13" t="n">
        <f aca="false">4500+200000+110000+60000+40000+2000</f>
        <v>416500</v>
      </c>
      <c r="E511" s="14" t="n">
        <f aca="false">C511-D511</f>
        <v>0</v>
      </c>
    </row>
    <row r="512" customFormat="false" ht="15" hidden="false" customHeight="false" outlineLevel="0" collapsed="false">
      <c r="A512" s="11" t="n">
        <v>9</v>
      </c>
      <c r="B512" s="23" t="s">
        <v>381</v>
      </c>
      <c r="C512" s="13" t="n">
        <v>416500</v>
      </c>
      <c r="D512" s="13" t="n">
        <f aca="false">300000+116500</f>
        <v>416500</v>
      </c>
      <c r="E512" s="14" t="n">
        <f aca="false">C512-D512</f>
        <v>0</v>
      </c>
    </row>
    <row r="513" customFormat="false" ht="15" hidden="false" customHeight="false" outlineLevel="0" collapsed="false">
      <c r="A513" s="11" t="n">
        <v>10</v>
      </c>
      <c r="B513" s="23" t="s">
        <v>382</v>
      </c>
      <c r="C513" s="13" t="n">
        <v>416500</v>
      </c>
      <c r="D513" s="13" t="n">
        <f aca="false">250000+166500</f>
        <v>416500</v>
      </c>
      <c r="E513" s="14" t="n">
        <f aca="false">C513-D513</f>
        <v>0</v>
      </c>
    </row>
    <row r="514" customFormat="false" ht="15" hidden="false" customHeight="false" outlineLevel="0" collapsed="false">
      <c r="A514" s="11" t="n">
        <v>11</v>
      </c>
      <c r="B514" s="12" t="s">
        <v>383</v>
      </c>
      <c r="C514" s="13" t="n">
        <v>416500</v>
      </c>
      <c r="D514" s="13" t="n">
        <f aca="false">199500+216500</f>
        <v>416000</v>
      </c>
      <c r="E514" s="14" t="n">
        <f aca="false">C514-D514</f>
        <v>500</v>
      </c>
    </row>
    <row r="515" customFormat="false" ht="15" hidden="false" customHeight="false" outlineLevel="0" collapsed="false">
      <c r="A515" s="11" t="n">
        <v>12</v>
      </c>
      <c r="B515" s="12" t="s">
        <v>384</v>
      </c>
      <c r="C515" s="13" t="n">
        <v>416500</v>
      </c>
      <c r="D515" s="13" t="n">
        <f aca="false">100000+116500+100000+100000</f>
        <v>416500</v>
      </c>
      <c r="E515" s="14" t="n">
        <f aca="false">C515-D515</f>
        <v>0</v>
      </c>
    </row>
    <row r="516" customFormat="false" ht="15" hidden="false" customHeight="false" outlineLevel="0" collapsed="false">
      <c r="A516" s="11" t="n">
        <v>13</v>
      </c>
      <c r="B516" s="12" t="s">
        <v>385</v>
      </c>
      <c r="C516" s="13" t="n">
        <v>416500</v>
      </c>
      <c r="D516" s="13" t="n">
        <v>240000</v>
      </c>
      <c r="E516" s="14" t="n">
        <v>176500</v>
      </c>
    </row>
    <row r="517" customFormat="false" ht="15" hidden="false" customHeight="false" outlineLevel="0" collapsed="false">
      <c r="A517" s="11" t="n">
        <v>14</v>
      </c>
      <c r="B517" s="12" t="s">
        <v>386</v>
      </c>
      <c r="C517" s="13" t="n">
        <v>416500</v>
      </c>
      <c r="D517" s="13" t="n">
        <f aca="false">183500+50000+113000+70000</f>
        <v>416500</v>
      </c>
      <c r="E517" s="14" t="n">
        <f aca="false">C517-D517</f>
        <v>0</v>
      </c>
    </row>
    <row r="518" customFormat="false" ht="15" hidden="false" customHeight="false" outlineLevel="0" collapsed="false">
      <c r="A518" s="11" t="n">
        <v>15</v>
      </c>
      <c r="B518" s="12" t="s">
        <v>387</v>
      </c>
      <c r="C518" s="13" t="n">
        <v>416500</v>
      </c>
      <c r="D518" s="13" t="n">
        <f aca="false">116500+150000</f>
        <v>266500</v>
      </c>
      <c r="E518" s="14" t="n">
        <f aca="false">C518-D518</f>
        <v>150000</v>
      </c>
    </row>
    <row r="519" customFormat="false" ht="15" hidden="false" customHeight="false" outlineLevel="0" collapsed="false">
      <c r="A519" s="11" t="n">
        <v>16</v>
      </c>
      <c r="B519" s="12" t="s">
        <v>388</v>
      </c>
      <c r="C519" s="13" t="n">
        <v>416500</v>
      </c>
      <c r="D519" s="13" t="n">
        <f aca="false">66500+50000+300000</f>
        <v>416500</v>
      </c>
      <c r="E519" s="14" t="n">
        <f aca="false">C519-D519</f>
        <v>0</v>
      </c>
    </row>
    <row r="520" customFormat="false" ht="15" hidden="false" customHeight="false" outlineLevel="0" collapsed="false">
      <c r="A520" s="11" t="n">
        <v>17</v>
      </c>
      <c r="B520" s="12" t="s">
        <v>389</v>
      </c>
      <c r="C520" s="13" t="n">
        <v>416500</v>
      </c>
      <c r="D520" s="13" t="n">
        <f aca="false">10000+120000+45000+241500</f>
        <v>416500</v>
      </c>
      <c r="E520" s="14" t="n">
        <f aca="false">C520-D520</f>
        <v>0</v>
      </c>
    </row>
    <row r="521" customFormat="false" ht="19.7" hidden="false" customHeight="false" outlineLevel="0" collapsed="false">
      <c r="A521" s="29"/>
      <c r="B521" s="17" t="s">
        <v>42</v>
      </c>
      <c r="C521" s="18" t="n">
        <f aca="false">SUM(C504:C520)</f>
        <v>7080500</v>
      </c>
      <c r="D521" s="19" t="n">
        <f aca="false">SUM(D504:D520)</f>
        <v>5087500</v>
      </c>
      <c r="E521" s="20" t="n">
        <f aca="false">SUM(E504:E520)</f>
        <v>1993000</v>
      </c>
    </row>
    <row r="524" customFormat="false" ht="15" hidden="false" customHeight="false" outlineLevel="0" collapsed="false">
      <c r="A524" s="21"/>
      <c r="D524" s="31"/>
      <c r="E524" s="32"/>
    </row>
    <row r="525" customFormat="false" ht="15" hidden="false" customHeight="false" outlineLevel="0" collapsed="false">
      <c r="A525" s="21"/>
      <c r="D525" s="31"/>
      <c r="E525" s="32"/>
    </row>
    <row r="526" customFormat="false" ht="15" hidden="false" customHeight="false" outlineLevel="0" collapsed="false">
      <c r="A526" s="21"/>
      <c r="D526" s="31"/>
      <c r="E526" s="32"/>
    </row>
    <row r="527" customFormat="false" ht="15" hidden="false" customHeight="false" outlineLevel="0" collapsed="false">
      <c r="A527" s="21"/>
      <c r="D527" s="31"/>
      <c r="E527" s="32"/>
    </row>
    <row r="528" customFormat="false" ht="17.35" hidden="false" customHeight="false" outlineLevel="0" collapsed="false">
      <c r="A528" s="22"/>
      <c r="B528" s="2" t="s">
        <v>0</v>
      </c>
    </row>
    <row r="529" customFormat="false" ht="15" hidden="false" customHeight="false" outlineLevel="0" collapsed="false">
      <c r="A529" s="21"/>
    </row>
    <row r="530" customFormat="false" ht="17.35" hidden="false" customHeight="false" outlineLevel="0" collapsed="false">
      <c r="A530" s="21"/>
      <c r="B530" s="4" t="s">
        <v>390</v>
      </c>
    </row>
    <row r="531" customFormat="false" ht="15" hidden="false" customHeight="false" outlineLevel="0" collapsed="false">
      <c r="A531" s="21"/>
      <c r="B531" s="5" t="s">
        <v>372</v>
      </c>
    </row>
    <row r="532" customFormat="false" ht="15" hidden="false" customHeight="false" outlineLevel="0" collapsed="false">
      <c r="A532" s="21"/>
    </row>
    <row r="533" customFormat="false" ht="15" hidden="false" customHeight="false" outlineLevel="0" collapsed="false">
      <c r="A533" s="6" t="s">
        <v>4</v>
      </c>
      <c r="B533" s="7" t="s">
        <v>5</v>
      </c>
      <c r="C533" s="8" t="s">
        <v>6</v>
      </c>
      <c r="D533" s="9" t="s">
        <v>7</v>
      </c>
      <c r="E533" s="10" t="s">
        <v>8</v>
      </c>
    </row>
    <row r="534" customFormat="false" ht="15" hidden="false" customHeight="false" outlineLevel="0" collapsed="false">
      <c r="A534" s="11" t="n">
        <v>1</v>
      </c>
      <c r="B534" s="57" t="s">
        <v>391</v>
      </c>
      <c r="C534" s="58" t="n">
        <v>416500</v>
      </c>
      <c r="D534" s="59" t="n">
        <f aca="false">216500+100000+100000</f>
        <v>416500</v>
      </c>
      <c r="E534" s="60" t="n">
        <v>0</v>
      </c>
    </row>
    <row r="535" customFormat="false" ht="15" hidden="false" customHeight="false" outlineLevel="0" collapsed="false">
      <c r="A535" s="11" t="n">
        <v>2</v>
      </c>
      <c r="B535" s="23" t="s">
        <v>392</v>
      </c>
      <c r="C535" s="13" t="n">
        <v>416500</v>
      </c>
      <c r="D535" s="13" t="n">
        <f aca="false">60000+50000+250000+56500</f>
        <v>416500</v>
      </c>
      <c r="E535" s="61" t="n">
        <f aca="false">C535-D535</f>
        <v>0</v>
      </c>
    </row>
    <row r="536" customFormat="false" ht="15" hidden="false" customHeight="false" outlineLevel="0" collapsed="false">
      <c r="A536" s="11" t="n">
        <v>3</v>
      </c>
      <c r="B536" s="23" t="s">
        <v>393</v>
      </c>
      <c r="C536" s="13" t="n">
        <v>416500</v>
      </c>
      <c r="D536" s="13" t="n">
        <f aca="false">175000+175000+66500</f>
        <v>416500</v>
      </c>
      <c r="E536" s="61" t="n">
        <f aca="false">C536-D536</f>
        <v>0</v>
      </c>
    </row>
    <row r="537" customFormat="false" ht="15" hidden="false" customHeight="false" outlineLevel="0" collapsed="false">
      <c r="A537" s="11" t="n">
        <v>4</v>
      </c>
      <c r="B537" s="23" t="s">
        <v>394</v>
      </c>
      <c r="C537" s="13" t="n">
        <v>416500</v>
      </c>
      <c r="D537" s="13" t="n">
        <v>416500</v>
      </c>
      <c r="E537" s="61" t="n">
        <f aca="false">C537-D537</f>
        <v>0</v>
      </c>
    </row>
    <row r="538" customFormat="false" ht="15" hidden="false" customHeight="false" outlineLevel="0" collapsed="false">
      <c r="A538" s="11" t="n">
        <v>5</v>
      </c>
      <c r="B538" s="23" t="s">
        <v>395</v>
      </c>
      <c r="C538" s="13" t="n">
        <v>416500</v>
      </c>
      <c r="D538" s="13" t="n">
        <f aca="false">216500+200000</f>
        <v>416500</v>
      </c>
      <c r="E538" s="61" t="n">
        <f aca="false">C538-D538</f>
        <v>0</v>
      </c>
    </row>
    <row r="539" customFormat="false" ht="15" hidden="false" customHeight="false" outlineLevel="0" collapsed="false">
      <c r="A539" s="11" t="n">
        <v>6</v>
      </c>
      <c r="B539" s="23" t="s">
        <v>396</v>
      </c>
      <c r="C539" s="13" t="n">
        <v>416500</v>
      </c>
      <c r="D539" s="13" t="n">
        <f aca="false">150000+266500</f>
        <v>416500</v>
      </c>
      <c r="E539" s="61" t="n">
        <f aca="false">C539-D539</f>
        <v>0</v>
      </c>
    </row>
    <row r="540" customFormat="false" ht="15" hidden="false" customHeight="false" outlineLevel="0" collapsed="false">
      <c r="A540" s="11" t="n">
        <v>7</v>
      </c>
      <c r="B540" s="23" t="s">
        <v>397</v>
      </c>
      <c r="C540" s="13" t="n">
        <v>416500</v>
      </c>
      <c r="D540" s="13" t="n">
        <f aca="false">250000+166500</f>
        <v>416500</v>
      </c>
      <c r="E540" s="61" t="n">
        <f aca="false">C540-D540</f>
        <v>0</v>
      </c>
    </row>
    <row r="541" customFormat="false" ht="15" hidden="false" customHeight="false" outlineLevel="0" collapsed="false">
      <c r="A541" s="11" t="n">
        <v>8</v>
      </c>
      <c r="B541" s="23" t="s">
        <v>398</v>
      </c>
      <c r="C541" s="13" t="n">
        <v>416500</v>
      </c>
      <c r="D541" s="13" t="n">
        <f aca="false">166500+34000+216000</f>
        <v>416500</v>
      </c>
      <c r="E541" s="61" t="n">
        <f aca="false">C541-D541</f>
        <v>0</v>
      </c>
    </row>
    <row r="542" customFormat="false" ht="15" hidden="false" customHeight="false" outlineLevel="0" collapsed="false">
      <c r="A542" s="11" t="n">
        <v>9</v>
      </c>
      <c r="B542" s="23" t="s">
        <v>399</v>
      </c>
      <c r="C542" s="13" t="n">
        <v>416500</v>
      </c>
      <c r="D542" s="13" t="n">
        <f aca="false">50000+250000+116500</f>
        <v>416500</v>
      </c>
      <c r="E542" s="61" t="n">
        <f aca="false">C542-D542</f>
        <v>0</v>
      </c>
    </row>
    <row r="543" customFormat="false" ht="15" hidden="false" customHeight="false" outlineLevel="0" collapsed="false">
      <c r="A543" s="11" t="n">
        <v>10</v>
      </c>
      <c r="B543" s="23" t="s">
        <v>400</v>
      </c>
      <c r="C543" s="13" t="n">
        <v>416500</v>
      </c>
      <c r="D543" s="13" t="n">
        <f aca="false">36500+40000+250000+90000</f>
        <v>416500</v>
      </c>
      <c r="E543" s="61" t="n">
        <f aca="false">C543-D543</f>
        <v>0</v>
      </c>
    </row>
    <row r="544" customFormat="false" ht="15" hidden="false" customHeight="false" outlineLevel="0" collapsed="false">
      <c r="A544" s="11" t="n">
        <v>11</v>
      </c>
      <c r="B544" s="23" t="s">
        <v>401</v>
      </c>
      <c r="C544" s="13" t="n">
        <v>416500</v>
      </c>
      <c r="D544" s="13" t="n">
        <f aca="false">66500+150000+200000</f>
        <v>416500</v>
      </c>
      <c r="E544" s="61" t="n">
        <f aca="false">C544-D544</f>
        <v>0</v>
      </c>
    </row>
    <row r="545" customFormat="false" ht="15" hidden="false" customHeight="false" outlineLevel="0" collapsed="false">
      <c r="A545" s="11" t="n">
        <v>12</v>
      </c>
      <c r="B545" s="23" t="s">
        <v>402</v>
      </c>
      <c r="C545" s="13" t="n">
        <v>416500</v>
      </c>
      <c r="D545" s="13" t="n">
        <f aca="false">266500+150000</f>
        <v>416500</v>
      </c>
      <c r="E545" s="61" t="n">
        <f aca="false">C545-D545</f>
        <v>0</v>
      </c>
    </row>
    <row r="546" customFormat="false" ht="15" hidden="false" customHeight="false" outlineLevel="0" collapsed="false">
      <c r="A546" s="11" t="n">
        <v>13</v>
      </c>
      <c r="B546" s="23" t="s">
        <v>403</v>
      </c>
      <c r="C546" s="13" t="n">
        <v>416500</v>
      </c>
      <c r="D546" s="13" t="n">
        <f aca="false">166500+33500+216500</f>
        <v>416500</v>
      </c>
      <c r="E546" s="61" t="n">
        <f aca="false">C546-D546</f>
        <v>0</v>
      </c>
    </row>
    <row r="547" customFormat="false" ht="15" hidden="false" customHeight="false" outlineLevel="0" collapsed="false">
      <c r="A547" s="11" t="n">
        <v>14</v>
      </c>
      <c r="B547" s="23" t="s">
        <v>404</v>
      </c>
      <c r="C547" s="13" t="n">
        <v>416500</v>
      </c>
      <c r="D547" s="13" t="n">
        <f aca="false">416500</f>
        <v>416500</v>
      </c>
      <c r="E547" s="61" t="n">
        <f aca="false">C547-D547</f>
        <v>0</v>
      </c>
    </row>
    <row r="548" customFormat="false" ht="15" hidden="false" customHeight="false" outlineLevel="0" collapsed="false">
      <c r="A548" s="11" t="n">
        <v>15</v>
      </c>
      <c r="B548" s="23" t="s">
        <v>405</v>
      </c>
      <c r="C548" s="13" t="n">
        <v>416500</v>
      </c>
      <c r="D548" s="13" t="n">
        <f aca="false">150000+266500</f>
        <v>416500</v>
      </c>
      <c r="E548" s="61" t="n">
        <f aca="false">C548-D548</f>
        <v>0</v>
      </c>
    </row>
    <row r="549" customFormat="false" ht="15" hidden="false" customHeight="false" outlineLevel="0" collapsed="false">
      <c r="A549" s="11" t="n">
        <v>16</v>
      </c>
      <c r="B549" s="23" t="s">
        <v>406</v>
      </c>
      <c r="C549" s="13" t="n">
        <v>416500</v>
      </c>
      <c r="D549" s="13" t="n">
        <f aca="false">50000</f>
        <v>50000</v>
      </c>
      <c r="E549" s="61" t="n">
        <f aca="false">C549-D549</f>
        <v>366500</v>
      </c>
    </row>
    <row r="550" customFormat="false" ht="15" hidden="false" customHeight="false" outlineLevel="0" collapsed="false">
      <c r="A550" s="11" t="n">
        <v>17</v>
      </c>
      <c r="B550" s="23" t="s">
        <v>407</v>
      </c>
      <c r="C550" s="13" t="n">
        <v>416500</v>
      </c>
      <c r="D550" s="13" t="n">
        <f aca="false">66500+100000+40000+210000</f>
        <v>416500</v>
      </c>
      <c r="E550" s="61" t="n">
        <f aca="false">C550-D550</f>
        <v>0</v>
      </c>
    </row>
    <row r="551" customFormat="false" ht="15" hidden="false" customHeight="false" outlineLevel="0" collapsed="false">
      <c r="A551" s="11" t="n">
        <v>18</v>
      </c>
      <c r="B551" s="23" t="s">
        <v>408</v>
      </c>
      <c r="C551" s="13" t="n">
        <v>416500</v>
      </c>
      <c r="D551" s="13" t="n">
        <f aca="false">250000+166500</f>
        <v>416500</v>
      </c>
      <c r="E551" s="61" t="n">
        <f aca="false">C551-D551</f>
        <v>0</v>
      </c>
    </row>
    <row r="552" customFormat="false" ht="19.7" hidden="false" customHeight="false" outlineLevel="0" collapsed="false">
      <c r="A552" s="29"/>
      <c r="B552" s="17" t="s">
        <v>42</v>
      </c>
      <c r="C552" s="18" t="n">
        <f aca="false">SUM(C535:C551)</f>
        <v>7080500</v>
      </c>
      <c r="D552" s="19" t="n">
        <f aca="false">SUM(D535:D551)</f>
        <v>6714000</v>
      </c>
      <c r="E552" s="20" t="n">
        <f aca="false">SUM(E535:E551)</f>
        <v>366500</v>
      </c>
    </row>
    <row r="554" customFormat="false" ht="15" hidden="false" customHeight="false" outlineLevel="0" collapsed="false">
      <c r="A554" s="21"/>
    </row>
    <row r="558" customFormat="false" ht="17.35" hidden="false" customHeight="false" outlineLevel="0" collapsed="false">
      <c r="A558" s="22"/>
      <c r="B558" s="2" t="s">
        <v>0</v>
      </c>
    </row>
    <row r="559" customFormat="false" ht="15" hidden="false" customHeight="false" outlineLevel="0" collapsed="false">
      <c r="A559" s="21"/>
    </row>
    <row r="560" customFormat="false" ht="17.35" hidden="false" customHeight="false" outlineLevel="0" collapsed="false">
      <c r="A560" s="21"/>
      <c r="B560" s="4" t="s">
        <v>409</v>
      </c>
    </row>
    <row r="561" customFormat="false" ht="15" hidden="false" customHeight="false" outlineLevel="0" collapsed="false">
      <c r="A561" s="21"/>
      <c r="B561" s="5" t="s">
        <v>372</v>
      </c>
    </row>
    <row r="562" customFormat="false" ht="15" hidden="false" customHeight="false" outlineLevel="0" collapsed="false">
      <c r="A562" s="21"/>
    </row>
    <row r="563" customFormat="false" ht="15" hidden="false" customHeight="false" outlineLevel="0" collapsed="false">
      <c r="A563" s="6" t="s">
        <v>4</v>
      </c>
      <c r="B563" s="7" t="s">
        <v>5</v>
      </c>
      <c r="C563" s="8" t="s">
        <v>6</v>
      </c>
      <c r="D563" s="9" t="s">
        <v>7</v>
      </c>
      <c r="E563" s="10" t="s">
        <v>8</v>
      </c>
    </row>
    <row r="564" customFormat="false" ht="15" hidden="false" customHeight="false" outlineLevel="0" collapsed="false">
      <c r="A564" s="11" t="n">
        <v>1</v>
      </c>
      <c r="B564" s="23" t="s">
        <v>410</v>
      </c>
      <c r="C564" s="13" t="n">
        <v>416500</v>
      </c>
      <c r="D564" s="13"/>
      <c r="E564" s="14" t="n">
        <f aca="false">C564-D564</f>
        <v>416500</v>
      </c>
    </row>
    <row r="565" customFormat="false" ht="15" hidden="false" customHeight="false" outlineLevel="0" collapsed="false">
      <c r="A565" s="11" t="n">
        <v>2</v>
      </c>
      <c r="B565" s="23" t="s">
        <v>411</v>
      </c>
      <c r="C565" s="13" t="n">
        <v>416500</v>
      </c>
      <c r="D565" s="13" t="n">
        <f aca="false">200000+216500</f>
        <v>416500</v>
      </c>
      <c r="E565" s="14" t="n">
        <f aca="false">C565-D565</f>
        <v>0</v>
      </c>
    </row>
    <row r="566" customFormat="false" ht="15" hidden="false" customHeight="false" outlineLevel="0" collapsed="false">
      <c r="A566" s="11" t="n">
        <v>3</v>
      </c>
      <c r="B566" s="23" t="s">
        <v>412</v>
      </c>
      <c r="C566" s="13" t="n">
        <v>416500</v>
      </c>
      <c r="D566" s="13"/>
      <c r="E566" s="14" t="n">
        <v>416500</v>
      </c>
    </row>
    <row r="567" customFormat="false" ht="15" hidden="false" customHeight="false" outlineLevel="0" collapsed="false">
      <c r="A567" s="11" t="n">
        <v>4</v>
      </c>
      <c r="B567" s="23" t="s">
        <v>413</v>
      </c>
      <c r="C567" s="13" t="n">
        <v>416500</v>
      </c>
      <c r="D567" s="13" t="s">
        <v>414</v>
      </c>
      <c r="E567" s="14" t="s">
        <v>414</v>
      </c>
    </row>
    <row r="568" customFormat="false" ht="15" hidden="false" customHeight="false" outlineLevel="0" collapsed="false">
      <c r="A568" s="11" t="n">
        <v>5</v>
      </c>
      <c r="B568" s="23" t="s">
        <v>415</v>
      </c>
      <c r="C568" s="13" t="n">
        <v>416500</v>
      </c>
      <c r="D568" s="13" t="n">
        <f aca="false">116500+100000+200000</f>
        <v>416500</v>
      </c>
      <c r="E568" s="14" t="n">
        <f aca="false">C568-D568</f>
        <v>0</v>
      </c>
    </row>
    <row r="569" customFormat="false" ht="15" hidden="false" customHeight="false" outlineLevel="0" collapsed="false">
      <c r="A569" s="11" t="n">
        <v>6</v>
      </c>
      <c r="B569" s="23" t="s">
        <v>416</v>
      </c>
      <c r="C569" s="13" t="n">
        <v>416500</v>
      </c>
      <c r="D569" s="13" t="n">
        <f aca="false">83500+333000</f>
        <v>416500</v>
      </c>
      <c r="E569" s="14" t="n">
        <f aca="false">C569-D569</f>
        <v>0</v>
      </c>
    </row>
    <row r="570" customFormat="false" ht="15" hidden="false" customHeight="false" outlineLevel="0" collapsed="false">
      <c r="A570" s="11" t="n">
        <v>7</v>
      </c>
      <c r="B570" s="23" t="s">
        <v>417</v>
      </c>
      <c r="C570" s="13" t="n">
        <v>416500</v>
      </c>
      <c r="D570" s="13" t="n">
        <f aca="false">250000+166500</f>
        <v>416500</v>
      </c>
      <c r="E570" s="14" t="n">
        <f aca="false">C570-D570</f>
        <v>0</v>
      </c>
    </row>
    <row r="571" customFormat="false" ht="15" hidden="false" customHeight="false" outlineLevel="0" collapsed="false">
      <c r="A571" s="11" t="n">
        <v>8</v>
      </c>
      <c r="B571" s="24" t="s">
        <v>418</v>
      </c>
      <c r="C571" s="13" t="n">
        <v>416500</v>
      </c>
      <c r="D571" s="13"/>
      <c r="E571" s="14" t="n">
        <f aca="false">C571-D571</f>
        <v>416500</v>
      </c>
    </row>
    <row r="572" customFormat="false" ht="15" hidden="false" customHeight="false" outlineLevel="0" collapsed="false">
      <c r="A572" s="11" t="n">
        <v>9</v>
      </c>
      <c r="B572" s="23" t="s">
        <v>419</v>
      </c>
      <c r="C572" s="13" t="n">
        <v>416500</v>
      </c>
      <c r="D572" s="13" t="n">
        <f aca="false">100000+316500</f>
        <v>416500</v>
      </c>
      <c r="E572" s="14" t="n">
        <f aca="false">C572-D572</f>
        <v>0</v>
      </c>
    </row>
    <row r="573" customFormat="false" ht="15" hidden="false" customHeight="false" outlineLevel="0" collapsed="false">
      <c r="A573" s="11" t="n">
        <v>10</v>
      </c>
      <c r="B573" s="23" t="s">
        <v>420</v>
      </c>
      <c r="C573" s="13" t="n">
        <v>416500</v>
      </c>
      <c r="D573" s="13" t="n">
        <f aca="false">399500+17000</f>
        <v>416500</v>
      </c>
      <c r="E573" s="14" t="n">
        <f aca="false">C573-D573</f>
        <v>0</v>
      </c>
    </row>
    <row r="574" customFormat="false" ht="15" hidden="false" customHeight="false" outlineLevel="0" collapsed="false">
      <c r="A574" s="11" t="n">
        <v>11</v>
      </c>
      <c r="B574" s="23" t="s">
        <v>421</v>
      </c>
      <c r="C574" s="13" t="n">
        <v>416500</v>
      </c>
      <c r="D574" s="13" t="n">
        <f aca="false">416500</f>
        <v>416500</v>
      </c>
      <c r="E574" s="14" t="n">
        <f aca="false">C574-D574</f>
        <v>0</v>
      </c>
    </row>
    <row r="575" customFormat="false" ht="15" hidden="false" customHeight="false" outlineLevel="0" collapsed="false">
      <c r="A575" s="11" t="n">
        <v>12</v>
      </c>
      <c r="B575" s="24" t="s">
        <v>422</v>
      </c>
      <c r="C575" s="13" t="n">
        <v>416500</v>
      </c>
      <c r="D575" s="13" t="n">
        <f aca="false">50000+366500</f>
        <v>416500</v>
      </c>
      <c r="E575" s="14" t="n">
        <f aca="false">C575-D575</f>
        <v>0</v>
      </c>
    </row>
    <row r="576" customFormat="false" ht="15" hidden="false" customHeight="false" outlineLevel="0" collapsed="false">
      <c r="A576" s="11" t="n">
        <v>13</v>
      </c>
      <c r="B576" s="23" t="s">
        <v>423</v>
      </c>
      <c r="C576" s="13" t="n">
        <v>416500</v>
      </c>
      <c r="D576" s="13" t="n">
        <f aca="false">220800+195700</f>
        <v>416500</v>
      </c>
      <c r="E576" s="14" t="n">
        <f aca="false">C576-D576</f>
        <v>0</v>
      </c>
    </row>
    <row r="577" customFormat="false" ht="15" hidden="false" customHeight="false" outlineLevel="0" collapsed="false">
      <c r="A577" s="11" t="n">
        <v>14</v>
      </c>
      <c r="B577" s="23" t="s">
        <v>424</v>
      </c>
      <c r="C577" s="13" t="n">
        <v>416500</v>
      </c>
      <c r="D577" s="13" t="n">
        <f aca="false">410000+6500</f>
        <v>416500</v>
      </c>
      <c r="E577" s="14" t="n">
        <f aca="false">C577-D577</f>
        <v>0</v>
      </c>
    </row>
    <row r="578" customFormat="false" ht="15" hidden="false" customHeight="false" outlineLevel="0" collapsed="false">
      <c r="A578" s="11" t="n">
        <v>15</v>
      </c>
      <c r="B578" s="23" t="s">
        <v>425</v>
      </c>
      <c r="C578" s="13" t="n">
        <v>416500</v>
      </c>
      <c r="D578" s="13" t="n">
        <f aca="false">33500+100000+3000+280000</f>
        <v>416500</v>
      </c>
      <c r="E578" s="14" t="n">
        <f aca="false">C578-D578</f>
        <v>0</v>
      </c>
    </row>
    <row r="579" customFormat="false" ht="15" hidden="false" customHeight="false" outlineLevel="0" collapsed="false">
      <c r="A579" s="11" t="n">
        <v>16</v>
      </c>
      <c r="B579" s="23" t="s">
        <v>426</v>
      </c>
      <c r="C579" s="13" t="n">
        <v>416500</v>
      </c>
      <c r="D579" s="13"/>
      <c r="E579" s="14" t="n">
        <f aca="false">C579-D579</f>
        <v>416500</v>
      </c>
    </row>
    <row r="580" customFormat="false" ht="19.7" hidden="false" customHeight="false" outlineLevel="0" collapsed="false">
      <c r="A580" s="29"/>
      <c r="B580" s="17" t="s">
        <v>42</v>
      </c>
      <c r="C580" s="18" t="n">
        <f aca="false">SUM(C564:C579)</f>
        <v>6664000</v>
      </c>
      <c r="D580" s="19" t="n">
        <f aca="false">SUM(D564:D579)</f>
        <v>4581500</v>
      </c>
      <c r="E580" s="20" t="n">
        <f aca="false">SUM(E564:E579)</f>
        <v>1666000</v>
      </c>
    </row>
    <row r="582" customFormat="false" ht="15" hidden="false" customHeight="false" outlineLevel="0" collapsed="false">
      <c r="A582" s="21"/>
    </row>
    <row r="585" customFormat="false" ht="17.35" hidden="false" customHeight="false" outlineLevel="0" collapsed="false">
      <c r="A585" s="22"/>
      <c r="B585" s="2" t="s">
        <v>0</v>
      </c>
      <c r="C585" s="2"/>
    </row>
    <row r="586" customFormat="false" ht="15" hidden="false" customHeight="false" outlineLevel="0" collapsed="false">
      <c r="A586" s="21"/>
    </row>
    <row r="587" customFormat="false" ht="17.35" hidden="false" customHeight="false" outlineLevel="0" collapsed="false">
      <c r="A587" s="21"/>
      <c r="B587" s="4" t="s">
        <v>427</v>
      </c>
    </row>
    <row r="588" customFormat="false" ht="15" hidden="false" customHeight="false" outlineLevel="0" collapsed="false">
      <c r="A588" s="21"/>
      <c r="B588" s="5" t="s">
        <v>428</v>
      </c>
    </row>
    <row r="589" customFormat="false" ht="15" hidden="false" customHeight="false" outlineLevel="0" collapsed="false">
      <c r="A589" s="21"/>
    </row>
    <row r="590" customFormat="false" ht="15" hidden="false" customHeight="false" outlineLevel="0" collapsed="false">
      <c r="A590" s="6" t="s">
        <v>4</v>
      </c>
      <c r="B590" s="7" t="s">
        <v>5</v>
      </c>
      <c r="C590" s="8" t="s">
        <v>6</v>
      </c>
      <c r="D590" s="9" t="s">
        <v>7</v>
      </c>
      <c r="E590" s="10" t="s">
        <v>8</v>
      </c>
    </row>
    <row r="591" customFormat="false" ht="15" hidden="false" customHeight="false" outlineLevel="0" collapsed="false">
      <c r="A591" s="11" t="n">
        <v>1</v>
      </c>
      <c r="B591" s="57" t="s">
        <v>429</v>
      </c>
      <c r="C591" s="58" t="n">
        <v>416500</v>
      </c>
      <c r="D591" s="62" t="n">
        <f aca="false">205500+211000</f>
        <v>416500</v>
      </c>
      <c r="E591" s="60" t="n">
        <v>0</v>
      </c>
    </row>
    <row r="592" customFormat="false" ht="15" hidden="false" customHeight="false" outlineLevel="0" collapsed="false">
      <c r="A592" s="11" t="n">
        <v>2</v>
      </c>
      <c r="B592" s="23" t="s">
        <v>430</v>
      </c>
      <c r="C592" s="13" t="n">
        <v>416500</v>
      </c>
      <c r="D592" s="13" t="n">
        <f aca="false">50000+166500+200000</f>
        <v>416500</v>
      </c>
      <c r="E592" s="14" t="n">
        <f aca="false">C592-D592</f>
        <v>0</v>
      </c>
    </row>
    <row r="593" customFormat="false" ht="15" hidden="false" customHeight="false" outlineLevel="0" collapsed="false">
      <c r="A593" s="11" t="n">
        <v>3</v>
      </c>
      <c r="B593" s="23" t="s">
        <v>431</v>
      </c>
      <c r="C593" s="13" t="n">
        <v>416500</v>
      </c>
      <c r="D593" s="13" t="n">
        <f aca="false">100000+215000+1500+100000</f>
        <v>416500</v>
      </c>
      <c r="E593" s="14" t="n">
        <f aca="false">C593-D593</f>
        <v>0</v>
      </c>
    </row>
    <row r="594" customFormat="false" ht="15" hidden="false" customHeight="false" outlineLevel="0" collapsed="false">
      <c r="A594" s="11" t="n">
        <v>4</v>
      </c>
      <c r="B594" s="23" t="s">
        <v>432</v>
      </c>
      <c r="C594" s="13" t="n">
        <v>416500</v>
      </c>
      <c r="D594" s="13" t="n">
        <f aca="false">83500+120000+150000+63000</f>
        <v>416500</v>
      </c>
      <c r="E594" s="14" t="n">
        <f aca="false">C594-D594</f>
        <v>0</v>
      </c>
    </row>
    <row r="595" customFormat="false" ht="15" hidden="false" customHeight="false" outlineLevel="0" collapsed="false">
      <c r="A595" s="11" t="n">
        <v>5</v>
      </c>
      <c r="B595" s="23" t="s">
        <v>433</v>
      </c>
      <c r="C595" s="13" t="n">
        <v>416500</v>
      </c>
      <c r="D595" s="13" t="n">
        <f aca="false">200000+105500+111000</f>
        <v>416500</v>
      </c>
      <c r="E595" s="14" t="n">
        <f aca="false">C595-D595</f>
        <v>0</v>
      </c>
    </row>
    <row r="596" customFormat="false" ht="15" hidden="false" customHeight="false" outlineLevel="0" collapsed="false">
      <c r="A596" s="11" t="n">
        <v>6</v>
      </c>
      <c r="B596" s="23" t="s">
        <v>434</v>
      </c>
      <c r="C596" s="13" t="n">
        <v>416500</v>
      </c>
      <c r="D596" s="13" t="n">
        <v>99500</v>
      </c>
      <c r="E596" s="14" t="n">
        <f aca="false">C596-D596</f>
        <v>317000</v>
      </c>
    </row>
    <row r="597" customFormat="false" ht="15" hidden="false" customHeight="false" outlineLevel="0" collapsed="false">
      <c r="A597" s="11" t="n">
        <v>7</v>
      </c>
      <c r="B597" s="24" t="s">
        <v>435</v>
      </c>
      <c r="C597" s="13" t="n">
        <v>416500</v>
      </c>
      <c r="D597" s="13" t="n">
        <f aca="false">149500+50000</f>
        <v>199500</v>
      </c>
      <c r="E597" s="14" t="n">
        <f aca="false">C597-D597</f>
        <v>217000</v>
      </c>
    </row>
    <row r="598" customFormat="false" ht="15" hidden="false" customHeight="false" outlineLevel="0" collapsed="false">
      <c r="A598" s="11" t="n">
        <v>8</v>
      </c>
      <c r="B598" s="23" t="s">
        <v>436</v>
      </c>
      <c r="C598" s="13" t="n">
        <v>416500</v>
      </c>
      <c r="D598" s="13" t="n">
        <f aca="false">58500</f>
        <v>58500</v>
      </c>
      <c r="E598" s="14" t="n">
        <f aca="false">C598-D598</f>
        <v>358000</v>
      </c>
    </row>
    <row r="599" customFormat="false" ht="15" hidden="false" customHeight="false" outlineLevel="0" collapsed="false">
      <c r="A599" s="11" t="n">
        <v>9</v>
      </c>
      <c r="B599" s="23" t="s">
        <v>437</v>
      </c>
      <c r="C599" s="13" t="n">
        <v>416500</v>
      </c>
      <c r="D599" s="13" t="n">
        <f aca="false">180000+100000+120000+16500</f>
        <v>416500</v>
      </c>
      <c r="E599" s="14" t="n">
        <f aca="false">C599-D599</f>
        <v>0</v>
      </c>
    </row>
    <row r="600" customFormat="false" ht="19.7" hidden="false" customHeight="false" outlineLevel="0" collapsed="false">
      <c r="A600" s="29"/>
      <c r="B600" s="17" t="s">
        <v>42</v>
      </c>
      <c r="C600" s="18" t="n">
        <f aca="false">SUM(C592:C599)</f>
        <v>3332000</v>
      </c>
      <c r="D600" s="19" t="n">
        <f aca="false">SUM(D592:D599)</f>
        <v>2440000</v>
      </c>
      <c r="E600" s="20" t="n">
        <f aca="false">SUM(E592:E599)</f>
        <v>892000</v>
      </c>
    </row>
    <row r="603" customFormat="false" ht="15" hidden="false" customHeight="false" outlineLevel="0" collapsed="false">
      <c r="A603" s="21"/>
    </row>
    <row r="606" customFormat="false" ht="17.35" hidden="false" customHeight="false" outlineLevel="0" collapsed="false">
      <c r="A606" s="22"/>
      <c r="B606" s="2" t="s">
        <v>0</v>
      </c>
      <c r="C606" s="2"/>
    </row>
    <row r="607" customFormat="false" ht="15" hidden="false" customHeight="false" outlineLevel="0" collapsed="false">
      <c r="A607" s="21"/>
    </row>
    <row r="608" customFormat="false" ht="17.35" hidden="false" customHeight="false" outlineLevel="0" collapsed="false">
      <c r="A608" s="21"/>
      <c r="B608" s="4" t="s">
        <v>438</v>
      </c>
    </row>
    <row r="609" customFormat="false" ht="15" hidden="false" customHeight="false" outlineLevel="0" collapsed="false">
      <c r="A609" s="21"/>
      <c r="B609" s="5" t="s">
        <v>428</v>
      </c>
    </row>
    <row r="610" customFormat="false" ht="15" hidden="false" customHeight="false" outlineLevel="0" collapsed="false">
      <c r="A610" s="21"/>
    </row>
    <row r="611" customFormat="false" ht="15" hidden="false" customHeight="false" outlineLevel="0" collapsed="false">
      <c r="A611" s="6" t="s">
        <v>4</v>
      </c>
      <c r="B611" s="7" t="s">
        <v>5</v>
      </c>
      <c r="C611" s="8" t="s">
        <v>6</v>
      </c>
      <c r="D611" s="9" t="s">
        <v>7</v>
      </c>
      <c r="E611" s="10" t="s">
        <v>8</v>
      </c>
    </row>
    <row r="612" customFormat="false" ht="15" hidden="false" customHeight="false" outlineLevel="0" collapsed="false">
      <c r="A612" s="63" t="n">
        <v>1</v>
      </c>
      <c r="B612" s="57" t="s">
        <v>439</v>
      </c>
      <c r="C612" s="58" t="n">
        <v>416500</v>
      </c>
      <c r="D612" s="62" t="n">
        <f aca="false">200000+216500</f>
        <v>416500</v>
      </c>
      <c r="E612" s="64" t="n">
        <f aca="false">C612-D612</f>
        <v>0</v>
      </c>
    </row>
    <row r="613" customFormat="false" ht="15" hidden="false" customHeight="false" outlineLevel="0" collapsed="false">
      <c r="A613" s="63" t="n">
        <v>2</v>
      </c>
      <c r="B613" s="65" t="s">
        <v>440</v>
      </c>
      <c r="C613" s="58" t="n">
        <v>416500</v>
      </c>
      <c r="D613" s="62"/>
      <c r="E613" s="64" t="n">
        <f aca="false">C613-D613</f>
        <v>416500</v>
      </c>
    </row>
    <row r="614" customFormat="false" ht="15" hidden="false" customHeight="false" outlineLevel="0" collapsed="false">
      <c r="A614" s="11" t="n">
        <v>3</v>
      </c>
      <c r="B614" s="23" t="s">
        <v>441</v>
      </c>
      <c r="C614" s="13" t="n">
        <v>416500</v>
      </c>
      <c r="D614" s="13" t="n">
        <f aca="false">416500</f>
        <v>416500</v>
      </c>
      <c r="E614" s="64" t="n">
        <f aca="false">C614-D614</f>
        <v>0</v>
      </c>
    </row>
    <row r="615" customFormat="false" ht="15" hidden="false" customHeight="false" outlineLevel="0" collapsed="false">
      <c r="A615" s="11" t="n">
        <v>4</v>
      </c>
      <c r="B615" s="23" t="s">
        <v>442</v>
      </c>
      <c r="C615" s="13" t="n">
        <v>416500</v>
      </c>
      <c r="D615" s="13" t="n">
        <f aca="false">16500+100000+100000+200000</f>
        <v>416500</v>
      </c>
      <c r="E615" s="64" t="n">
        <f aca="false">C615-D615</f>
        <v>0</v>
      </c>
    </row>
    <row r="616" customFormat="false" ht="15" hidden="false" customHeight="false" outlineLevel="0" collapsed="false">
      <c r="A616" s="11" t="n">
        <v>5</v>
      </c>
      <c r="B616" s="23" t="s">
        <v>443</v>
      </c>
      <c r="C616" s="13" t="n">
        <v>416500</v>
      </c>
      <c r="D616" s="13" t="n">
        <f aca="false">200000+216500</f>
        <v>416500</v>
      </c>
      <c r="E616" s="64" t="n">
        <f aca="false">C616-D616</f>
        <v>0</v>
      </c>
    </row>
    <row r="617" customFormat="false" ht="15" hidden="false" customHeight="false" outlineLevel="0" collapsed="false">
      <c r="A617" s="11" t="n">
        <v>6</v>
      </c>
      <c r="B617" s="23" t="s">
        <v>444</v>
      </c>
      <c r="C617" s="13" t="n">
        <v>416500</v>
      </c>
      <c r="D617" s="13"/>
      <c r="E617" s="64" t="n">
        <f aca="false">C617-D617</f>
        <v>416500</v>
      </c>
    </row>
    <row r="618" customFormat="false" ht="15" hidden="false" customHeight="false" outlineLevel="0" collapsed="false">
      <c r="A618" s="11" t="n">
        <v>7</v>
      </c>
      <c r="B618" s="23" t="s">
        <v>445</v>
      </c>
      <c r="C618" s="13" t="n">
        <v>416500</v>
      </c>
      <c r="D618" s="13" t="n">
        <f aca="false">166500+100000+150000</f>
        <v>416500</v>
      </c>
      <c r="E618" s="64" t="n">
        <f aca="false">C618-D618</f>
        <v>0</v>
      </c>
    </row>
    <row r="619" customFormat="false" ht="15" hidden="false" customHeight="false" outlineLevel="0" collapsed="false">
      <c r="A619" s="11" t="n">
        <v>8</v>
      </c>
      <c r="B619" s="23" t="s">
        <v>446</v>
      </c>
      <c r="C619" s="13" t="n">
        <v>416500</v>
      </c>
      <c r="D619" s="13" t="n">
        <f aca="false">83000+120000+213500</f>
        <v>416500</v>
      </c>
      <c r="E619" s="64" t="n">
        <f aca="false">C619-D619</f>
        <v>0</v>
      </c>
    </row>
    <row r="620" customFormat="false" ht="15" hidden="false" customHeight="false" outlineLevel="0" collapsed="false">
      <c r="A620" s="11" t="n">
        <v>9</v>
      </c>
      <c r="B620" s="23" t="s">
        <v>447</v>
      </c>
      <c r="C620" s="13" t="n">
        <v>416500</v>
      </c>
      <c r="D620" s="13"/>
      <c r="E620" s="64" t="n">
        <f aca="false">C620-D620</f>
        <v>416500</v>
      </c>
    </row>
    <row r="621" customFormat="false" ht="15" hidden="false" customHeight="false" outlineLevel="0" collapsed="false">
      <c r="A621" s="11" t="n">
        <v>10</v>
      </c>
      <c r="B621" s="23" t="s">
        <v>448</v>
      </c>
      <c r="C621" s="13" t="n">
        <v>416500</v>
      </c>
      <c r="D621" s="13" t="n">
        <f aca="false">100000+316500</f>
        <v>416500</v>
      </c>
      <c r="E621" s="64" t="n">
        <f aca="false">C621-D621</f>
        <v>0</v>
      </c>
    </row>
    <row r="622" customFormat="false" ht="15" hidden="false" customHeight="false" outlineLevel="0" collapsed="false">
      <c r="A622" s="11" t="n">
        <v>11</v>
      </c>
      <c r="B622" s="23" t="s">
        <v>449</v>
      </c>
      <c r="C622" s="13" t="n">
        <v>416500</v>
      </c>
      <c r="D622" s="13" t="n">
        <f aca="false">300000+116500</f>
        <v>416500</v>
      </c>
      <c r="E622" s="64" t="n">
        <f aca="false">C622-D622</f>
        <v>0</v>
      </c>
    </row>
    <row r="623" customFormat="false" ht="15" hidden="false" customHeight="false" outlineLevel="0" collapsed="false">
      <c r="A623" s="15" t="n">
        <v>12</v>
      </c>
      <c r="B623" s="24" t="s">
        <v>450</v>
      </c>
      <c r="C623" s="25" t="n">
        <v>416500</v>
      </c>
      <c r="D623" s="13" t="n">
        <f aca="false">100000+116500+50000+50000+100000</f>
        <v>416500</v>
      </c>
      <c r="E623" s="64" t="n">
        <f aca="false">C623-D623</f>
        <v>0</v>
      </c>
    </row>
    <row r="624" customFormat="false" ht="19.7" hidden="false" customHeight="false" outlineLevel="0" collapsed="false">
      <c r="A624" s="29"/>
      <c r="B624" s="17" t="s">
        <v>42</v>
      </c>
      <c r="C624" s="18" t="n">
        <f aca="false">SUM(C614:C622)</f>
        <v>3748500</v>
      </c>
      <c r="D624" s="19" t="n">
        <f aca="false">SUM(D614:D622)</f>
        <v>2915500</v>
      </c>
      <c r="E624" s="20" t="n">
        <f aca="false">SUM(E614:E622)</f>
        <v>833000</v>
      </c>
    </row>
    <row r="627" customFormat="false" ht="15" hidden="false" customHeight="false" outlineLevel="0" collapsed="false">
      <c r="A627" s="21"/>
    </row>
    <row r="628" customFormat="false" ht="15" hidden="false" customHeight="false" outlineLevel="0" collapsed="false">
      <c r="A628" s="21"/>
    </row>
    <row r="629" customFormat="false" ht="15" hidden="false" customHeight="false" outlineLevel="0" collapsed="false">
      <c r="A629" s="21"/>
    </row>
    <row r="630" customFormat="false" ht="15" hidden="false" customHeight="false" outlineLevel="0" collapsed="false">
      <c r="A630" s="21"/>
    </row>
    <row r="631" customFormat="false" ht="15" hidden="false" customHeight="false" outlineLevel="0" collapsed="false">
      <c r="A631" s="21"/>
    </row>
    <row r="632" customFormat="false" ht="17.35" hidden="false" customHeight="false" outlineLevel="0" collapsed="false">
      <c r="A632" s="22"/>
      <c r="B632" s="2" t="s">
        <v>0</v>
      </c>
      <c r="C632" s="2"/>
    </row>
    <row r="633" customFormat="false" ht="15" hidden="false" customHeight="false" outlineLevel="0" collapsed="false">
      <c r="A633" s="21"/>
    </row>
    <row r="634" customFormat="false" ht="17.35" hidden="false" customHeight="false" outlineLevel="0" collapsed="false">
      <c r="A634" s="21"/>
      <c r="B634" s="4" t="s">
        <v>451</v>
      </c>
    </row>
    <row r="635" customFormat="false" ht="15" hidden="false" customHeight="false" outlineLevel="0" collapsed="false">
      <c r="A635" s="21"/>
      <c r="B635" s="5" t="s">
        <v>428</v>
      </c>
    </row>
    <row r="636" customFormat="false" ht="15" hidden="false" customHeight="false" outlineLevel="0" collapsed="false">
      <c r="A636" s="21"/>
    </row>
    <row r="637" customFormat="false" ht="15" hidden="false" customHeight="false" outlineLevel="0" collapsed="false">
      <c r="A637" s="6" t="s">
        <v>4</v>
      </c>
      <c r="B637" s="7" t="s">
        <v>5</v>
      </c>
      <c r="C637" s="8" t="s">
        <v>6</v>
      </c>
      <c r="D637" s="9" t="s">
        <v>7</v>
      </c>
      <c r="E637" s="10" t="s">
        <v>8</v>
      </c>
    </row>
    <row r="638" customFormat="false" ht="15" hidden="false" customHeight="false" outlineLevel="0" collapsed="false">
      <c r="A638" s="11" t="n">
        <v>1</v>
      </c>
      <c r="B638" s="23" t="s">
        <v>452</v>
      </c>
      <c r="C638" s="13" t="n">
        <v>416500</v>
      </c>
      <c r="D638" s="13" t="n">
        <f aca="false">80000+40000+50000+60000</f>
        <v>230000</v>
      </c>
      <c r="E638" s="14" t="n">
        <f aca="false">C638-D638</f>
        <v>186500</v>
      </c>
    </row>
    <row r="639" customFormat="false" ht="15" hidden="false" customHeight="false" outlineLevel="0" collapsed="false">
      <c r="A639" s="11" t="n">
        <v>2</v>
      </c>
      <c r="B639" s="23" t="s">
        <v>453</v>
      </c>
      <c r="C639" s="13" t="n">
        <v>416500</v>
      </c>
      <c r="D639" s="13"/>
      <c r="E639" s="14" t="n">
        <f aca="false">C639-D639</f>
        <v>416500</v>
      </c>
    </row>
    <row r="640" customFormat="false" ht="15" hidden="false" customHeight="false" outlineLevel="0" collapsed="false">
      <c r="A640" s="11" t="n">
        <v>3</v>
      </c>
      <c r="B640" s="23" t="s">
        <v>454</v>
      </c>
      <c r="C640" s="13" t="n">
        <v>416500</v>
      </c>
      <c r="D640" s="13" t="n">
        <v>416500</v>
      </c>
      <c r="E640" s="14" t="n">
        <f aca="false">C640-D640</f>
        <v>0</v>
      </c>
    </row>
    <row r="641" customFormat="false" ht="15" hidden="false" customHeight="false" outlineLevel="0" collapsed="false">
      <c r="A641" s="11" t="n">
        <v>4</v>
      </c>
      <c r="B641" s="23" t="s">
        <v>455</v>
      </c>
      <c r="C641" s="13" t="n">
        <v>416500</v>
      </c>
      <c r="D641" s="13" t="n">
        <f aca="false">100000</f>
        <v>100000</v>
      </c>
      <c r="E641" s="14" t="n">
        <f aca="false">C641-D641</f>
        <v>316500</v>
      </c>
    </row>
    <row r="642" customFormat="false" ht="15" hidden="false" customHeight="false" outlineLevel="0" collapsed="false">
      <c r="A642" s="11" t="n">
        <v>5</v>
      </c>
      <c r="B642" s="23" t="s">
        <v>456</v>
      </c>
      <c r="C642" s="13" t="n">
        <v>416500</v>
      </c>
      <c r="D642" s="13"/>
      <c r="E642" s="14" t="n">
        <f aca="false">C642-D642</f>
        <v>416500</v>
      </c>
    </row>
    <row r="643" customFormat="false" ht="15" hidden="false" customHeight="false" outlineLevel="0" collapsed="false">
      <c r="A643" s="11" t="n">
        <v>6</v>
      </c>
      <c r="B643" s="23" t="s">
        <v>457</v>
      </c>
      <c r="C643" s="13" t="n">
        <v>416500</v>
      </c>
      <c r="D643" s="13" t="n">
        <f aca="false">200000+51500+40000+125000</f>
        <v>416500</v>
      </c>
      <c r="E643" s="14" t="n">
        <f aca="false">C643-D643</f>
        <v>0</v>
      </c>
    </row>
    <row r="644" customFormat="false" ht="15" hidden="false" customHeight="false" outlineLevel="0" collapsed="false">
      <c r="A644" s="11" t="n">
        <v>7</v>
      </c>
      <c r="B644" s="23" t="s">
        <v>458</v>
      </c>
      <c r="C644" s="13" t="n">
        <v>416500</v>
      </c>
      <c r="D644" s="13" t="n">
        <f aca="false">416500</f>
        <v>416500</v>
      </c>
      <c r="E644" s="14" t="n">
        <f aca="false">C644-D644</f>
        <v>0</v>
      </c>
    </row>
    <row r="645" customFormat="false" ht="15" hidden="false" customHeight="false" outlineLevel="0" collapsed="false">
      <c r="A645" s="11" t="n">
        <v>8</v>
      </c>
      <c r="B645" s="23" t="s">
        <v>459</v>
      </c>
      <c r="C645" s="13" t="n">
        <v>416500</v>
      </c>
      <c r="D645" s="13" t="n">
        <f aca="false">116500+100000+150000+50000</f>
        <v>416500</v>
      </c>
      <c r="E645" s="14" t="n">
        <f aca="false">C645-D645</f>
        <v>0</v>
      </c>
    </row>
    <row r="646" customFormat="false" ht="15" hidden="false" customHeight="false" outlineLevel="0" collapsed="false">
      <c r="A646" s="11" t="n">
        <v>9</v>
      </c>
      <c r="B646" s="23" t="s">
        <v>460</v>
      </c>
      <c r="C646" s="13" t="n">
        <v>416500</v>
      </c>
      <c r="D646" s="13" t="n">
        <v>70000</v>
      </c>
      <c r="E646" s="14" t="n">
        <f aca="false">C646-D646</f>
        <v>346500</v>
      </c>
    </row>
    <row r="647" customFormat="false" ht="15" hidden="false" customHeight="false" outlineLevel="0" collapsed="false">
      <c r="A647" s="11" t="s">
        <v>461</v>
      </c>
      <c r="B647" s="23" t="s">
        <v>426</v>
      </c>
      <c r="C647" s="13" t="n">
        <v>416500</v>
      </c>
      <c r="D647" s="13"/>
      <c r="E647" s="14" t="n">
        <f aca="false">C647-D647</f>
        <v>416500</v>
      </c>
    </row>
    <row r="648" customFormat="false" ht="15" hidden="false" customHeight="false" outlineLevel="0" collapsed="false">
      <c r="A648" s="11" t="n">
        <v>11</v>
      </c>
      <c r="B648" s="23" t="s">
        <v>462</v>
      </c>
      <c r="C648" s="13" t="n">
        <v>416500</v>
      </c>
      <c r="D648" s="13" t="n">
        <f aca="false">300000+116500</f>
        <v>416500</v>
      </c>
      <c r="E648" s="14" t="n">
        <f aca="false">C648-D648</f>
        <v>0</v>
      </c>
    </row>
    <row r="649" customFormat="false" ht="15" hidden="false" customHeight="false" outlineLevel="0" collapsed="false">
      <c r="A649" s="11" t="n">
        <v>12</v>
      </c>
      <c r="B649" s="24" t="s">
        <v>463</v>
      </c>
      <c r="C649" s="25" t="n">
        <v>416500</v>
      </c>
      <c r="D649" s="13" t="n">
        <v>416000</v>
      </c>
      <c r="E649" s="14" t="n">
        <f aca="false">C649-D649</f>
        <v>500</v>
      </c>
    </row>
    <row r="650" customFormat="false" ht="19.7" hidden="false" customHeight="false" outlineLevel="0" collapsed="false">
      <c r="A650" s="29"/>
      <c r="B650" s="17" t="s">
        <v>42</v>
      </c>
      <c r="C650" s="18" t="n">
        <f aca="false">SUM(C638:C649)</f>
        <v>4998000</v>
      </c>
      <c r="D650" s="19" t="n">
        <f aca="false">SUM(D638:D649)</f>
        <v>2898500</v>
      </c>
      <c r="E650" s="20" t="n">
        <v>4998000</v>
      </c>
    </row>
    <row r="655" customFormat="false" ht="17.35" hidden="false" customHeight="false" outlineLevel="0" collapsed="false">
      <c r="A655" s="22"/>
      <c r="B655" s="2" t="s">
        <v>0</v>
      </c>
    </row>
    <row r="656" customFormat="false" ht="15" hidden="false" customHeight="false" outlineLevel="0" collapsed="false">
      <c r="A656" s="21"/>
    </row>
    <row r="657" customFormat="false" ht="17.35" hidden="false" customHeight="false" outlineLevel="0" collapsed="false">
      <c r="A657" s="21"/>
      <c r="B657" s="4" t="s">
        <v>464</v>
      </c>
    </row>
    <row r="658" customFormat="false" ht="15" hidden="false" customHeight="false" outlineLevel="0" collapsed="false">
      <c r="A658" s="21"/>
      <c r="B658" s="5" t="s">
        <v>465</v>
      </c>
    </row>
    <row r="659" customFormat="false" ht="15" hidden="false" customHeight="false" outlineLevel="0" collapsed="false">
      <c r="A659" s="21"/>
    </row>
    <row r="660" customFormat="false" ht="15" hidden="false" customHeight="false" outlineLevel="0" collapsed="false">
      <c r="A660" s="6" t="s">
        <v>4</v>
      </c>
      <c r="B660" s="7" t="s">
        <v>5</v>
      </c>
      <c r="C660" s="8" t="s">
        <v>6</v>
      </c>
      <c r="D660" s="9" t="s">
        <v>7</v>
      </c>
      <c r="E660" s="10" t="s">
        <v>8</v>
      </c>
    </row>
    <row r="661" customFormat="false" ht="15" hidden="false" customHeight="false" outlineLevel="0" collapsed="false">
      <c r="A661" s="11" t="n">
        <v>1</v>
      </c>
      <c r="B661" s="23" t="s">
        <v>466</v>
      </c>
      <c r="C661" s="13" t="n">
        <v>416500</v>
      </c>
      <c r="D661" s="13" t="n">
        <f aca="false">50000+250000+116500</f>
        <v>416500</v>
      </c>
      <c r="E661" s="14" t="n">
        <f aca="false">C661-D661</f>
        <v>0</v>
      </c>
    </row>
    <row r="662" customFormat="false" ht="15" hidden="false" customHeight="false" outlineLevel="0" collapsed="false">
      <c r="A662" s="11" t="n">
        <v>2</v>
      </c>
      <c r="B662" s="23" t="s">
        <v>467</v>
      </c>
      <c r="C662" s="13" t="n">
        <v>416500</v>
      </c>
      <c r="D662" s="13" t="n">
        <f aca="false">305000+100000</f>
        <v>405000</v>
      </c>
      <c r="E662" s="14" t="n">
        <v>11500</v>
      </c>
    </row>
    <row r="663" customFormat="false" ht="15" hidden="false" customHeight="false" outlineLevel="0" collapsed="false">
      <c r="A663" s="11" t="n">
        <v>3</v>
      </c>
      <c r="B663" s="23" t="s">
        <v>468</v>
      </c>
      <c r="C663" s="13" t="n">
        <v>416500</v>
      </c>
      <c r="D663" s="13" t="n">
        <f aca="false">65000+36500</f>
        <v>101500</v>
      </c>
      <c r="E663" s="14" t="n">
        <f aca="false">C663-D663</f>
        <v>315000</v>
      </c>
    </row>
    <row r="664" customFormat="false" ht="15" hidden="false" customHeight="false" outlineLevel="0" collapsed="false">
      <c r="A664" s="11" t="n">
        <v>4</v>
      </c>
      <c r="B664" s="38" t="s">
        <v>469</v>
      </c>
      <c r="C664" s="13" t="n">
        <v>416500</v>
      </c>
      <c r="D664" s="13" t="n">
        <f aca="false">200500+116000+100000</f>
        <v>416500</v>
      </c>
      <c r="E664" s="14" t="n">
        <f aca="false">C664-D664</f>
        <v>0</v>
      </c>
    </row>
    <row r="665" customFormat="false" ht="15" hidden="false" customHeight="false" outlineLevel="0" collapsed="false">
      <c r="A665" s="11" t="n">
        <v>5</v>
      </c>
      <c r="B665" s="23" t="s">
        <v>470</v>
      </c>
      <c r="C665" s="13" t="n">
        <v>416500</v>
      </c>
      <c r="D665" s="13" t="n">
        <v>83500</v>
      </c>
      <c r="E665" s="14" t="n">
        <f aca="false">C665-D665</f>
        <v>333000</v>
      </c>
    </row>
    <row r="666" customFormat="false" ht="15" hidden="false" customHeight="false" outlineLevel="0" collapsed="false">
      <c r="A666" s="11" t="n">
        <v>6</v>
      </c>
      <c r="B666" s="23" t="s">
        <v>471</v>
      </c>
      <c r="C666" s="13" t="n">
        <v>416500</v>
      </c>
      <c r="D666" s="13" t="n">
        <f aca="false">50000+180000+186500</f>
        <v>416500</v>
      </c>
      <c r="E666" s="14" t="n">
        <f aca="false">C666-D666</f>
        <v>0</v>
      </c>
    </row>
    <row r="667" customFormat="false" ht="15" hidden="false" customHeight="false" outlineLevel="0" collapsed="false">
      <c r="A667" s="11" t="n">
        <v>7</v>
      </c>
      <c r="B667" s="37" t="s">
        <v>472</v>
      </c>
      <c r="C667" s="13" t="n">
        <v>416500</v>
      </c>
      <c r="D667" s="13" t="n">
        <f aca="false">148500+155000+113000</f>
        <v>416500</v>
      </c>
      <c r="E667" s="14" t="n">
        <f aca="false">C667-D667</f>
        <v>0</v>
      </c>
    </row>
    <row r="668" customFormat="false" ht="15" hidden="false" customHeight="false" outlineLevel="0" collapsed="false">
      <c r="A668" s="11" t="n">
        <v>8</v>
      </c>
      <c r="B668" s="23" t="s">
        <v>473</v>
      </c>
      <c r="C668" s="13" t="n">
        <v>416500</v>
      </c>
      <c r="D668" s="13" t="n">
        <f aca="false">146000+160000+110000</f>
        <v>416000</v>
      </c>
      <c r="E668" s="14" t="n">
        <f aca="false">C668-D668</f>
        <v>500</v>
      </c>
    </row>
    <row r="669" customFormat="false" ht="19.7" hidden="false" customHeight="false" outlineLevel="0" collapsed="false">
      <c r="A669" s="29"/>
      <c r="B669" s="17" t="s">
        <v>42</v>
      </c>
      <c r="C669" s="18" t="n">
        <f aca="false">SUM(C661:C668)</f>
        <v>3332000</v>
      </c>
      <c r="D669" s="19" t="n">
        <f aca="false">SUM(D661:D668)</f>
        <v>2672000</v>
      </c>
      <c r="E669" s="20" t="n">
        <f aca="false">SUM(E661:E668)</f>
        <v>660000</v>
      </c>
    </row>
    <row r="675" customFormat="false" ht="17.35" hidden="false" customHeight="false" outlineLevel="0" collapsed="false">
      <c r="A675" s="22"/>
      <c r="B675" s="2" t="s">
        <v>0</v>
      </c>
    </row>
    <row r="676" customFormat="false" ht="15" hidden="false" customHeight="false" outlineLevel="0" collapsed="false">
      <c r="A676" s="21"/>
    </row>
    <row r="677" customFormat="false" ht="17.35" hidden="false" customHeight="false" outlineLevel="0" collapsed="false">
      <c r="A677" s="21"/>
      <c r="B677" s="4" t="s">
        <v>474</v>
      </c>
    </row>
    <row r="678" customFormat="false" ht="15" hidden="false" customHeight="false" outlineLevel="0" collapsed="false">
      <c r="A678" s="21"/>
      <c r="B678" s="5" t="s">
        <v>465</v>
      </c>
    </row>
    <row r="679" customFormat="false" ht="15" hidden="false" customHeight="false" outlineLevel="0" collapsed="false">
      <c r="A679" s="21"/>
    </row>
    <row r="680" customFormat="false" ht="15" hidden="false" customHeight="false" outlineLevel="0" collapsed="false">
      <c r="A680" s="6" t="s">
        <v>4</v>
      </c>
      <c r="B680" s="7" t="s">
        <v>5</v>
      </c>
      <c r="C680" s="8" t="s">
        <v>6</v>
      </c>
      <c r="D680" s="9" t="s">
        <v>7</v>
      </c>
      <c r="E680" s="10" t="s">
        <v>8</v>
      </c>
    </row>
    <row r="681" customFormat="false" ht="15" hidden="false" customHeight="false" outlineLevel="0" collapsed="false">
      <c r="A681" s="11" t="n">
        <v>1</v>
      </c>
      <c r="B681" s="23" t="s">
        <v>475</v>
      </c>
      <c r="C681" s="13" t="n">
        <v>416500</v>
      </c>
      <c r="D681" s="13" t="n">
        <f aca="false">50000+120000+100000+146500</f>
        <v>416500</v>
      </c>
      <c r="E681" s="14" t="n">
        <f aca="false">C681-D681</f>
        <v>0</v>
      </c>
    </row>
    <row r="682" customFormat="false" ht="15" hidden="false" customHeight="false" outlineLevel="0" collapsed="false">
      <c r="A682" s="11" t="n">
        <v>2</v>
      </c>
      <c r="B682" s="23" t="s">
        <v>476</v>
      </c>
      <c r="C682" s="13" t="n">
        <v>416500</v>
      </c>
      <c r="D682" s="13" t="n">
        <f aca="false">100000</f>
        <v>100000</v>
      </c>
      <c r="E682" s="14" t="n">
        <f aca="false">C682-D682</f>
        <v>316500</v>
      </c>
    </row>
    <row r="683" customFormat="false" ht="15" hidden="false" customHeight="false" outlineLevel="0" collapsed="false">
      <c r="A683" s="11" t="n">
        <v>3</v>
      </c>
      <c r="B683" s="23" t="s">
        <v>477</v>
      </c>
      <c r="C683" s="13" t="n">
        <v>416500</v>
      </c>
      <c r="D683" s="13" t="n">
        <f aca="false">300000+116500</f>
        <v>416500</v>
      </c>
      <c r="E683" s="14" t="n">
        <f aca="false">C683-D683</f>
        <v>0</v>
      </c>
    </row>
    <row r="684" customFormat="false" ht="15" hidden="false" customHeight="false" outlineLevel="0" collapsed="false">
      <c r="A684" s="11" t="n">
        <v>4</v>
      </c>
      <c r="B684" s="23" t="s">
        <v>478</v>
      </c>
      <c r="C684" s="13" t="n">
        <v>416500</v>
      </c>
      <c r="D684" s="13" t="n">
        <f aca="false">220000+196500</f>
        <v>416500</v>
      </c>
      <c r="E684" s="14" t="n">
        <f aca="false">C684-D684</f>
        <v>0</v>
      </c>
    </row>
    <row r="685" customFormat="false" ht="15" hidden="false" customHeight="false" outlineLevel="0" collapsed="false">
      <c r="A685" s="11" t="n">
        <v>5</v>
      </c>
      <c r="B685" s="23" t="s">
        <v>479</v>
      </c>
      <c r="C685" s="13" t="n">
        <v>416500</v>
      </c>
      <c r="D685" s="13" t="n">
        <f aca="false">20000+50000+200000+100000+46500</f>
        <v>416500</v>
      </c>
      <c r="E685" s="14" t="n">
        <f aca="false">C685-D685</f>
        <v>0</v>
      </c>
    </row>
    <row r="686" customFormat="false" ht="15" hidden="false" customHeight="false" outlineLevel="0" collapsed="false">
      <c r="A686" s="11" t="n">
        <v>6</v>
      </c>
      <c r="B686" s="23" t="s">
        <v>480</v>
      </c>
      <c r="C686" s="13" t="n">
        <v>616500</v>
      </c>
      <c r="D686" s="13" t="n">
        <f aca="false">616500</f>
        <v>616500</v>
      </c>
      <c r="E686" s="14" t="n">
        <f aca="false">C686-D686</f>
        <v>0</v>
      </c>
    </row>
    <row r="687" customFormat="false" ht="15" hidden="false" customHeight="false" outlineLevel="0" collapsed="false">
      <c r="A687" s="11" t="n">
        <v>7</v>
      </c>
      <c r="B687" s="23" t="s">
        <v>481</v>
      </c>
      <c r="C687" s="13" t="n">
        <v>416500</v>
      </c>
      <c r="D687" s="13"/>
      <c r="E687" s="14" t="n">
        <f aca="false">C687-D687</f>
        <v>416500</v>
      </c>
    </row>
    <row r="688" customFormat="false" ht="15" hidden="false" customHeight="false" outlineLevel="0" collapsed="false">
      <c r="A688" s="11" t="n">
        <v>8</v>
      </c>
      <c r="B688" s="37" t="s">
        <v>482</v>
      </c>
      <c r="C688" s="13" t="n">
        <v>416500</v>
      </c>
      <c r="D688" s="13"/>
      <c r="E688" s="14" t="n">
        <f aca="false">C688-D688</f>
        <v>416500</v>
      </c>
    </row>
    <row r="689" customFormat="false" ht="15" hidden="false" customHeight="false" outlineLevel="0" collapsed="false">
      <c r="A689" s="11" t="n">
        <v>9</v>
      </c>
      <c r="B689" s="23" t="s">
        <v>483</v>
      </c>
      <c r="C689" s="13" t="n">
        <v>416500</v>
      </c>
      <c r="D689" s="13" t="n">
        <f aca="false">416500</f>
        <v>416500</v>
      </c>
      <c r="E689" s="14" t="n">
        <f aca="false">C689-D689</f>
        <v>0</v>
      </c>
    </row>
    <row r="690" customFormat="false" ht="15" hidden="false" customHeight="false" outlineLevel="0" collapsed="false">
      <c r="A690" s="11" t="n">
        <v>10</v>
      </c>
      <c r="B690" s="23" t="s">
        <v>484</v>
      </c>
      <c r="C690" s="13" t="n">
        <v>416500</v>
      </c>
      <c r="D690" s="13" t="n">
        <f aca="false">150000+55000+100000+50000+61500</f>
        <v>416500</v>
      </c>
      <c r="E690" s="14" t="n">
        <f aca="false">C690-D690</f>
        <v>0</v>
      </c>
    </row>
    <row r="691" customFormat="false" ht="19.7" hidden="false" customHeight="false" outlineLevel="0" collapsed="false">
      <c r="A691" s="66"/>
      <c r="B691" s="17" t="s">
        <v>42</v>
      </c>
      <c r="C691" s="18" t="n">
        <f aca="false">SUM(C681:C690)</f>
        <v>4365000</v>
      </c>
      <c r="D691" s="19" t="n">
        <f aca="false">SUM(D681:D690)</f>
        <v>3215500</v>
      </c>
      <c r="E691" s="20" t="n">
        <f aca="false">SUM(E681:E690)</f>
        <v>1149500</v>
      </c>
    </row>
    <row r="693" customFormat="false" ht="15" hidden="false" customHeight="false" outlineLevel="0" collapsed="false">
      <c r="A693" s="21"/>
      <c r="D693" s="31"/>
      <c r="E693" s="32"/>
    </row>
    <row r="697" customFormat="false" ht="17.35" hidden="false" customHeight="false" outlineLevel="0" collapsed="false">
      <c r="A697" s="22"/>
      <c r="B697" s="2" t="s">
        <v>0</v>
      </c>
    </row>
    <row r="698" customFormat="false" ht="15" hidden="false" customHeight="false" outlineLevel="0" collapsed="false">
      <c r="A698" s="21"/>
    </row>
    <row r="699" customFormat="false" ht="17.35" hidden="false" customHeight="false" outlineLevel="0" collapsed="false">
      <c r="A699" s="21"/>
      <c r="B699" s="4" t="s">
        <v>485</v>
      </c>
    </row>
    <row r="700" customFormat="false" ht="15" hidden="false" customHeight="false" outlineLevel="0" collapsed="false">
      <c r="A700" s="21"/>
      <c r="B700" s="5" t="s">
        <v>465</v>
      </c>
    </row>
    <row r="701" customFormat="false" ht="15" hidden="false" customHeight="false" outlineLevel="0" collapsed="false">
      <c r="A701" s="21"/>
    </row>
    <row r="702" customFormat="false" ht="15" hidden="false" customHeight="false" outlineLevel="0" collapsed="false">
      <c r="A702" s="6" t="s">
        <v>4</v>
      </c>
      <c r="B702" s="7" t="s">
        <v>5</v>
      </c>
      <c r="C702" s="8" t="s">
        <v>6</v>
      </c>
      <c r="D702" s="9" t="s">
        <v>7</v>
      </c>
      <c r="E702" s="10" t="s">
        <v>8</v>
      </c>
    </row>
    <row r="703" customFormat="false" ht="15" hidden="false" customHeight="false" outlineLevel="0" collapsed="false">
      <c r="A703" s="11" t="n">
        <v>1</v>
      </c>
      <c r="B703" s="23" t="s">
        <v>486</v>
      </c>
      <c r="C703" s="13" t="n">
        <v>416500</v>
      </c>
      <c r="D703" s="13" t="n">
        <f aca="false">100000+231500+70000+15000</f>
        <v>416500</v>
      </c>
      <c r="E703" s="14" t="n">
        <f aca="false">C703-D703</f>
        <v>0</v>
      </c>
    </row>
    <row r="704" customFormat="false" ht="15" hidden="false" customHeight="false" outlineLevel="0" collapsed="false">
      <c r="A704" s="11" t="n">
        <v>2</v>
      </c>
      <c r="B704" s="23" t="s">
        <v>487</v>
      </c>
      <c r="C704" s="13" t="n">
        <v>416500</v>
      </c>
      <c r="D704" s="13" t="n">
        <f aca="false">200000+216500</f>
        <v>416500</v>
      </c>
      <c r="E704" s="14" t="n">
        <f aca="false">C704-D704</f>
        <v>0</v>
      </c>
    </row>
    <row r="705" customFormat="false" ht="15" hidden="false" customHeight="false" outlineLevel="0" collapsed="false">
      <c r="A705" s="11" t="n">
        <v>3</v>
      </c>
      <c r="B705" s="23" t="s">
        <v>488</v>
      </c>
      <c r="C705" s="13" t="n">
        <v>416500</v>
      </c>
      <c r="D705" s="13" t="n">
        <f aca="false">416500</f>
        <v>416500</v>
      </c>
      <c r="E705" s="14" t="n">
        <f aca="false">C705-D705</f>
        <v>0</v>
      </c>
    </row>
    <row r="706" customFormat="false" ht="15" hidden="false" customHeight="false" outlineLevel="0" collapsed="false">
      <c r="A706" s="11" t="n">
        <v>4</v>
      </c>
      <c r="B706" s="23" t="s">
        <v>489</v>
      </c>
      <c r="C706" s="13" t="n">
        <v>416500</v>
      </c>
      <c r="D706" s="13" t="n">
        <f aca="false">166500+250000</f>
        <v>416500</v>
      </c>
      <c r="E706" s="14" t="n">
        <f aca="false">C706-D706</f>
        <v>0</v>
      </c>
    </row>
    <row r="707" customFormat="false" ht="15" hidden="false" customHeight="false" outlineLevel="0" collapsed="false">
      <c r="A707" s="11" t="n">
        <v>5</v>
      </c>
      <c r="B707" s="23" t="s">
        <v>490</v>
      </c>
      <c r="C707" s="13" t="n">
        <v>416500</v>
      </c>
      <c r="D707" s="13" t="n">
        <f aca="false">316500+100000</f>
        <v>416500</v>
      </c>
      <c r="E707" s="14" t="n">
        <f aca="false">C707-D707</f>
        <v>0</v>
      </c>
    </row>
    <row r="708" customFormat="false" ht="15" hidden="false" customHeight="false" outlineLevel="0" collapsed="false">
      <c r="A708" s="11" t="n">
        <v>6</v>
      </c>
      <c r="B708" s="23" t="s">
        <v>491</v>
      </c>
      <c r="C708" s="13" t="n">
        <v>416500</v>
      </c>
      <c r="D708" s="13" t="n">
        <v>416500</v>
      </c>
      <c r="E708" s="14" t="n">
        <f aca="false">C708-D708</f>
        <v>0</v>
      </c>
    </row>
    <row r="709" customFormat="false" ht="15" hidden="false" customHeight="false" outlineLevel="0" collapsed="false">
      <c r="A709" s="11" t="n">
        <v>7</v>
      </c>
      <c r="B709" s="23" t="s">
        <v>492</v>
      </c>
      <c r="C709" s="13" t="n">
        <v>416500</v>
      </c>
      <c r="D709" s="13"/>
      <c r="E709" s="14" t="n">
        <f aca="false">C709-D709</f>
        <v>416500</v>
      </c>
    </row>
    <row r="710" customFormat="false" ht="15" hidden="false" customHeight="false" outlineLevel="0" collapsed="false">
      <c r="A710" s="11" t="n">
        <v>8</v>
      </c>
      <c r="B710" s="23" t="s">
        <v>493</v>
      </c>
      <c r="C710" s="13" t="n">
        <v>416500</v>
      </c>
      <c r="D710" s="13"/>
      <c r="E710" s="14" t="n">
        <f aca="false">C710-D710</f>
        <v>416500</v>
      </c>
    </row>
    <row r="711" customFormat="false" ht="15" hidden="false" customHeight="false" outlineLevel="0" collapsed="false">
      <c r="A711" s="11" t="n">
        <v>9</v>
      </c>
      <c r="B711" s="23" t="s">
        <v>494</v>
      </c>
      <c r="C711" s="13" t="n">
        <v>416500</v>
      </c>
      <c r="D711" s="13" t="n">
        <f aca="false">50000</f>
        <v>50000</v>
      </c>
      <c r="E711" s="14" t="n">
        <f aca="false">C711-D711</f>
        <v>366500</v>
      </c>
    </row>
    <row r="712" customFormat="false" ht="15" hidden="false" customHeight="false" outlineLevel="0" collapsed="false">
      <c r="A712" s="11" t="n">
        <v>10</v>
      </c>
      <c r="B712" s="23" t="s">
        <v>495</v>
      </c>
      <c r="C712" s="13" t="n">
        <v>416500</v>
      </c>
      <c r="D712" s="13" t="n">
        <f aca="false">100000+30000+30000+50000+40000+30500+40000+50000+70000</f>
        <v>440500</v>
      </c>
      <c r="E712" s="14" t="n">
        <f aca="false">C712-D712</f>
        <v>-24000</v>
      </c>
    </row>
    <row r="713" customFormat="false" ht="15" hidden="false" customHeight="false" outlineLevel="0" collapsed="false">
      <c r="A713" s="11" t="n">
        <v>11</v>
      </c>
      <c r="B713" s="23" t="s">
        <v>496</v>
      </c>
      <c r="C713" s="13" t="n">
        <v>416500</v>
      </c>
      <c r="D713" s="13" t="n">
        <f aca="false">300000+116500</f>
        <v>416500</v>
      </c>
      <c r="E713" s="14" t="n">
        <f aca="false">C713-D713</f>
        <v>0</v>
      </c>
    </row>
    <row r="714" customFormat="false" ht="15" hidden="false" customHeight="false" outlineLevel="0" collapsed="false">
      <c r="A714" s="11" t="n">
        <v>12</v>
      </c>
      <c r="B714" s="23" t="s">
        <v>497</v>
      </c>
      <c r="C714" s="13" t="n">
        <v>416500</v>
      </c>
      <c r="D714" s="13" t="n">
        <v>416500</v>
      </c>
      <c r="E714" s="14" t="n">
        <f aca="false">C714-D714</f>
        <v>0</v>
      </c>
    </row>
    <row r="715" customFormat="false" ht="15" hidden="false" customHeight="false" outlineLevel="0" collapsed="false">
      <c r="A715" s="11" t="n">
        <v>13</v>
      </c>
      <c r="B715" s="23" t="s">
        <v>498</v>
      </c>
      <c r="C715" s="13" t="n">
        <v>416500</v>
      </c>
      <c r="D715" s="13"/>
      <c r="E715" s="14" t="n">
        <f aca="false">C715-D715</f>
        <v>416500</v>
      </c>
    </row>
    <row r="716" customFormat="false" ht="15" hidden="false" customHeight="false" outlineLevel="0" collapsed="false">
      <c r="A716" s="11" t="n">
        <v>14</v>
      </c>
      <c r="B716" s="23" t="s">
        <v>499</v>
      </c>
      <c r="C716" s="13" t="n">
        <v>416500</v>
      </c>
      <c r="D716" s="13"/>
      <c r="E716" s="14" t="n">
        <f aca="false">C716-D716</f>
        <v>416500</v>
      </c>
    </row>
    <row r="717" customFormat="false" ht="15" hidden="false" customHeight="false" outlineLevel="0" collapsed="false">
      <c r="A717" s="11" t="n">
        <v>15</v>
      </c>
      <c r="B717" s="23" t="s">
        <v>500</v>
      </c>
      <c r="C717" s="13" t="n">
        <v>416500</v>
      </c>
      <c r="D717" s="13"/>
      <c r="E717" s="14" t="n">
        <f aca="false">C717-D717</f>
        <v>416500</v>
      </c>
    </row>
    <row r="718" customFormat="false" ht="15" hidden="false" customHeight="false" outlineLevel="0" collapsed="false">
      <c r="A718" s="11" t="n">
        <v>16</v>
      </c>
      <c r="B718" s="23" t="s">
        <v>501</v>
      </c>
      <c r="C718" s="13" t="n">
        <v>416500</v>
      </c>
      <c r="D718" s="13" t="n">
        <f aca="false">193500</f>
        <v>193500</v>
      </c>
      <c r="E718" s="14" t="n">
        <f aca="false">C718-D718</f>
        <v>223000</v>
      </c>
    </row>
    <row r="719" customFormat="false" ht="15" hidden="false" customHeight="false" outlineLevel="0" collapsed="false">
      <c r="A719" s="11" t="n">
        <v>17</v>
      </c>
      <c r="B719" s="23" t="s">
        <v>502</v>
      </c>
      <c r="C719" s="13" t="n">
        <v>416500</v>
      </c>
      <c r="D719" s="13"/>
      <c r="E719" s="14" t="n">
        <f aca="false">C719-D719</f>
        <v>416500</v>
      </c>
    </row>
    <row r="720" customFormat="false" ht="19.7" hidden="false" customHeight="false" outlineLevel="0" collapsed="false">
      <c r="A720" s="29"/>
      <c r="B720" s="17" t="s">
        <v>42</v>
      </c>
      <c r="C720" s="18" t="n">
        <f aca="false">SUM(C703:C719)</f>
        <v>7080500</v>
      </c>
      <c r="D720" s="19" t="n">
        <f aca="false">SUM(D703:D719)</f>
        <v>4016000</v>
      </c>
      <c r="E720" s="20" t="n">
        <f aca="false">SUM(E703:E719)</f>
        <v>3064500</v>
      </c>
    </row>
    <row r="722" customFormat="false" ht="15" hidden="false" customHeight="false" outlineLevel="0" collapsed="false">
      <c r="A722" s="21"/>
    </row>
    <row r="725" customFormat="false" ht="17.35" hidden="false" customHeight="false" outlineLevel="0" collapsed="false">
      <c r="A725" s="21"/>
      <c r="B725" s="2" t="s">
        <v>0</v>
      </c>
    </row>
    <row r="726" customFormat="false" ht="15" hidden="false" customHeight="false" outlineLevel="0" collapsed="false">
      <c r="A726" s="21"/>
    </row>
    <row r="727" customFormat="false" ht="17.35" hidden="false" customHeight="false" outlineLevel="0" collapsed="false">
      <c r="A727" s="21"/>
      <c r="B727" s="4" t="s">
        <v>2</v>
      </c>
    </row>
    <row r="728" customFormat="false" ht="15" hidden="false" customHeight="false" outlineLevel="0" collapsed="false">
      <c r="A728" s="21"/>
      <c r="B728" s="5" t="s">
        <v>503</v>
      </c>
    </row>
    <row r="729" customFormat="false" ht="15" hidden="false" customHeight="false" outlineLevel="0" collapsed="false">
      <c r="A729" s="21"/>
    </row>
    <row r="730" customFormat="false" ht="15" hidden="false" customHeight="false" outlineLevel="0" collapsed="false">
      <c r="A730" s="6" t="s">
        <v>4</v>
      </c>
      <c r="B730" s="7" t="s">
        <v>5</v>
      </c>
      <c r="C730" s="8" t="s">
        <v>6</v>
      </c>
      <c r="D730" s="9" t="s">
        <v>7</v>
      </c>
      <c r="E730" s="10" t="s">
        <v>8</v>
      </c>
    </row>
    <row r="731" customFormat="false" ht="15" hidden="false" customHeight="false" outlineLevel="0" collapsed="false">
      <c r="A731" s="11" t="n">
        <v>1</v>
      </c>
      <c r="B731" s="23" t="s">
        <v>504</v>
      </c>
      <c r="C731" s="13" t="n">
        <v>416500</v>
      </c>
      <c r="D731" s="13" t="n">
        <f aca="false">166500+50000+200000</f>
        <v>416500</v>
      </c>
      <c r="E731" s="14" t="n">
        <f aca="false">C731-D731</f>
        <v>0</v>
      </c>
    </row>
    <row r="732" customFormat="false" ht="15" hidden="false" customHeight="false" outlineLevel="0" collapsed="false">
      <c r="A732" s="11" t="n">
        <v>2</v>
      </c>
      <c r="B732" s="23" t="s">
        <v>505</v>
      </c>
      <c r="C732" s="13" t="n">
        <v>416500</v>
      </c>
      <c r="D732" s="13" t="n">
        <f aca="false">100000+100000+216500</f>
        <v>416500</v>
      </c>
      <c r="E732" s="14" t="n">
        <v>0</v>
      </c>
    </row>
    <row r="733" customFormat="false" ht="15" hidden="false" customHeight="false" outlineLevel="0" collapsed="false">
      <c r="A733" s="11" t="n">
        <v>3</v>
      </c>
      <c r="B733" s="23" t="s">
        <v>506</v>
      </c>
      <c r="C733" s="13" t="n">
        <v>416500</v>
      </c>
      <c r="D733" s="13" t="n">
        <f aca="false">299500+117000</f>
        <v>416500</v>
      </c>
      <c r="E733" s="14" t="n">
        <f aca="false">C733-D733</f>
        <v>0</v>
      </c>
    </row>
    <row r="734" customFormat="false" ht="15" hidden="false" customHeight="false" outlineLevel="0" collapsed="false">
      <c r="A734" s="11" t="n">
        <v>4</v>
      </c>
      <c r="B734" s="23" t="s">
        <v>507</v>
      </c>
      <c r="C734" s="13" t="n">
        <v>416500</v>
      </c>
      <c r="D734" s="13" t="n">
        <f aca="false">80000+336500</f>
        <v>416500</v>
      </c>
      <c r="E734" s="14" t="n">
        <f aca="false">C734-D734</f>
        <v>0</v>
      </c>
    </row>
    <row r="735" customFormat="false" ht="15" hidden="false" customHeight="false" outlineLevel="0" collapsed="false">
      <c r="A735" s="11" t="n">
        <v>5</v>
      </c>
      <c r="B735" s="23" t="s">
        <v>508</v>
      </c>
      <c r="C735" s="13" t="n">
        <v>416500</v>
      </c>
      <c r="D735" s="13" t="n">
        <f aca="false">100000+166500+150000</f>
        <v>416500</v>
      </c>
      <c r="E735" s="14" t="n">
        <f aca="false">C735-D735</f>
        <v>0</v>
      </c>
    </row>
    <row r="736" customFormat="false" ht="15" hidden="false" customHeight="false" outlineLevel="0" collapsed="false">
      <c r="A736" s="11" t="n">
        <v>6</v>
      </c>
      <c r="B736" s="23" t="s">
        <v>509</v>
      </c>
      <c r="C736" s="13" t="n">
        <v>416500</v>
      </c>
      <c r="D736" s="13" t="n">
        <f aca="false">100000+50000</f>
        <v>150000</v>
      </c>
      <c r="E736" s="14" t="n">
        <f aca="false">C736-D736</f>
        <v>266500</v>
      </c>
    </row>
    <row r="737" customFormat="false" ht="15" hidden="false" customHeight="false" outlineLevel="0" collapsed="false">
      <c r="A737" s="11" t="n">
        <v>7</v>
      </c>
      <c r="B737" s="34" t="s">
        <v>510</v>
      </c>
      <c r="C737" s="35" t="n">
        <v>316500</v>
      </c>
      <c r="D737" s="35" t="n">
        <f aca="false">300000+16500</f>
        <v>316500</v>
      </c>
      <c r="E737" s="27" t="n">
        <f aca="false">C737-D737</f>
        <v>0</v>
      </c>
    </row>
    <row r="738" customFormat="false" ht="15" hidden="false" customHeight="false" outlineLevel="0" collapsed="false">
      <c r="A738" s="11" t="n">
        <v>8</v>
      </c>
      <c r="B738" s="23" t="s">
        <v>511</v>
      </c>
      <c r="C738" s="13" t="n">
        <v>416500</v>
      </c>
      <c r="D738" s="13" t="n">
        <f aca="false">216500+200000</f>
        <v>416500</v>
      </c>
      <c r="E738" s="14" t="n">
        <f aca="false">C738-D738</f>
        <v>0</v>
      </c>
    </row>
    <row r="739" customFormat="false" ht="15" hidden="false" customHeight="false" outlineLevel="0" collapsed="false">
      <c r="A739" s="11" t="n">
        <v>9</v>
      </c>
      <c r="B739" s="23" t="s">
        <v>512</v>
      </c>
      <c r="C739" s="13" t="n">
        <v>416500</v>
      </c>
      <c r="D739" s="13" t="n">
        <f aca="false">200000+216500</f>
        <v>416500</v>
      </c>
      <c r="E739" s="14" t="n">
        <f aca="false">C739-D739</f>
        <v>0</v>
      </c>
    </row>
    <row r="740" customFormat="false" ht="15" hidden="false" customHeight="false" outlineLevel="0" collapsed="false">
      <c r="A740" s="11" t="n">
        <v>10</v>
      </c>
      <c r="B740" s="23" t="s">
        <v>513</v>
      </c>
      <c r="C740" s="13" t="n">
        <v>416500</v>
      </c>
      <c r="D740" s="13" t="n">
        <f aca="false">216500+200000</f>
        <v>416500</v>
      </c>
      <c r="E740" s="14" t="n">
        <f aca="false">C740-D740</f>
        <v>0</v>
      </c>
    </row>
    <row r="741" customFormat="false" ht="15" hidden="false" customHeight="false" outlineLevel="0" collapsed="false">
      <c r="A741" s="11" t="n">
        <v>11</v>
      </c>
      <c r="B741" s="23" t="s">
        <v>514</v>
      </c>
      <c r="C741" s="13" t="n">
        <v>416500</v>
      </c>
      <c r="D741" s="13" t="n">
        <f aca="false">150000</f>
        <v>150000</v>
      </c>
      <c r="E741" s="14" t="n">
        <f aca="false">C741-D741</f>
        <v>266500</v>
      </c>
    </row>
    <row r="742" customFormat="false" ht="15" hidden="false" customHeight="false" outlineLevel="0" collapsed="false">
      <c r="A742" s="11" t="n">
        <v>12</v>
      </c>
      <c r="B742" s="23" t="s">
        <v>515</v>
      </c>
      <c r="C742" s="13" t="n">
        <v>416500</v>
      </c>
      <c r="D742" s="13" t="n">
        <f aca="false">249500+166500+500</f>
        <v>416500</v>
      </c>
      <c r="E742" s="14" t="n">
        <f aca="false">C742-D742</f>
        <v>0</v>
      </c>
    </row>
    <row r="743" customFormat="false" ht="15" hidden="false" customHeight="false" outlineLevel="0" collapsed="false">
      <c r="A743" s="11" t="n">
        <v>13</v>
      </c>
      <c r="B743" s="23" t="s">
        <v>516</v>
      </c>
      <c r="C743" s="13" t="n">
        <v>416500</v>
      </c>
      <c r="D743" s="13" t="n">
        <f aca="false">150000+166500+100000</f>
        <v>416500</v>
      </c>
      <c r="E743" s="14" t="n">
        <f aca="false">C743-D743</f>
        <v>0</v>
      </c>
    </row>
    <row r="744" customFormat="false" ht="15" hidden="false" customHeight="false" outlineLevel="0" collapsed="false">
      <c r="A744" s="11" t="n">
        <v>14</v>
      </c>
      <c r="B744" s="23" t="s">
        <v>517</v>
      </c>
      <c r="C744" s="13" t="n">
        <v>416500</v>
      </c>
      <c r="D744" s="13" t="n">
        <f aca="false">50000+100000+100000+100000+66500</f>
        <v>416500</v>
      </c>
      <c r="E744" s="14" t="n">
        <f aca="false">C744-D744</f>
        <v>0</v>
      </c>
    </row>
    <row r="745" customFormat="false" ht="15" hidden="false" customHeight="false" outlineLevel="0" collapsed="false">
      <c r="A745" s="11" t="n">
        <v>15</v>
      </c>
      <c r="B745" s="23" t="s">
        <v>518</v>
      </c>
      <c r="C745" s="13" t="n">
        <v>416500</v>
      </c>
      <c r="D745" s="13" t="n">
        <f aca="false">216000+100000+100000+500</f>
        <v>416500</v>
      </c>
      <c r="E745" s="14" t="n">
        <f aca="false">C745-D745</f>
        <v>0</v>
      </c>
    </row>
    <row r="746" customFormat="false" ht="19.7" hidden="false" customHeight="false" outlineLevel="0" collapsed="false">
      <c r="A746" s="29"/>
      <c r="B746" s="17" t="s">
        <v>42</v>
      </c>
      <c r="C746" s="18" t="n">
        <f aca="false">SUM(C731:C745)</f>
        <v>6147500</v>
      </c>
      <c r="D746" s="19" t="n">
        <f aca="false">SUM(D731:D745)</f>
        <v>5614500</v>
      </c>
      <c r="E746" s="20" t="n">
        <f aca="false">SUM(E731:E745)</f>
        <v>533000</v>
      </c>
    </row>
    <row r="749" customFormat="false" ht="15" hidden="false" customHeight="false" outlineLevel="0" collapsed="false">
      <c r="A749" s="21"/>
    </row>
    <row r="750" customFormat="false" ht="15" hidden="false" customHeight="false" outlineLevel="0" collapsed="false">
      <c r="A750" s="21"/>
    </row>
    <row r="751" customFormat="false" ht="17.35" hidden="false" customHeight="false" outlineLevel="0" collapsed="false">
      <c r="A751" s="21"/>
      <c r="B751" s="2" t="s">
        <v>0</v>
      </c>
    </row>
    <row r="752" customFormat="false" ht="15" hidden="false" customHeight="false" outlineLevel="0" collapsed="false">
      <c r="A752" s="21"/>
    </row>
    <row r="753" customFormat="false" ht="17.35" hidden="false" customHeight="false" outlineLevel="0" collapsed="false">
      <c r="A753" s="21"/>
      <c r="B753" s="4" t="s">
        <v>43</v>
      </c>
    </row>
    <row r="754" customFormat="false" ht="15" hidden="false" customHeight="false" outlineLevel="0" collapsed="false">
      <c r="A754" s="21"/>
      <c r="B754" s="5" t="s">
        <v>503</v>
      </c>
    </row>
    <row r="755" customFormat="false" ht="15" hidden="false" customHeight="false" outlineLevel="0" collapsed="false">
      <c r="A755" s="21"/>
    </row>
    <row r="756" customFormat="false" ht="15" hidden="false" customHeight="false" outlineLevel="0" collapsed="false">
      <c r="A756" s="6" t="s">
        <v>4</v>
      </c>
      <c r="B756" s="7" t="s">
        <v>5</v>
      </c>
      <c r="C756" s="8" t="s">
        <v>6</v>
      </c>
      <c r="D756" s="9" t="s">
        <v>7</v>
      </c>
      <c r="E756" s="10" t="s">
        <v>8</v>
      </c>
    </row>
    <row r="757" customFormat="false" ht="15" hidden="false" customHeight="false" outlineLevel="0" collapsed="false">
      <c r="A757" s="11" t="n">
        <v>1</v>
      </c>
      <c r="B757" s="23" t="s">
        <v>519</v>
      </c>
      <c r="C757" s="13" t="n">
        <v>416500</v>
      </c>
      <c r="D757" s="13" t="n">
        <f aca="false">119500+297000</f>
        <v>416500</v>
      </c>
      <c r="E757" s="14" t="n">
        <f aca="false">C757-D757</f>
        <v>0</v>
      </c>
    </row>
    <row r="758" customFormat="false" ht="15" hidden="false" customHeight="false" outlineLevel="0" collapsed="false">
      <c r="A758" s="11" t="n">
        <v>2</v>
      </c>
      <c r="B758" s="23" t="s">
        <v>520</v>
      </c>
      <c r="C758" s="13" t="n">
        <v>416500</v>
      </c>
      <c r="D758" s="13" t="n">
        <f aca="false">16500+150000+100000+150000</f>
        <v>416500</v>
      </c>
      <c r="E758" s="14" t="n">
        <f aca="false">C758-D758</f>
        <v>0</v>
      </c>
    </row>
    <row r="759" customFormat="false" ht="15" hidden="false" customHeight="false" outlineLevel="0" collapsed="false">
      <c r="A759" s="11" t="n">
        <v>3</v>
      </c>
      <c r="B759" s="23" t="s">
        <v>521</v>
      </c>
      <c r="C759" s="13" t="n">
        <v>416500</v>
      </c>
      <c r="D759" s="13" t="n">
        <f aca="false">216500+200000</f>
        <v>416500</v>
      </c>
      <c r="E759" s="14" t="n">
        <f aca="false">C759-D759</f>
        <v>0</v>
      </c>
    </row>
    <row r="760" customFormat="false" ht="15" hidden="false" customHeight="false" outlineLevel="0" collapsed="false">
      <c r="A760" s="11" t="n">
        <v>4</v>
      </c>
      <c r="B760" s="23" t="s">
        <v>522</v>
      </c>
      <c r="C760" s="13" t="n">
        <v>416500</v>
      </c>
      <c r="D760" s="13"/>
      <c r="E760" s="14" t="n">
        <f aca="false">C760-D760</f>
        <v>416500</v>
      </c>
    </row>
    <row r="761" customFormat="false" ht="15" hidden="false" customHeight="false" outlineLevel="0" collapsed="false">
      <c r="A761" s="11" t="n">
        <v>5</v>
      </c>
      <c r="B761" s="23" t="s">
        <v>523</v>
      </c>
      <c r="C761" s="13" t="n">
        <v>416500</v>
      </c>
      <c r="D761" s="13" t="n">
        <f aca="false">100000+100000+216500</f>
        <v>416500</v>
      </c>
      <c r="E761" s="14" t="n">
        <f aca="false">C761-D761</f>
        <v>0</v>
      </c>
    </row>
    <row r="762" customFormat="false" ht="15" hidden="false" customHeight="false" outlineLevel="0" collapsed="false">
      <c r="A762" s="11" t="n">
        <v>6</v>
      </c>
      <c r="B762" s="23" t="s">
        <v>524</v>
      </c>
      <c r="C762" s="13" t="n">
        <v>416500</v>
      </c>
      <c r="D762" s="13" t="n">
        <v>416500</v>
      </c>
      <c r="E762" s="14" t="n">
        <f aca="false">C762-D762</f>
        <v>0</v>
      </c>
    </row>
    <row r="763" customFormat="false" ht="15" hidden="false" customHeight="false" outlineLevel="0" collapsed="false">
      <c r="A763" s="11" t="n">
        <v>7</v>
      </c>
      <c r="B763" s="23" t="s">
        <v>525</v>
      </c>
      <c r="C763" s="13" t="n">
        <v>416500</v>
      </c>
      <c r="D763" s="13"/>
      <c r="E763" s="14" t="n">
        <f aca="false">C763-D763</f>
        <v>416500</v>
      </c>
    </row>
    <row r="764" customFormat="false" ht="15" hidden="false" customHeight="false" outlineLevel="0" collapsed="false">
      <c r="A764" s="11" t="n">
        <v>8</v>
      </c>
      <c r="B764" s="24" t="s">
        <v>526</v>
      </c>
      <c r="C764" s="13" t="n">
        <v>416500</v>
      </c>
      <c r="D764" s="13" t="n">
        <f aca="false">116500+250000+50000</f>
        <v>416500</v>
      </c>
      <c r="E764" s="14" t="n">
        <f aca="false">C764-D764</f>
        <v>0</v>
      </c>
    </row>
    <row r="765" customFormat="false" ht="15" hidden="false" customHeight="false" outlineLevel="0" collapsed="false">
      <c r="A765" s="11" t="n">
        <v>9</v>
      </c>
      <c r="B765" s="23" t="s">
        <v>527</v>
      </c>
      <c r="C765" s="13" t="n">
        <v>416500</v>
      </c>
      <c r="D765" s="13" t="n">
        <f aca="false">100000+16500+100000+200000</f>
        <v>416500</v>
      </c>
      <c r="E765" s="14" t="n">
        <f aca="false">C765-D765</f>
        <v>0</v>
      </c>
    </row>
    <row r="766" customFormat="false" ht="15" hidden="false" customHeight="false" outlineLevel="0" collapsed="false">
      <c r="A766" s="11" t="n">
        <v>10</v>
      </c>
      <c r="B766" s="23" t="s">
        <v>528</v>
      </c>
      <c r="C766" s="13" t="n">
        <v>416500</v>
      </c>
      <c r="D766" s="13" t="n">
        <f aca="false">316500+100000</f>
        <v>416500</v>
      </c>
      <c r="E766" s="14" t="n">
        <f aca="false">C766-D766</f>
        <v>0</v>
      </c>
    </row>
    <row r="767" customFormat="false" ht="15" hidden="false" customHeight="false" outlineLevel="0" collapsed="false">
      <c r="A767" s="11" t="n">
        <v>11</v>
      </c>
      <c r="B767" s="23" t="s">
        <v>529</v>
      </c>
      <c r="C767" s="13" t="n">
        <v>416500</v>
      </c>
      <c r="D767" s="13" t="n">
        <f aca="false">400000+16500</f>
        <v>416500</v>
      </c>
      <c r="E767" s="14" t="n">
        <f aca="false">C767-D767</f>
        <v>0</v>
      </c>
    </row>
    <row r="768" customFormat="false" ht="15" hidden="false" customHeight="false" outlineLevel="0" collapsed="false">
      <c r="A768" s="11" t="n">
        <v>12</v>
      </c>
      <c r="B768" s="23" t="s">
        <v>530</v>
      </c>
      <c r="C768" s="13" t="n">
        <v>416500</v>
      </c>
      <c r="D768" s="13" t="n">
        <v>216500</v>
      </c>
      <c r="E768" s="14" t="n">
        <f aca="false">C768-D768</f>
        <v>200000</v>
      </c>
    </row>
    <row r="769" customFormat="false" ht="15" hidden="false" customHeight="false" outlineLevel="0" collapsed="false">
      <c r="A769" s="11" t="n">
        <v>13</v>
      </c>
      <c r="B769" s="23" t="s">
        <v>531</v>
      </c>
      <c r="C769" s="13" t="n">
        <v>416500</v>
      </c>
      <c r="D769" s="13" t="n">
        <f aca="false">200500+216000</f>
        <v>416500</v>
      </c>
      <c r="E769" s="14" t="n">
        <f aca="false">C769-D769</f>
        <v>0</v>
      </c>
    </row>
    <row r="770" customFormat="false" ht="15" hidden="false" customHeight="false" outlineLevel="0" collapsed="false">
      <c r="A770" s="11" t="n">
        <v>14</v>
      </c>
      <c r="B770" s="24" t="s">
        <v>532</v>
      </c>
      <c r="C770" s="13" t="n">
        <v>416500</v>
      </c>
      <c r="D770" s="13" t="n">
        <f aca="false">100000+316500</f>
        <v>416500</v>
      </c>
      <c r="E770" s="14" t="n">
        <f aca="false">C770-D770</f>
        <v>0</v>
      </c>
    </row>
    <row r="771" customFormat="false" ht="19.7" hidden="false" customHeight="false" outlineLevel="0" collapsed="false">
      <c r="A771" s="29"/>
      <c r="B771" s="17" t="s">
        <v>42</v>
      </c>
      <c r="C771" s="18" t="n">
        <f aca="false">SUM(C757:C770)</f>
        <v>5831000</v>
      </c>
      <c r="D771" s="19" t="n">
        <f aca="false">SUM(D757:D770)</f>
        <v>4798000</v>
      </c>
      <c r="E771" s="20" t="n">
        <f aca="false">SUM(E757:E770)</f>
        <v>1033000</v>
      </c>
    </row>
    <row r="775" customFormat="false" ht="17.35" hidden="false" customHeight="false" outlineLevel="0" collapsed="false">
      <c r="A775" s="22"/>
      <c r="B775" s="2" t="s">
        <v>0</v>
      </c>
    </row>
    <row r="776" customFormat="false" ht="15" hidden="false" customHeight="false" outlineLevel="0" collapsed="false">
      <c r="A776" s="21"/>
    </row>
    <row r="777" customFormat="false" ht="17.35" hidden="false" customHeight="false" outlineLevel="0" collapsed="false">
      <c r="A777" s="21"/>
      <c r="B777" s="4" t="s">
        <v>43</v>
      </c>
    </row>
    <row r="778" customFormat="false" ht="15" hidden="false" customHeight="false" outlineLevel="0" collapsed="false">
      <c r="A778" s="21"/>
      <c r="B778" s="5" t="s">
        <v>533</v>
      </c>
    </row>
    <row r="779" customFormat="false" ht="15" hidden="false" customHeight="false" outlineLevel="0" collapsed="false">
      <c r="A779" s="21"/>
    </row>
    <row r="780" customFormat="false" ht="15" hidden="false" customHeight="false" outlineLevel="0" collapsed="false">
      <c r="A780" s="6" t="s">
        <v>4</v>
      </c>
      <c r="B780" s="7" t="s">
        <v>5</v>
      </c>
      <c r="C780" s="8" t="s">
        <v>6</v>
      </c>
      <c r="D780" s="9" t="s">
        <v>7</v>
      </c>
      <c r="E780" s="10" t="s">
        <v>8</v>
      </c>
    </row>
    <row r="781" customFormat="false" ht="15" hidden="false" customHeight="false" outlineLevel="0" collapsed="false">
      <c r="A781" s="11" t="n">
        <v>1</v>
      </c>
      <c r="B781" s="34" t="s">
        <v>534</v>
      </c>
      <c r="C781" s="13" t="n">
        <v>416500</v>
      </c>
      <c r="D781" s="13"/>
      <c r="E781" s="14" t="n">
        <f aca="false">C781-D781</f>
        <v>416500</v>
      </c>
    </row>
    <row r="782" customFormat="false" ht="15" hidden="false" customHeight="false" outlineLevel="0" collapsed="false">
      <c r="A782" s="11" t="n">
        <v>2</v>
      </c>
      <c r="B782" s="23" t="s">
        <v>535</v>
      </c>
      <c r="C782" s="13" t="n">
        <v>416500</v>
      </c>
      <c r="D782" s="13" t="n">
        <v>100000</v>
      </c>
      <c r="E782" s="14" t="n">
        <f aca="false">C782-D782</f>
        <v>316500</v>
      </c>
    </row>
    <row r="783" customFormat="false" ht="15" hidden="false" customHeight="false" outlineLevel="0" collapsed="false">
      <c r="A783" s="11" t="n">
        <v>3</v>
      </c>
      <c r="B783" s="23" t="s">
        <v>536</v>
      </c>
      <c r="C783" s="13" t="n">
        <v>416500</v>
      </c>
      <c r="D783" s="13" t="n">
        <f aca="false">166500+150000+100000</f>
        <v>416500</v>
      </c>
      <c r="E783" s="14" t="n">
        <f aca="false">C783-D783</f>
        <v>0</v>
      </c>
    </row>
    <row r="784" customFormat="false" ht="15" hidden="false" customHeight="false" outlineLevel="0" collapsed="false">
      <c r="A784" s="11" t="n">
        <v>4</v>
      </c>
      <c r="B784" s="23" t="s">
        <v>537</v>
      </c>
      <c r="C784" s="13" t="n">
        <v>416500</v>
      </c>
      <c r="D784" s="13" t="n">
        <f aca="false">200000+200000+16500</f>
        <v>416500</v>
      </c>
      <c r="E784" s="14" t="n">
        <f aca="false">C784-D784</f>
        <v>0</v>
      </c>
    </row>
    <row r="785" customFormat="false" ht="15" hidden="false" customHeight="false" outlineLevel="0" collapsed="false">
      <c r="A785" s="11" t="n">
        <v>5</v>
      </c>
      <c r="B785" s="23" t="s">
        <v>538</v>
      </c>
      <c r="C785" s="13" t="n">
        <v>416500</v>
      </c>
      <c r="D785" s="13" t="n">
        <f aca="false">100000+265550+51000</f>
        <v>416550</v>
      </c>
      <c r="E785" s="14" t="n">
        <f aca="false">C785-D785</f>
        <v>-50</v>
      </c>
    </row>
    <row r="786" customFormat="false" ht="15" hidden="false" customHeight="false" outlineLevel="0" collapsed="false">
      <c r="A786" s="11" t="n">
        <v>6</v>
      </c>
      <c r="B786" s="23" t="s">
        <v>539</v>
      </c>
      <c r="C786" s="13" t="n">
        <v>416500</v>
      </c>
      <c r="D786" s="13" t="n">
        <f aca="false">416000</f>
        <v>416000</v>
      </c>
      <c r="E786" s="14" t="n">
        <f aca="false">C786-D786</f>
        <v>500</v>
      </c>
    </row>
    <row r="787" customFormat="false" ht="15" hidden="false" customHeight="false" outlineLevel="0" collapsed="false">
      <c r="A787" s="11" t="n">
        <v>7</v>
      </c>
      <c r="B787" s="34" t="s">
        <v>540</v>
      </c>
      <c r="C787" s="13" t="n">
        <v>416500</v>
      </c>
      <c r="D787" s="13"/>
      <c r="E787" s="14" t="n">
        <f aca="false">C787-D787</f>
        <v>416500</v>
      </c>
    </row>
    <row r="788" customFormat="false" ht="15" hidden="false" customHeight="false" outlineLevel="0" collapsed="false">
      <c r="A788" s="11" t="n">
        <v>8</v>
      </c>
      <c r="B788" s="23" t="s">
        <v>541</v>
      </c>
      <c r="C788" s="13" t="n">
        <v>416500</v>
      </c>
      <c r="D788" s="13" t="n">
        <f aca="false">100000+100000+116500+100000</f>
        <v>416500</v>
      </c>
      <c r="E788" s="14" t="n">
        <f aca="false">C788-D788</f>
        <v>0</v>
      </c>
    </row>
    <row r="789" customFormat="false" ht="15" hidden="false" customHeight="false" outlineLevel="0" collapsed="false">
      <c r="A789" s="11" t="n">
        <v>9</v>
      </c>
      <c r="B789" s="23" t="s">
        <v>542</v>
      </c>
      <c r="C789" s="13" t="n">
        <v>416500</v>
      </c>
      <c r="D789" s="13"/>
      <c r="E789" s="14" t="n">
        <f aca="false">C789-D789</f>
        <v>416500</v>
      </c>
    </row>
    <row r="790" customFormat="false" ht="15" hidden="false" customHeight="false" outlineLevel="0" collapsed="false">
      <c r="A790" s="11" t="n">
        <v>10</v>
      </c>
      <c r="B790" s="23" t="s">
        <v>543</v>
      </c>
      <c r="C790" s="13" t="n">
        <v>416500</v>
      </c>
      <c r="D790" s="13" t="n">
        <f aca="false">287500+70000+50000+9000</f>
        <v>416500</v>
      </c>
      <c r="E790" s="14" t="n">
        <f aca="false">C790-D790</f>
        <v>0</v>
      </c>
    </row>
    <row r="791" customFormat="false" ht="15" hidden="false" customHeight="false" outlineLevel="0" collapsed="false">
      <c r="A791" s="11" t="n">
        <v>11</v>
      </c>
      <c r="B791" s="23" t="s">
        <v>544</v>
      </c>
      <c r="C791" s="13" t="n">
        <v>416500</v>
      </c>
      <c r="D791" s="13" t="n">
        <f aca="false">156500+260000</f>
        <v>416500</v>
      </c>
      <c r="E791" s="14" t="n">
        <f aca="false">C791-D791</f>
        <v>0</v>
      </c>
    </row>
    <row r="792" customFormat="false" ht="15" hidden="false" customHeight="false" outlineLevel="0" collapsed="false">
      <c r="A792" s="11" t="n">
        <v>12</v>
      </c>
      <c r="B792" s="23" t="s">
        <v>545</v>
      </c>
      <c r="C792" s="13" t="n">
        <v>416500</v>
      </c>
      <c r="D792" s="13" t="n">
        <f aca="false">100000+100000+45000+1500+100000+70000</f>
        <v>416500</v>
      </c>
      <c r="E792" s="14" t="n">
        <f aca="false">C792-D792</f>
        <v>0</v>
      </c>
    </row>
    <row r="793" customFormat="false" ht="15" hidden="false" customHeight="false" outlineLevel="0" collapsed="false">
      <c r="A793" s="11" t="n">
        <v>13</v>
      </c>
      <c r="B793" s="23" t="s">
        <v>546</v>
      </c>
      <c r="C793" s="13" t="n">
        <v>416500</v>
      </c>
      <c r="D793" s="13" t="n">
        <f aca="false">31500+100000+70000+100000+50000+65000</f>
        <v>416500</v>
      </c>
      <c r="E793" s="14" t="n">
        <f aca="false">C793-D793</f>
        <v>0</v>
      </c>
    </row>
    <row r="794" customFormat="false" ht="15" hidden="false" customHeight="false" outlineLevel="0" collapsed="false">
      <c r="A794" s="11" t="n">
        <v>14</v>
      </c>
      <c r="B794" s="24" t="s">
        <v>547</v>
      </c>
      <c r="C794" s="13" t="n">
        <v>416500</v>
      </c>
      <c r="D794" s="1" t="n">
        <f aca="false">16500+200000+200000</f>
        <v>416500</v>
      </c>
      <c r="E794" s="14" t="n">
        <f aca="false">C794-D794</f>
        <v>0</v>
      </c>
    </row>
    <row r="795" customFormat="false" ht="19.7" hidden="false" customHeight="false" outlineLevel="0" collapsed="false">
      <c r="A795" s="29"/>
      <c r="B795" s="17" t="s">
        <v>42</v>
      </c>
      <c r="C795" s="18" t="n">
        <f aca="false">SUM(C781:C794)</f>
        <v>5831000</v>
      </c>
      <c r="D795" s="19" t="n">
        <f aca="false">SUM(D781:D794)</f>
        <v>4264550</v>
      </c>
      <c r="E795" s="20" t="n">
        <f aca="false">SUM(E781:E794)</f>
        <v>1566450</v>
      </c>
    </row>
    <row r="797" customFormat="false" ht="15" hidden="false" customHeight="false" outlineLevel="0" collapsed="false">
      <c r="E797" s="13"/>
    </row>
    <row r="802" customFormat="false" ht="17.35" hidden="false" customHeight="false" outlineLevel="0" collapsed="false">
      <c r="A802" s="22"/>
      <c r="B802" s="2" t="s">
        <v>0</v>
      </c>
    </row>
    <row r="803" customFormat="false" ht="15" hidden="false" customHeight="false" outlineLevel="0" collapsed="false">
      <c r="A803" s="21"/>
    </row>
    <row r="804" customFormat="false" ht="17.35" hidden="false" customHeight="false" outlineLevel="0" collapsed="false">
      <c r="A804" s="21"/>
      <c r="B804" s="4" t="s">
        <v>89</v>
      </c>
    </row>
    <row r="805" customFormat="false" ht="15" hidden="false" customHeight="false" outlineLevel="0" collapsed="false">
      <c r="A805" s="21"/>
      <c r="B805" s="5" t="s">
        <v>533</v>
      </c>
    </row>
    <row r="806" customFormat="false" ht="15" hidden="false" customHeight="false" outlineLevel="0" collapsed="false">
      <c r="A806" s="21"/>
    </row>
    <row r="807" customFormat="false" ht="15" hidden="false" customHeight="false" outlineLevel="0" collapsed="false">
      <c r="A807" s="6" t="s">
        <v>4</v>
      </c>
      <c r="B807" s="7" t="s">
        <v>5</v>
      </c>
      <c r="C807" s="8" t="s">
        <v>6</v>
      </c>
      <c r="D807" s="9" t="s">
        <v>7</v>
      </c>
      <c r="E807" s="10" t="s">
        <v>8</v>
      </c>
    </row>
    <row r="808" customFormat="false" ht="15" hidden="false" customHeight="false" outlineLevel="0" collapsed="false">
      <c r="A808" s="11" t="n">
        <v>1</v>
      </c>
      <c r="B808" s="23" t="s">
        <v>548</v>
      </c>
      <c r="C808" s="67" t="n">
        <v>416500</v>
      </c>
      <c r="D808" s="67"/>
      <c r="E808" s="68" t="n">
        <f aca="false">C808-D808</f>
        <v>416500</v>
      </c>
    </row>
    <row r="809" customFormat="false" ht="15" hidden="false" customHeight="false" outlineLevel="0" collapsed="false">
      <c r="A809" s="11" t="n">
        <v>2</v>
      </c>
      <c r="B809" s="23" t="s">
        <v>549</v>
      </c>
      <c r="C809" s="67" t="n">
        <v>416500</v>
      </c>
      <c r="D809" s="67" t="n">
        <v>416500</v>
      </c>
      <c r="E809" s="68" t="n">
        <f aca="false">C809-D809</f>
        <v>0</v>
      </c>
    </row>
    <row r="810" customFormat="false" ht="15" hidden="false" customHeight="false" outlineLevel="0" collapsed="false">
      <c r="A810" s="11" t="n">
        <v>3</v>
      </c>
      <c r="B810" s="23" t="s">
        <v>550</v>
      </c>
      <c r="C810" s="67" t="n">
        <v>416500</v>
      </c>
      <c r="D810" s="67" t="n">
        <f aca="false">100000+100000+116500+50000+50000</f>
        <v>416500</v>
      </c>
      <c r="E810" s="68" t="n">
        <f aca="false">C810-D810</f>
        <v>0</v>
      </c>
    </row>
    <row r="811" customFormat="false" ht="15" hidden="false" customHeight="false" outlineLevel="0" collapsed="false">
      <c r="A811" s="11" t="n">
        <v>4</v>
      </c>
      <c r="B811" s="23" t="s">
        <v>551</v>
      </c>
      <c r="C811" s="67" t="n">
        <v>416500</v>
      </c>
      <c r="D811" s="67" t="n">
        <f aca="false">216500+200000</f>
        <v>416500</v>
      </c>
      <c r="E811" s="68" t="n">
        <f aca="false">C811-D811</f>
        <v>0</v>
      </c>
    </row>
    <row r="812" customFormat="false" ht="15" hidden="false" customHeight="false" outlineLevel="0" collapsed="false">
      <c r="A812" s="11" t="n">
        <v>5</v>
      </c>
      <c r="B812" s="23" t="s">
        <v>552</v>
      </c>
      <c r="C812" s="67" t="n">
        <v>416500</v>
      </c>
      <c r="D812" s="67" t="n">
        <v>416500</v>
      </c>
      <c r="E812" s="68" t="n">
        <f aca="false">C812-D812</f>
        <v>0</v>
      </c>
    </row>
    <row r="813" customFormat="false" ht="15" hidden="false" customHeight="false" outlineLevel="0" collapsed="false">
      <c r="A813" s="11" t="n">
        <v>6</v>
      </c>
      <c r="B813" s="23" t="s">
        <v>553</v>
      </c>
      <c r="C813" s="67" t="n">
        <v>416500</v>
      </c>
      <c r="D813" s="67" t="n">
        <v>16500</v>
      </c>
      <c r="E813" s="68" t="n">
        <f aca="false">C813-D813</f>
        <v>400000</v>
      </c>
    </row>
    <row r="814" customFormat="false" ht="15" hidden="false" customHeight="false" outlineLevel="0" collapsed="false">
      <c r="A814" s="11" t="n">
        <v>7</v>
      </c>
      <c r="B814" s="23" t="s">
        <v>554</v>
      </c>
      <c r="C814" s="67" t="n">
        <v>416500</v>
      </c>
      <c r="D814" s="67" t="n">
        <f aca="false">50000+245000</f>
        <v>295000</v>
      </c>
      <c r="E814" s="68" t="n">
        <f aca="false">C814-D814</f>
        <v>121500</v>
      </c>
    </row>
    <row r="815" customFormat="false" ht="15" hidden="false" customHeight="false" outlineLevel="0" collapsed="false">
      <c r="A815" s="11" t="n">
        <v>8</v>
      </c>
      <c r="B815" s="23" t="s">
        <v>555</v>
      </c>
      <c r="C815" s="67" t="n">
        <v>416500</v>
      </c>
      <c r="D815" s="67" t="n">
        <f aca="false">100000+50000+16500+100000+150000</f>
        <v>416500</v>
      </c>
      <c r="E815" s="68" t="n">
        <f aca="false">C815-D815</f>
        <v>0</v>
      </c>
    </row>
    <row r="816" customFormat="false" ht="15" hidden="false" customHeight="false" outlineLevel="0" collapsed="false">
      <c r="A816" s="11" t="n">
        <v>9</v>
      </c>
      <c r="B816" s="23" t="s">
        <v>556</v>
      </c>
      <c r="C816" s="67" t="n">
        <v>416500</v>
      </c>
      <c r="D816" s="67" t="n">
        <f aca="false">200000+216500</f>
        <v>416500</v>
      </c>
      <c r="E816" s="68" t="n">
        <f aca="false">C816-D816</f>
        <v>0</v>
      </c>
    </row>
    <row r="817" customFormat="false" ht="15" hidden="false" customHeight="false" outlineLevel="0" collapsed="false">
      <c r="A817" s="11" t="n">
        <v>10</v>
      </c>
      <c r="B817" s="23" t="s">
        <v>557</v>
      </c>
      <c r="C817" s="67" t="n">
        <v>416500</v>
      </c>
      <c r="D817" s="67"/>
      <c r="E817" s="68" t="n">
        <f aca="false">C817-D817</f>
        <v>416500</v>
      </c>
    </row>
    <row r="818" customFormat="false" ht="15" hidden="false" customHeight="false" outlineLevel="0" collapsed="false">
      <c r="A818" s="11" t="n">
        <v>11</v>
      </c>
      <c r="B818" s="23" t="s">
        <v>558</v>
      </c>
      <c r="C818" s="67" t="n">
        <v>416500</v>
      </c>
      <c r="D818" s="67" t="n">
        <f aca="false">150000+50000+50000+60000+50000+56500</f>
        <v>416500</v>
      </c>
      <c r="E818" s="68" t="n">
        <f aca="false">C818-D818</f>
        <v>0</v>
      </c>
    </row>
    <row r="819" customFormat="false" ht="15" hidden="false" customHeight="false" outlineLevel="0" collapsed="false">
      <c r="A819" s="11" t="n">
        <v>12</v>
      </c>
      <c r="B819" s="23" t="s">
        <v>559</v>
      </c>
      <c r="C819" s="67" t="n">
        <v>416500</v>
      </c>
      <c r="D819" s="67" t="n">
        <v>16500</v>
      </c>
      <c r="E819" s="68" t="n">
        <f aca="false">C819-D819</f>
        <v>400000</v>
      </c>
    </row>
    <row r="820" customFormat="false" ht="15" hidden="false" customHeight="false" outlineLevel="0" collapsed="false">
      <c r="A820" s="11" t="n">
        <v>13</v>
      </c>
      <c r="B820" s="23" t="s">
        <v>560</v>
      </c>
      <c r="C820" s="67" t="n">
        <v>416500</v>
      </c>
      <c r="D820" s="67"/>
      <c r="E820" s="68" t="n">
        <f aca="false">C820-D820</f>
        <v>416500</v>
      </c>
    </row>
    <row r="821" customFormat="false" ht="15" hidden="false" customHeight="false" outlineLevel="0" collapsed="false">
      <c r="A821" s="11" t="n">
        <v>14</v>
      </c>
      <c r="B821" s="23" t="s">
        <v>561</v>
      </c>
      <c r="C821" s="67" t="n">
        <v>416500</v>
      </c>
      <c r="D821" s="67" t="n">
        <f aca="false">199500+80000+137000</f>
        <v>416500</v>
      </c>
      <c r="E821" s="68" t="n">
        <f aca="false">C821-D821</f>
        <v>0</v>
      </c>
    </row>
    <row r="822" customFormat="false" ht="15" hidden="false" customHeight="false" outlineLevel="0" collapsed="false">
      <c r="A822" s="11" t="n">
        <v>15</v>
      </c>
      <c r="B822" s="23" t="s">
        <v>562</v>
      </c>
      <c r="C822" s="67" t="n">
        <v>416500</v>
      </c>
      <c r="D822" s="67" t="n">
        <f aca="false">5000+280000+51500+80000</f>
        <v>416500</v>
      </c>
      <c r="E822" s="68" t="n">
        <f aca="false">C822-D822</f>
        <v>0</v>
      </c>
    </row>
    <row r="823" customFormat="false" ht="19.7" hidden="false" customHeight="false" outlineLevel="0" collapsed="false">
      <c r="A823" s="29"/>
      <c r="B823" s="17" t="s">
        <v>42</v>
      </c>
      <c r="C823" s="18" t="n">
        <f aca="false">SUM(C808:C822)</f>
        <v>6247500</v>
      </c>
      <c r="D823" s="19" t="n">
        <f aca="false">SUM(D808:D822)</f>
        <v>4076500</v>
      </c>
      <c r="E823" s="20" t="n">
        <f aca="false">SUM(E808:E822)</f>
        <v>2171000</v>
      </c>
    </row>
    <row r="827" customFormat="false" ht="15" hidden="false" customHeight="false" outlineLevel="0" collapsed="false">
      <c r="D827" s="31"/>
    </row>
    <row r="828" customFormat="false" ht="15" hidden="false" customHeight="false" outlineLevel="0" collapsed="false">
      <c r="C828" s="31"/>
      <c r="D828" s="31"/>
    </row>
    <row r="872" customFormat="false" ht="15" hidden="false" customHeight="false" outlineLevel="0" collapsed="false">
      <c r="A872" s="21"/>
      <c r="D872" s="31"/>
      <c r="E872" s="32"/>
    </row>
    <row r="873" customFormat="false" ht="15" hidden="false" customHeight="false" outlineLevel="0" collapsed="false">
      <c r="A873" s="21"/>
      <c r="D873" s="31"/>
      <c r="E873" s="32"/>
    </row>
    <row r="874" customFormat="false" ht="15" hidden="false" customHeight="false" outlineLevel="0" collapsed="false">
      <c r="A874" s="21"/>
      <c r="D874" s="31"/>
      <c r="E874" s="32"/>
    </row>
    <row r="875" customFormat="false" ht="15" hidden="false" customHeight="false" outlineLevel="0" collapsed="false">
      <c r="A875" s="21"/>
      <c r="D875" s="31"/>
      <c r="E875" s="32"/>
    </row>
    <row r="876" customFormat="false" ht="15" hidden="false" customHeight="false" outlineLevel="0" collapsed="false">
      <c r="A876" s="21"/>
    </row>
    <row r="877" customFormat="false" ht="15" hidden="false" customHeight="false" outlineLevel="0" collapsed="false">
      <c r="A877" s="21"/>
    </row>
    <row r="878" customFormat="false" ht="15" hidden="false" customHeight="false" outlineLevel="0" collapsed="false">
      <c r="A878" s="21"/>
    </row>
    <row r="879" customFormat="false" ht="15" hidden="false" customHeight="false" outlineLevel="0" collapsed="false">
      <c r="A879" s="21"/>
    </row>
    <row r="880" customFormat="false" ht="15" hidden="false" customHeight="false" outlineLevel="0" collapsed="false">
      <c r="A880" s="21"/>
    </row>
    <row r="925" customFormat="false" ht="15" hidden="false" customHeight="false" outlineLevel="0" collapsed="false">
      <c r="A925" s="21"/>
    </row>
    <row r="926" customFormat="false" ht="15" hidden="false" customHeight="false" outlineLevel="0" collapsed="false">
      <c r="A926" s="21"/>
    </row>
    <row r="927" customFormat="false" ht="15" hidden="false" customHeight="false" outlineLevel="0" collapsed="false">
      <c r="A927" s="21"/>
    </row>
    <row r="928" customFormat="false" ht="15" hidden="false" customHeight="false" outlineLevel="0" collapsed="false">
      <c r="A928" s="21"/>
    </row>
    <row r="929" customFormat="false" ht="15" hidden="false" customHeight="false" outlineLevel="0" collapsed="false">
      <c r="A929" s="21"/>
    </row>
    <row r="930" customFormat="false" ht="15" hidden="false" customHeight="false" outlineLevel="0" collapsed="false">
      <c r="A930" s="21"/>
    </row>
    <row r="963" customFormat="false" ht="15" hidden="false" customHeight="false" outlineLevel="0" collapsed="false">
      <c r="D963" s="31"/>
    </row>
    <row r="975" customFormat="false" ht="15" hidden="false" customHeight="false" outlineLevel="0" collapsed="false">
      <c r="A975" s="21"/>
    </row>
    <row r="976" customFormat="false" ht="15" hidden="false" customHeight="false" outlineLevel="0" collapsed="false">
      <c r="A976" s="21"/>
    </row>
    <row r="977" customFormat="false" ht="15" hidden="false" customHeight="false" outlineLevel="0" collapsed="false">
      <c r="A977" s="21"/>
    </row>
    <row r="978" customFormat="false" ht="15" hidden="false" customHeight="false" outlineLevel="0" collapsed="false">
      <c r="A978" s="21"/>
    </row>
    <row r="979" customFormat="false" ht="15" hidden="false" customHeight="false" outlineLevel="0" collapsed="false">
      <c r="A979" s="21"/>
    </row>
    <row r="980" customFormat="false" ht="15" hidden="false" customHeight="false" outlineLevel="0" collapsed="false">
      <c r="A980" s="21"/>
    </row>
    <row r="981" customFormat="false" ht="15" hidden="false" customHeight="false" outlineLevel="0" collapsed="false">
      <c r="A981" s="21"/>
    </row>
    <row r="982" customFormat="false" ht="15" hidden="false" customHeight="false" outlineLevel="0" collapsed="false">
      <c r="A982" s="21"/>
    </row>
    <row r="983" customFormat="false" ht="15" hidden="false" customHeight="false" outlineLevel="0" collapsed="false">
      <c r="A983" s="21"/>
    </row>
    <row r="984" customFormat="false" ht="15" hidden="false" customHeight="false" outlineLevel="0" collapsed="false">
      <c r="A984" s="21"/>
    </row>
    <row r="985" customFormat="false" ht="15" hidden="false" customHeight="false" outlineLevel="0" collapsed="false">
      <c r="A985" s="21"/>
    </row>
    <row r="986" customFormat="false" ht="15" hidden="false" customHeight="false" outlineLevel="0" collapsed="false">
      <c r="A986" s="21"/>
    </row>
    <row r="987" customFormat="false" ht="15" hidden="false" customHeight="false" outlineLevel="0" collapsed="false">
      <c r="A987" s="21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440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selection pane="topLeft" activeCell="F197" activeCellId="0" sqref="F19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2.57"/>
    <col collapsed="false" customWidth="true" hidden="false" outlineLevel="0" max="3" min="3" style="1" width="13.71"/>
    <col collapsed="false" customWidth="true" hidden="false" outlineLevel="0" max="4" min="4" style="1" width="14.43"/>
    <col collapsed="false" customWidth="true" hidden="false" outlineLevel="0" max="5" min="5" style="1" width="16.14"/>
    <col collapsed="false" customWidth="true" hidden="false" outlineLevel="0" max="16384" min="16377" style="0" width="11.53"/>
  </cols>
  <sheetData>
    <row r="2" customFormat="false" ht="17.35" hidden="false" customHeight="false" outlineLevel="0" collapsed="false">
      <c r="A2" s="2" t="s">
        <v>563</v>
      </c>
      <c r="B2" s="2" t="s">
        <v>0</v>
      </c>
    </row>
    <row r="4" customFormat="false" ht="17.25" hidden="false" customHeight="false" outlineLevel="0" collapsed="false">
      <c r="B4" s="3" t="s">
        <v>1</v>
      </c>
    </row>
    <row r="7" customFormat="false" ht="15" hidden="false" customHeight="false" outlineLevel="0" collapsed="false">
      <c r="B7" s="5" t="s">
        <v>3</v>
      </c>
      <c r="D7" s="69" t="s">
        <v>564</v>
      </c>
    </row>
    <row r="9" customFormat="false" ht="15" hidden="false" customHeight="false" outlineLevel="0" collapsed="false">
      <c r="A9" s="42" t="s">
        <v>4</v>
      </c>
      <c r="B9" s="70" t="s">
        <v>5</v>
      </c>
      <c r="C9" s="8" t="s">
        <v>6</v>
      </c>
      <c r="D9" s="71" t="s">
        <v>7</v>
      </c>
      <c r="E9" s="10" t="s">
        <v>8</v>
      </c>
    </row>
    <row r="10" customFormat="false" ht="15" hidden="false" customHeight="false" outlineLevel="0" collapsed="false">
      <c r="A10" s="44" t="n">
        <v>1</v>
      </c>
      <c r="B10" s="45" t="s">
        <v>565</v>
      </c>
      <c r="C10" s="72" t="n">
        <v>416500</v>
      </c>
      <c r="D10" s="72" t="n">
        <f aca="false">216000+100000+40000+60500</f>
        <v>416500</v>
      </c>
      <c r="E10" s="73" t="n">
        <f aca="false">C10-D10</f>
        <v>0</v>
      </c>
    </row>
    <row r="11" customFormat="false" ht="15" hidden="false" customHeight="false" outlineLevel="0" collapsed="false">
      <c r="A11" s="44" t="n">
        <v>2</v>
      </c>
      <c r="B11" s="45" t="s">
        <v>566</v>
      </c>
      <c r="C11" s="72" t="n">
        <v>416500</v>
      </c>
      <c r="D11" s="72" t="n">
        <f aca="false">200000+100000+16500+100000</f>
        <v>416500</v>
      </c>
      <c r="E11" s="73" t="n">
        <f aca="false">C11-D11</f>
        <v>0</v>
      </c>
    </row>
    <row r="12" customFormat="false" ht="15" hidden="false" customHeight="false" outlineLevel="0" collapsed="false">
      <c r="A12" s="44" t="n">
        <v>3</v>
      </c>
      <c r="B12" s="45" t="s">
        <v>567</v>
      </c>
      <c r="C12" s="72" t="n">
        <v>416500</v>
      </c>
      <c r="D12" s="72" t="n">
        <f aca="false">100000+50000+100000+116500+50000</f>
        <v>416500</v>
      </c>
      <c r="E12" s="73" t="n">
        <f aca="false">C12-D12</f>
        <v>0</v>
      </c>
    </row>
    <row r="13" customFormat="false" ht="15" hidden="false" customHeight="false" outlineLevel="0" collapsed="false">
      <c r="A13" s="44" t="n">
        <v>4</v>
      </c>
      <c r="B13" s="45" t="s">
        <v>568</v>
      </c>
      <c r="C13" s="72" t="n">
        <v>416500</v>
      </c>
      <c r="D13" s="72" t="n">
        <f aca="false">416000+500</f>
        <v>416500</v>
      </c>
      <c r="E13" s="73" t="n">
        <f aca="false">C13-D13</f>
        <v>0</v>
      </c>
    </row>
    <row r="14" customFormat="false" ht="15" hidden="false" customHeight="false" outlineLevel="0" collapsed="false">
      <c r="A14" s="44" t="n">
        <v>5</v>
      </c>
      <c r="B14" s="45" t="s">
        <v>569</v>
      </c>
      <c r="C14" s="72" t="n">
        <v>416500</v>
      </c>
      <c r="D14" s="72" t="n">
        <f aca="false">216000+200000+500</f>
        <v>416500</v>
      </c>
      <c r="E14" s="73" t="n">
        <f aca="false">C14-D14</f>
        <v>0</v>
      </c>
    </row>
    <row r="15" customFormat="false" ht="15" hidden="false" customHeight="false" outlineLevel="0" collapsed="false">
      <c r="A15" s="44" t="n">
        <v>6</v>
      </c>
      <c r="B15" s="45" t="s">
        <v>570</v>
      </c>
      <c r="C15" s="72" t="n">
        <v>416500</v>
      </c>
      <c r="D15" s="72" t="n">
        <f aca="false">216500+200000</f>
        <v>416500</v>
      </c>
      <c r="E15" s="73" t="n">
        <f aca="false">C15-D15</f>
        <v>0</v>
      </c>
    </row>
    <row r="16" customFormat="false" ht="15" hidden="false" customHeight="false" outlineLevel="0" collapsed="false">
      <c r="A16" s="44" t="n">
        <v>7</v>
      </c>
      <c r="B16" s="45" t="s">
        <v>567</v>
      </c>
      <c r="C16" s="72" t="n">
        <v>416500</v>
      </c>
      <c r="D16" s="72" t="n">
        <f aca="false">100000+50000+100000+116500+50000</f>
        <v>416500</v>
      </c>
      <c r="E16" s="73" t="n">
        <f aca="false">C16-D16</f>
        <v>0</v>
      </c>
    </row>
    <row r="17" customFormat="false" ht="15" hidden="false" customHeight="false" outlineLevel="0" collapsed="false">
      <c r="A17" s="44" t="n">
        <v>8</v>
      </c>
      <c r="B17" s="45" t="s">
        <v>571</v>
      </c>
      <c r="C17" s="72" t="n">
        <v>416500</v>
      </c>
      <c r="D17" s="72" t="n">
        <f aca="false">226500+55000</f>
        <v>281500</v>
      </c>
      <c r="E17" s="73" t="n">
        <f aca="false">C17-D17</f>
        <v>135000</v>
      </c>
    </row>
    <row r="18" customFormat="false" ht="15" hidden="false" customHeight="false" outlineLevel="0" collapsed="false">
      <c r="A18" s="44" t="n">
        <v>9</v>
      </c>
      <c r="B18" s="45" t="s">
        <v>572</v>
      </c>
      <c r="C18" s="72" t="n">
        <v>416500</v>
      </c>
      <c r="D18" s="72" t="n">
        <f aca="false">216500+100000+100000</f>
        <v>416500</v>
      </c>
      <c r="E18" s="73" t="n">
        <f aca="false">C18-D18</f>
        <v>0</v>
      </c>
    </row>
    <row r="19" customFormat="false" ht="15" hidden="false" customHeight="false" outlineLevel="0" collapsed="false">
      <c r="A19" s="44" t="n">
        <v>10</v>
      </c>
      <c r="B19" s="45" t="s">
        <v>573</v>
      </c>
      <c r="C19" s="72" t="n">
        <v>416500</v>
      </c>
      <c r="D19" s="72" t="n">
        <f aca="false">216500+100000+100000</f>
        <v>416500</v>
      </c>
      <c r="E19" s="73" t="n">
        <f aca="false">C19-D19</f>
        <v>0</v>
      </c>
    </row>
    <row r="20" customFormat="false" ht="15" hidden="false" customHeight="false" outlineLevel="0" collapsed="false">
      <c r="A20" s="44" t="n">
        <v>11</v>
      </c>
      <c r="B20" s="45" t="s">
        <v>574</v>
      </c>
      <c r="C20" s="72" t="n">
        <v>416500</v>
      </c>
      <c r="D20" s="72" t="n">
        <f aca="false">200000+216025+475</f>
        <v>416500</v>
      </c>
      <c r="E20" s="73" t="n">
        <f aca="false">C20-D20</f>
        <v>0</v>
      </c>
    </row>
    <row r="21" customFormat="false" ht="15" hidden="false" customHeight="false" outlineLevel="0" collapsed="false">
      <c r="A21" s="44" t="n">
        <v>12</v>
      </c>
      <c r="B21" s="45" t="s">
        <v>575</v>
      </c>
      <c r="C21" s="72" t="n">
        <v>416500</v>
      </c>
      <c r="D21" s="72" t="n">
        <f aca="false">100000</f>
        <v>100000</v>
      </c>
      <c r="E21" s="74" t="n">
        <f aca="false">C21-D21</f>
        <v>316500</v>
      </c>
    </row>
    <row r="22" customFormat="false" ht="15" hidden="false" customHeight="false" outlineLevel="0" collapsed="false">
      <c r="A22" s="44" t="n">
        <v>13</v>
      </c>
      <c r="B22" s="45" t="s">
        <v>576</v>
      </c>
      <c r="C22" s="72" t="n">
        <v>416500</v>
      </c>
      <c r="D22" s="72" t="n">
        <f aca="false">216500+200000</f>
        <v>416500</v>
      </c>
      <c r="E22" s="73" t="n">
        <f aca="false">C22-D22</f>
        <v>0</v>
      </c>
    </row>
    <row r="23" customFormat="false" ht="15" hidden="false" customHeight="false" outlineLevel="0" collapsed="false">
      <c r="A23" s="44" t="n">
        <v>14</v>
      </c>
      <c r="B23" s="45" t="s">
        <v>577</v>
      </c>
      <c r="C23" s="72" t="n">
        <v>416500</v>
      </c>
      <c r="D23" s="72" t="n">
        <f aca="false">200000+100000+116500</f>
        <v>416500</v>
      </c>
      <c r="E23" s="73" t="n">
        <f aca="false">C23-D23</f>
        <v>0</v>
      </c>
    </row>
    <row r="24" customFormat="false" ht="15" hidden="false" customHeight="false" outlineLevel="0" collapsed="false">
      <c r="A24" s="44" t="n">
        <v>15</v>
      </c>
      <c r="B24" s="45" t="s">
        <v>578</v>
      </c>
      <c r="C24" s="72" t="n">
        <v>416500</v>
      </c>
      <c r="D24" s="72" t="n">
        <f aca="false">220000+150000+45000+1500</f>
        <v>416500</v>
      </c>
      <c r="E24" s="73" t="n">
        <f aca="false">C24-D24</f>
        <v>0</v>
      </c>
    </row>
    <row r="25" customFormat="false" ht="15" hidden="false" customHeight="false" outlineLevel="0" collapsed="false">
      <c r="A25" s="44" t="n">
        <v>16</v>
      </c>
      <c r="B25" s="45" t="s">
        <v>579</v>
      </c>
      <c r="C25" s="72" t="n">
        <v>416500</v>
      </c>
      <c r="D25" s="72" t="n">
        <f aca="false">236000+180000+500</f>
        <v>416500</v>
      </c>
      <c r="E25" s="73" t="n">
        <f aca="false">C25-D25</f>
        <v>0</v>
      </c>
    </row>
    <row r="26" customFormat="false" ht="15" hidden="false" customHeight="false" outlineLevel="0" collapsed="false">
      <c r="A26" s="44" t="n">
        <v>17</v>
      </c>
      <c r="B26" s="45" t="s">
        <v>580</v>
      </c>
      <c r="C26" s="72" t="n">
        <v>416500</v>
      </c>
      <c r="D26" s="72" t="n">
        <f aca="false">216500+200000</f>
        <v>416500</v>
      </c>
      <c r="E26" s="73" t="n">
        <f aca="false">C26-D26</f>
        <v>0</v>
      </c>
    </row>
    <row r="27" customFormat="false" ht="15" hidden="false" customHeight="false" outlineLevel="0" collapsed="false">
      <c r="A27" s="44" t="n">
        <v>18</v>
      </c>
      <c r="B27" s="45" t="s">
        <v>581</v>
      </c>
      <c r="C27" s="72" t="n">
        <v>416500</v>
      </c>
      <c r="D27" s="72" t="n">
        <f aca="false">216500+200000</f>
        <v>416500</v>
      </c>
      <c r="E27" s="73" t="n">
        <f aca="false">C27-D27</f>
        <v>0</v>
      </c>
    </row>
    <row r="28" customFormat="false" ht="15" hidden="false" customHeight="false" outlineLevel="0" collapsed="false">
      <c r="A28" s="44" t="n">
        <v>19</v>
      </c>
      <c r="B28" s="45" t="s">
        <v>582</v>
      </c>
      <c r="C28" s="72" t="n">
        <v>416500</v>
      </c>
      <c r="D28" s="72" t="n">
        <f aca="false">225000+150000+42000</f>
        <v>417000</v>
      </c>
      <c r="E28" s="73" t="n">
        <f aca="false">C28-D28</f>
        <v>-500</v>
      </c>
    </row>
    <row r="29" customFormat="false" ht="15" hidden="false" customHeight="false" outlineLevel="0" collapsed="false">
      <c r="A29" s="44" t="n">
        <v>20</v>
      </c>
      <c r="B29" s="45" t="s">
        <v>583</v>
      </c>
      <c r="C29" s="72" t="n">
        <v>416500</v>
      </c>
      <c r="D29" s="72" t="n">
        <f aca="false">216500</f>
        <v>216500</v>
      </c>
      <c r="E29" s="74" t="n">
        <f aca="false">C29-D29</f>
        <v>200000</v>
      </c>
    </row>
    <row r="30" customFormat="false" ht="15" hidden="false" customHeight="false" outlineLevel="0" collapsed="false">
      <c r="A30" s="44" t="n">
        <v>21</v>
      </c>
      <c r="B30" s="45" t="s">
        <v>584</v>
      </c>
      <c r="C30" s="72" t="n">
        <v>416500</v>
      </c>
      <c r="D30" s="72" t="n">
        <f aca="false">216500+200500</f>
        <v>417000</v>
      </c>
      <c r="E30" s="73" t="n">
        <f aca="false">C30-D30</f>
        <v>-500</v>
      </c>
    </row>
    <row r="31" customFormat="false" ht="15" hidden="false" customHeight="false" outlineLevel="0" collapsed="false">
      <c r="A31" s="44" t="n">
        <v>22</v>
      </c>
      <c r="B31" s="45" t="s">
        <v>585</v>
      </c>
      <c r="C31" s="72" t="n">
        <v>416500</v>
      </c>
      <c r="D31" s="72" t="n">
        <f aca="false">200000+101500+115000</f>
        <v>416500</v>
      </c>
      <c r="E31" s="73" t="n">
        <f aca="false">C31-D31</f>
        <v>0</v>
      </c>
    </row>
    <row r="32" customFormat="false" ht="15" hidden="false" customHeight="false" outlineLevel="0" collapsed="false">
      <c r="A32" s="44" t="n">
        <v>23</v>
      </c>
      <c r="B32" s="45" t="s">
        <v>586</v>
      </c>
      <c r="C32" s="72" t="n">
        <v>416500</v>
      </c>
      <c r="D32" s="72" t="n">
        <f aca="false">216000+100500+100000</f>
        <v>416500</v>
      </c>
      <c r="E32" s="73" t="n">
        <f aca="false">C32-D32</f>
        <v>0</v>
      </c>
    </row>
    <row r="33" customFormat="false" ht="15" hidden="false" customHeight="false" outlineLevel="0" collapsed="false">
      <c r="A33" s="44" t="n">
        <v>24</v>
      </c>
      <c r="B33" s="45" t="s">
        <v>587</v>
      </c>
      <c r="C33" s="72" t="n">
        <v>416500</v>
      </c>
      <c r="D33" s="72" t="n">
        <f aca="false">110000+90000+50000+166500</f>
        <v>416500</v>
      </c>
      <c r="E33" s="73" t="n">
        <f aca="false">C33-D33</f>
        <v>0</v>
      </c>
    </row>
    <row r="34" customFormat="false" ht="15" hidden="false" customHeight="false" outlineLevel="0" collapsed="false">
      <c r="A34" s="44" t="n">
        <v>25</v>
      </c>
      <c r="B34" s="45" t="s">
        <v>588</v>
      </c>
      <c r="C34" s="72" t="n">
        <v>416500</v>
      </c>
      <c r="D34" s="72" t="n">
        <f aca="false">220000+196500</f>
        <v>416500</v>
      </c>
      <c r="E34" s="73" t="n">
        <f aca="false">C34-D34</f>
        <v>0</v>
      </c>
    </row>
    <row r="35" customFormat="false" ht="15" hidden="false" customHeight="false" outlineLevel="0" collapsed="false">
      <c r="A35" s="44" t="n">
        <v>26</v>
      </c>
      <c r="B35" s="45" t="s">
        <v>589</v>
      </c>
      <c r="C35" s="72" t="n">
        <v>416500</v>
      </c>
      <c r="D35" s="72" t="n">
        <f aca="false">216000+95000+75500+30000</f>
        <v>416500</v>
      </c>
      <c r="E35" s="73" t="n">
        <f aca="false">C35-D35</f>
        <v>0</v>
      </c>
    </row>
    <row r="36" customFormat="false" ht="15" hidden="false" customHeight="false" outlineLevel="0" collapsed="false">
      <c r="A36" s="44" t="n">
        <v>27</v>
      </c>
      <c r="B36" s="45" t="s">
        <v>590</v>
      </c>
      <c r="C36" s="72" t="n">
        <v>416500</v>
      </c>
      <c r="D36" s="72" t="n">
        <f aca="false">200000+200000+16500</f>
        <v>416500</v>
      </c>
      <c r="E36" s="73" t="n">
        <f aca="false">C36-D36</f>
        <v>0</v>
      </c>
    </row>
    <row r="37" customFormat="false" ht="15" hidden="false" customHeight="false" outlineLevel="0" collapsed="false">
      <c r="A37" s="44" t="n">
        <v>28</v>
      </c>
      <c r="B37" s="45" t="s">
        <v>591</v>
      </c>
      <c r="C37" s="72" t="n">
        <v>416500</v>
      </c>
      <c r="D37" s="72" t="n">
        <f aca="false">200000+100000+116000</f>
        <v>416000</v>
      </c>
      <c r="E37" s="73" t="n">
        <f aca="false">C37-D37</f>
        <v>500</v>
      </c>
    </row>
    <row r="38" customFormat="false" ht="15" hidden="false" customHeight="false" outlineLevel="0" collapsed="false">
      <c r="A38" s="44" t="n">
        <v>29</v>
      </c>
      <c r="B38" s="45" t="s">
        <v>592</v>
      </c>
      <c r="C38" s="72" t="n">
        <v>416500</v>
      </c>
      <c r="D38" s="72" t="n">
        <f aca="false">216500+200000</f>
        <v>416500</v>
      </c>
      <c r="E38" s="73" t="n">
        <f aca="false">C38-D38</f>
        <v>0</v>
      </c>
    </row>
    <row r="39" customFormat="false" ht="15" hidden="false" customHeight="false" outlineLevel="0" collapsed="false">
      <c r="A39" s="44" t="n">
        <v>30</v>
      </c>
      <c r="B39" s="45" t="s">
        <v>593</v>
      </c>
      <c r="C39" s="72" t="n">
        <v>416500</v>
      </c>
      <c r="D39" s="72" t="n">
        <f aca="false">100000</f>
        <v>100000</v>
      </c>
      <c r="E39" s="74" t="n">
        <f aca="false">C39-D39</f>
        <v>316500</v>
      </c>
    </row>
    <row r="40" customFormat="false" ht="15" hidden="false" customHeight="false" outlineLevel="0" collapsed="false">
      <c r="A40" s="44" t="n">
        <v>31</v>
      </c>
      <c r="B40" s="45" t="s">
        <v>594</v>
      </c>
      <c r="C40" s="72" t="n">
        <v>416500</v>
      </c>
      <c r="D40" s="72" t="n">
        <f aca="false">16000+200000+200000</f>
        <v>416000</v>
      </c>
      <c r="E40" s="73" t="n">
        <f aca="false">C40-D40</f>
        <v>500</v>
      </c>
    </row>
    <row r="41" customFormat="false" ht="15" hidden="false" customHeight="false" outlineLevel="0" collapsed="false">
      <c r="A41" s="44" t="n">
        <v>32</v>
      </c>
      <c r="B41" s="45" t="s">
        <v>595</v>
      </c>
      <c r="C41" s="72" t="n">
        <v>416500</v>
      </c>
      <c r="D41" s="72" t="n">
        <f aca="false">220000+196000</f>
        <v>416000</v>
      </c>
      <c r="E41" s="73" t="n">
        <f aca="false">C41-D41</f>
        <v>500</v>
      </c>
    </row>
    <row r="42" customFormat="false" ht="17.35" hidden="false" customHeight="false" outlineLevel="0" collapsed="false">
      <c r="A42" s="52"/>
      <c r="B42" s="53" t="s">
        <v>42</v>
      </c>
      <c r="C42" s="75" t="n">
        <f aca="false">SUM(C10:C41)</f>
        <v>13328000</v>
      </c>
      <c r="D42" s="76" t="n">
        <f aca="false">SUM(D10:D41)</f>
        <v>12359500</v>
      </c>
      <c r="E42" s="77" t="n">
        <f aca="false">SUM(E10:E41)</f>
        <v>968500</v>
      </c>
    </row>
    <row r="43" customFormat="false" ht="15" hidden="false" customHeight="false" outlineLevel="0" collapsed="false">
      <c r="A43" s="78"/>
      <c r="B43" s="79"/>
      <c r="C43" s="80"/>
      <c r="D43" s="80"/>
      <c r="E43" s="81"/>
    </row>
    <row r="44" customFormat="false" ht="15" hidden="false" customHeight="false" outlineLevel="0" collapsed="false">
      <c r="A44" s="82"/>
      <c r="C44" s="83"/>
      <c r="D44" s="83"/>
      <c r="E44" s="84"/>
    </row>
    <row r="45" customFormat="false" ht="15" hidden="false" customHeight="false" outlineLevel="0" collapsed="false">
      <c r="A45" s="82"/>
      <c r="C45" s="83"/>
      <c r="D45" s="83"/>
      <c r="E45" s="84"/>
    </row>
    <row r="46" customFormat="false" ht="15" hidden="false" customHeight="false" outlineLevel="0" collapsed="false">
      <c r="A46" s="82"/>
      <c r="B46" s="85"/>
      <c r="C46" s="83"/>
      <c r="D46" s="83"/>
      <c r="E46" s="84"/>
    </row>
    <row r="47" customFormat="false" ht="17.35" hidden="false" customHeight="false" outlineLevel="0" collapsed="false">
      <c r="A47" s="82"/>
      <c r="B47" s="2" t="s">
        <v>0</v>
      </c>
    </row>
    <row r="48" customFormat="false" ht="15" hidden="false" customHeight="false" outlineLevel="0" collapsed="false">
      <c r="A48" s="82"/>
    </row>
    <row r="49" customFormat="false" ht="15" hidden="false" customHeight="false" outlineLevel="0" collapsed="false">
      <c r="A49" s="82"/>
    </row>
    <row r="50" customFormat="false" ht="15" hidden="false" customHeight="false" outlineLevel="0" collapsed="false">
      <c r="A50" s="82"/>
      <c r="B50" s="5" t="s">
        <v>118</v>
      </c>
      <c r="D50" s="69" t="s">
        <v>564</v>
      </c>
    </row>
    <row r="51" customFormat="false" ht="15" hidden="false" customHeight="false" outlineLevel="0" collapsed="false">
      <c r="A51" s="82"/>
    </row>
    <row r="52" customFormat="false" ht="15" hidden="false" customHeight="false" outlineLevel="0" collapsed="false">
      <c r="A52" s="42" t="s">
        <v>4</v>
      </c>
      <c r="B52" s="70" t="s">
        <v>5</v>
      </c>
      <c r="C52" s="8" t="s">
        <v>6</v>
      </c>
      <c r="D52" s="71" t="s">
        <v>7</v>
      </c>
      <c r="E52" s="10" t="s">
        <v>8</v>
      </c>
    </row>
    <row r="53" customFormat="false" ht="15" hidden="false" customHeight="false" outlineLevel="0" collapsed="false">
      <c r="A53" s="44" t="n">
        <v>1</v>
      </c>
      <c r="B53" s="86" t="s">
        <v>596</v>
      </c>
      <c r="C53" s="58" t="n">
        <v>416500</v>
      </c>
      <c r="D53" s="87" t="n">
        <f aca="false">216000+100000</f>
        <v>316000</v>
      </c>
      <c r="E53" s="60" t="n">
        <v>500</v>
      </c>
    </row>
    <row r="54" customFormat="false" ht="15" hidden="false" customHeight="false" outlineLevel="0" collapsed="false">
      <c r="A54" s="44" t="n">
        <v>2</v>
      </c>
      <c r="B54" s="48" t="s">
        <v>597</v>
      </c>
      <c r="C54" s="72" t="n">
        <v>416500</v>
      </c>
      <c r="D54" s="72" t="n">
        <f aca="false">200000+216500</f>
        <v>416500</v>
      </c>
      <c r="E54" s="73" t="n">
        <f aca="false">C54-D54</f>
        <v>0</v>
      </c>
    </row>
    <row r="55" customFormat="false" ht="15" hidden="false" customHeight="false" outlineLevel="0" collapsed="false">
      <c r="A55" s="44" t="n">
        <v>3</v>
      </c>
      <c r="B55" s="48" t="s">
        <v>598</v>
      </c>
      <c r="C55" s="72" t="n">
        <v>416500</v>
      </c>
      <c r="D55" s="72" t="n">
        <f aca="false">216000+100500+100000</f>
        <v>416500</v>
      </c>
      <c r="E55" s="73" t="n">
        <f aca="false">C55-D55</f>
        <v>0</v>
      </c>
    </row>
    <row r="56" customFormat="false" ht="15" hidden="false" customHeight="false" outlineLevel="0" collapsed="false">
      <c r="A56" s="44" t="n">
        <v>4</v>
      </c>
      <c r="B56" s="48" t="s">
        <v>599</v>
      </c>
      <c r="C56" s="72" t="n">
        <v>416500</v>
      </c>
      <c r="D56" s="72" t="n">
        <f aca="false">190000+10000+40000+95000+10000+10000+21500+50000</f>
        <v>426500</v>
      </c>
      <c r="E56" s="73" t="n">
        <f aca="false">C56-D56</f>
        <v>-10000</v>
      </c>
    </row>
    <row r="57" customFormat="false" ht="15" hidden="false" customHeight="false" outlineLevel="0" collapsed="false">
      <c r="A57" s="44" t="n">
        <v>5</v>
      </c>
      <c r="B57" s="48" t="s">
        <v>600</v>
      </c>
      <c r="C57" s="72" t="n">
        <v>416500</v>
      </c>
      <c r="D57" s="72" t="n">
        <f aca="false">100000+90000+26000+70000+130500</f>
        <v>416500</v>
      </c>
      <c r="E57" s="73" t="n">
        <f aca="false">C57-D57</f>
        <v>0</v>
      </c>
    </row>
    <row r="58" customFormat="false" ht="15" hidden="false" customHeight="false" outlineLevel="0" collapsed="false">
      <c r="A58" s="44" t="n">
        <v>6</v>
      </c>
      <c r="B58" s="48" t="s">
        <v>601</v>
      </c>
      <c r="C58" s="72" t="n">
        <v>416500</v>
      </c>
      <c r="D58" s="72" t="n">
        <f aca="false">100000+116500+200000</f>
        <v>416500</v>
      </c>
      <c r="E58" s="73" t="n">
        <f aca="false">C58-D58</f>
        <v>0</v>
      </c>
    </row>
    <row r="59" customFormat="false" ht="15" hidden="false" customHeight="false" outlineLevel="0" collapsed="false">
      <c r="A59" s="44" t="n">
        <v>7</v>
      </c>
      <c r="B59" s="48" t="s">
        <v>602</v>
      </c>
      <c r="C59" s="72" t="n">
        <v>416500</v>
      </c>
      <c r="D59" s="72" t="n">
        <f aca="false">100000+150000+40000+100000+26500</f>
        <v>416500</v>
      </c>
      <c r="E59" s="73" t="n">
        <f aca="false">C59-D59</f>
        <v>0</v>
      </c>
    </row>
    <row r="60" customFormat="false" ht="15" hidden="false" customHeight="false" outlineLevel="0" collapsed="false">
      <c r="A60" s="44" t="n">
        <v>8</v>
      </c>
      <c r="B60" s="48" t="s">
        <v>603</v>
      </c>
      <c r="C60" s="72" t="n">
        <v>416500</v>
      </c>
      <c r="D60" s="72" t="n">
        <f aca="false">216500+200000</f>
        <v>416500</v>
      </c>
      <c r="E60" s="73" t="n">
        <f aca="false">C60-D60</f>
        <v>0</v>
      </c>
    </row>
    <row r="61" customFormat="false" ht="15" hidden="false" customHeight="false" outlineLevel="0" collapsed="false">
      <c r="A61" s="44" t="n">
        <v>9</v>
      </c>
      <c r="B61" s="48" t="s">
        <v>604</v>
      </c>
      <c r="C61" s="72" t="n">
        <v>416500</v>
      </c>
      <c r="D61" s="72" t="n">
        <f aca="false">216500+100000+100000</f>
        <v>416500</v>
      </c>
      <c r="E61" s="73" t="n">
        <f aca="false">C61-D61</f>
        <v>0</v>
      </c>
    </row>
    <row r="62" customFormat="false" ht="15" hidden="false" customHeight="false" outlineLevel="0" collapsed="false">
      <c r="A62" s="44" t="n">
        <v>10</v>
      </c>
      <c r="B62" s="48" t="s">
        <v>605</v>
      </c>
      <c r="C62" s="72" t="n">
        <v>416500</v>
      </c>
      <c r="D62" s="72" t="n">
        <f aca="false">200000+116500+100000</f>
        <v>416500</v>
      </c>
      <c r="E62" s="73" t="n">
        <f aca="false">C62-D62</f>
        <v>0</v>
      </c>
    </row>
    <row r="63" customFormat="false" ht="15" hidden="false" customHeight="false" outlineLevel="0" collapsed="false">
      <c r="A63" s="44" t="n">
        <v>11</v>
      </c>
      <c r="B63" s="48" t="s">
        <v>606</v>
      </c>
      <c r="C63" s="72" t="n">
        <v>416500</v>
      </c>
      <c r="D63" s="72" t="n">
        <f aca="false">220000+100000+96500</f>
        <v>416500</v>
      </c>
      <c r="E63" s="73" t="n">
        <f aca="false">C63-D63</f>
        <v>0</v>
      </c>
    </row>
    <row r="64" customFormat="false" ht="15" hidden="false" customHeight="false" outlineLevel="0" collapsed="false">
      <c r="A64" s="44" t="n">
        <v>12</v>
      </c>
      <c r="B64" s="48" t="s">
        <v>607</v>
      </c>
      <c r="C64" s="72" t="n">
        <v>416500</v>
      </c>
      <c r="D64" s="72" t="n">
        <f aca="false">200000+215000+1500</f>
        <v>416500</v>
      </c>
      <c r="E64" s="73" t="n">
        <f aca="false">C64-D64</f>
        <v>0</v>
      </c>
    </row>
    <row r="65" customFormat="false" ht="15" hidden="false" customHeight="false" outlineLevel="0" collapsed="false">
      <c r="A65" s="44" t="n">
        <v>13</v>
      </c>
      <c r="B65" s="48" t="s">
        <v>608</v>
      </c>
      <c r="C65" s="72" t="n">
        <v>416500</v>
      </c>
      <c r="D65" s="72" t="n">
        <f aca="false">100000+200000+170000</f>
        <v>470000</v>
      </c>
      <c r="E65" s="73" t="n">
        <f aca="false">C65-D65</f>
        <v>-53500</v>
      </c>
    </row>
    <row r="66" customFormat="false" ht="15" hidden="false" customHeight="false" outlineLevel="0" collapsed="false">
      <c r="A66" s="44" t="n">
        <v>14</v>
      </c>
      <c r="B66" s="48" t="s">
        <v>609</v>
      </c>
      <c r="C66" s="72" t="n">
        <v>416500</v>
      </c>
      <c r="D66" s="72" t="n">
        <f aca="false">216500+200000</f>
        <v>416500</v>
      </c>
      <c r="E66" s="73" t="n">
        <f aca="false">C66-D66</f>
        <v>0</v>
      </c>
    </row>
    <row r="67" customFormat="false" ht="15" hidden="false" customHeight="false" outlineLevel="0" collapsed="false">
      <c r="A67" s="44" t="n">
        <v>15</v>
      </c>
      <c r="B67" s="48" t="s">
        <v>610</v>
      </c>
      <c r="C67" s="72" t="n">
        <v>416500</v>
      </c>
      <c r="D67" s="72" t="n">
        <f aca="false">216000+100000+100000+500</f>
        <v>416500</v>
      </c>
      <c r="E67" s="73" t="n">
        <f aca="false">C67-D67</f>
        <v>0</v>
      </c>
    </row>
    <row r="68" customFormat="false" ht="15" hidden="false" customHeight="false" outlineLevel="0" collapsed="false">
      <c r="A68" s="44" t="n">
        <v>16</v>
      </c>
      <c r="B68" s="48" t="s">
        <v>611</v>
      </c>
      <c r="C68" s="72" t="n">
        <v>416500</v>
      </c>
      <c r="D68" s="72" t="n">
        <f aca="false">50000+100000+150000+116500</f>
        <v>416500</v>
      </c>
      <c r="E68" s="73" t="n">
        <f aca="false">C68-D68</f>
        <v>0</v>
      </c>
    </row>
    <row r="69" customFormat="false" ht="15" hidden="false" customHeight="false" outlineLevel="0" collapsed="false">
      <c r="A69" s="44" t="n">
        <v>17</v>
      </c>
      <c r="B69" s="48" t="s">
        <v>612</v>
      </c>
      <c r="C69" s="72" t="n">
        <v>416500</v>
      </c>
      <c r="D69" s="72" t="n">
        <f aca="false">50000+116000+50000+50000+100000+100000</f>
        <v>466000</v>
      </c>
      <c r="E69" s="73" t="n">
        <f aca="false">C69-D69</f>
        <v>-49500</v>
      </c>
    </row>
    <row r="70" customFormat="false" ht="15" hidden="false" customHeight="false" outlineLevel="0" collapsed="false">
      <c r="A70" s="44" t="n">
        <v>18</v>
      </c>
      <c r="B70" s="48" t="s">
        <v>613</v>
      </c>
      <c r="C70" s="72" t="n">
        <v>416500</v>
      </c>
      <c r="D70" s="72" t="n">
        <v>216500</v>
      </c>
      <c r="E70" s="73" t="n">
        <f aca="false">C70-D70</f>
        <v>200000</v>
      </c>
    </row>
    <row r="71" customFormat="false" ht="15" hidden="false" customHeight="false" outlineLevel="0" collapsed="false">
      <c r="A71" s="44" t="n">
        <v>19</v>
      </c>
      <c r="B71" s="48" t="s">
        <v>614</v>
      </c>
      <c r="C71" s="72" t="n">
        <v>416500</v>
      </c>
      <c r="D71" s="72" t="n">
        <f aca="false">216500+200000</f>
        <v>416500</v>
      </c>
      <c r="E71" s="73" t="n">
        <f aca="false">C71-D71</f>
        <v>0</v>
      </c>
    </row>
    <row r="72" customFormat="false" ht="15" hidden="false" customHeight="false" outlineLevel="0" collapsed="false">
      <c r="A72" s="44" t="n">
        <v>20</v>
      </c>
      <c r="B72" s="48" t="s">
        <v>615</v>
      </c>
      <c r="C72" s="72" t="n">
        <v>416500</v>
      </c>
      <c r="D72" s="72" t="n">
        <f aca="false">216500+100000+100000</f>
        <v>416500</v>
      </c>
      <c r="E72" s="73" t="n">
        <f aca="false">C72-D72</f>
        <v>0</v>
      </c>
    </row>
    <row r="73" customFormat="false" ht="15" hidden="false" customHeight="false" outlineLevel="0" collapsed="false">
      <c r="A73" s="44" t="n">
        <v>21</v>
      </c>
      <c r="B73" s="48" t="s">
        <v>616</v>
      </c>
      <c r="C73" s="72" t="n">
        <v>416500</v>
      </c>
      <c r="D73" s="72" t="n">
        <f aca="false">100000+116500+150000+50000</f>
        <v>416500</v>
      </c>
      <c r="E73" s="73" t="n">
        <f aca="false">C73-D73</f>
        <v>0</v>
      </c>
    </row>
    <row r="74" customFormat="false" ht="15" hidden="false" customHeight="false" outlineLevel="0" collapsed="false">
      <c r="A74" s="44" t="n">
        <v>22</v>
      </c>
      <c r="B74" s="45" t="s">
        <v>617</v>
      </c>
      <c r="C74" s="72" t="n">
        <v>416500</v>
      </c>
      <c r="D74" s="72" t="n">
        <f aca="false">150000+50000+50000+170000</f>
        <v>420000</v>
      </c>
      <c r="E74" s="73" t="n">
        <f aca="false">C74-D74</f>
        <v>-3500</v>
      </c>
    </row>
    <row r="75" customFormat="false" ht="15" hidden="false" customHeight="false" outlineLevel="0" collapsed="false">
      <c r="A75" s="44" t="n">
        <v>23</v>
      </c>
      <c r="B75" s="45" t="s">
        <v>618</v>
      </c>
      <c r="C75" s="72" t="n">
        <v>416500</v>
      </c>
      <c r="D75" s="72" t="n">
        <f aca="false">220000+100000+96500</f>
        <v>416500</v>
      </c>
      <c r="E75" s="73" t="n">
        <f aca="false">C75-D75</f>
        <v>0</v>
      </c>
    </row>
    <row r="76" customFormat="false" ht="15" hidden="false" customHeight="false" outlineLevel="0" collapsed="false">
      <c r="A76" s="44" t="n">
        <v>24</v>
      </c>
      <c r="B76" s="45" t="s">
        <v>619</v>
      </c>
      <c r="C76" s="72" t="n">
        <v>416500</v>
      </c>
      <c r="D76" s="72" t="n">
        <f aca="false">216500+200000</f>
        <v>416500</v>
      </c>
      <c r="E76" s="73" t="n">
        <f aca="false">C76-D76</f>
        <v>0</v>
      </c>
    </row>
    <row r="77" customFormat="false" ht="15" hidden="false" customHeight="false" outlineLevel="0" collapsed="false">
      <c r="A77" s="44" t="n">
        <v>25</v>
      </c>
      <c r="B77" s="45" t="s">
        <v>620</v>
      </c>
      <c r="C77" s="72" t="n">
        <v>416500</v>
      </c>
      <c r="D77" s="72" t="n">
        <f aca="false">200000+166500+50000</f>
        <v>416500</v>
      </c>
      <c r="E77" s="73" t="n">
        <f aca="false">C77-D77</f>
        <v>0</v>
      </c>
    </row>
    <row r="78" customFormat="false" ht="15" hidden="false" customHeight="false" outlineLevel="0" collapsed="false">
      <c r="A78" s="44" t="n">
        <v>26</v>
      </c>
      <c r="B78" s="45" t="s">
        <v>621</v>
      </c>
      <c r="C78" s="72" t="n">
        <v>416500</v>
      </c>
      <c r="D78" s="72" t="n">
        <f aca="false">200000+100000+116500</f>
        <v>416500</v>
      </c>
      <c r="E78" s="73" t="n">
        <f aca="false">C78-D78</f>
        <v>0</v>
      </c>
    </row>
    <row r="79" customFormat="false" ht="15" hidden="false" customHeight="false" outlineLevel="0" collapsed="false">
      <c r="A79" s="44" t="n">
        <v>27</v>
      </c>
      <c r="B79" s="45" t="s">
        <v>622</v>
      </c>
      <c r="C79" s="72" t="n">
        <v>416500</v>
      </c>
      <c r="D79" s="72" t="n">
        <f aca="false">200000+16500+200000</f>
        <v>416500</v>
      </c>
      <c r="E79" s="73" t="n">
        <f aca="false">C79-D79</f>
        <v>0</v>
      </c>
    </row>
    <row r="80" customFormat="false" ht="15" hidden="false" customHeight="false" outlineLevel="0" collapsed="false">
      <c r="A80" s="44" t="n">
        <v>28</v>
      </c>
      <c r="B80" s="45" t="s">
        <v>623</v>
      </c>
      <c r="C80" s="72" t="n">
        <v>416500</v>
      </c>
      <c r="D80" s="72" t="n">
        <f aca="false">216500+150000+50000</f>
        <v>416500</v>
      </c>
      <c r="E80" s="73" t="n">
        <f aca="false">C80-D80</f>
        <v>0</v>
      </c>
    </row>
    <row r="81" customFormat="false" ht="15" hidden="false" customHeight="false" outlineLevel="0" collapsed="false">
      <c r="A81" s="44" t="n">
        <v>29</v>
      </c>
      <c r="B81" s="45" t="s">
        <v>624</v>
      </c>
      <c r="C81" s="72" t="n">
        <v>416500</v>
      </c>
      <c r="D81" s="72" t="n">
        <f aca="false">216500+200000</f>
        <v>416500</v>
      </c>
      <c r="E81" s="73" t="n">
        <f aca="false">C81-D81</f>
        <v>0</v>
      </c>
    </row>
    <row r="82" customFormat="false" ht="15" hidden="false" customHeight="false" outlineLevel="0" collapsed="false">
      <c r="A82" s="44" t="n">
        <v>30</v>
      </c>
      <c r="B82" s="45" t="s">
        <v>625</v>
      </c>
      <c r="C82" s="72" t="n">
        <v>416500</v>
      </c>
      <c r="D82" s="72" t="n">
        <f aca="false">200000+216000+500</f>
        <v>416500</v>
      </c>
      <c r="E82" s="73" t="n">
        <f aca="false">C82-D82</f>
        <v>0</v>
      </c>
    </row>
    <row r="83" customFormat="false" ht="15" hidden="false" customHeight="false" outlineLevel="0" collapsed="false">
      <c r="A83" s="44" t="n">
        <v>31</v>
      </c>
      <c r="B83" s="45" t="s">
        <v>626</v>
      </c>
      <c r="C83" s="72" t="n">
        <v>416500</v>
      </c>
      <c r="D83" s="72" t="n">
        <f aca="false">200000+160500+56000</f>
        <v>416500</v>
      </c>
      <c r="E83" s="73" t="n">
        <f aca="false">C83-D83</f>
        <v>0</v>
      </c>
    </row>
    <row r="84" customFormat="false" ht="15" hidden="false" customHeight="false" outlineLevel="0" collapsed="false">
      <c r="A84" s="44" t="n">
        <v>32</v>
      </c>
      <c r="B84" s="48" t="s">
        <v>151</v>
      </c>
      <c r="C84" s="72" t="n">
        <v>416500</v>
      </c>
      <c r="D84" s="72" t="n">
        <v>316500</v>
      </c>
      <c r="E84" s="73" t="n">
        <f aca="false">C84-D84</f>
        <v>100000</v>
      </c>
    </row>
    <row r="85" customFormat="false" ht="15" hidden="false" customHeight="false" outlineLevel="0" collapsed="false">
      <c r="A85" s="44" t="n">
        <v>33</v>
      </c>
      <c r="B85" s="45" t="s">
        <v>627</v>
      </c>
      <c r="C85" s="72" t="n">
        <v>416500</v>
      </c>
      <c r="D85" s="72" t="n">
        <f aca="false">100000+70000+100000+80000+66500</f>
        <v>416500</v>
      </c>
      <c r="E85" s="73" t="n">
        <f aca="false">C85-D85</f>
        <v>0</v>
      </c>
    </row>
    <row r="86" customFormat="false" ht="15" hidden="false" customHeight="false" outlineLevel="0" collapsed="false">
      <c r="A86" s="44" t="n">
        <v>34</v>
      </c>
      <c r="B86" s="88" t="s">
        <v>628</v>
      </c>
      <c r="C86" s="72" t="n">
        <v>416500</v>
      </c>
      <c r="D86" s="89" t="n">
        <f aca="false">150000</f>
        <v>150000</v>
      </c>
      <c r="E86" s="73" t="n">
        <f aca="false">C86-D86</f>
        <v>266500</v>
      </c>
    </row>
    <row r="87" customFormat="false" ht="17.35" hidden="false" customHeight="false" outlineLevel="0" collapsed="false">
      <c r="A87" s="52"/>
      <c r="B87" s="53" t="s">
        <v>42</v>
      </c>
      <c r="C87" s="75" t="n">
        <f aca="false">SUM(C54:C86)</f>
        <v>13744500</v>
      </c>
      <c r="D87" s="76" t="n">
        <f aca="false">SUM(D54:D86)</f>
        <v>13294500</v>
      </c>
      <c r="E87" s="77" t="n">
        <f aca="false">SUM(E54:E86)</f>
        <v>450000</v>
      </c>
    </row>
    <row r="88" customFormat="false" ht="15" hidden="false" customHeight="false" outlineLevel="0" collapsed="false">
      <c r="A88" s="78"/>
      <c r="B88" s="79"/>
      <c r="C88" s="80"/>
      <c r="D88" s="80"/>
      <c r="E88" s="81"/>
    </row>
    <row r="89" customFormat="false" ht="15" hidden="false" customHeight="false" outlineLevel="0" collapsed="false">
      <c r="A89" s="82"/>
    </row>
    <row r="90" customFormat="false" ht="15" hidden="false" customHeight="false" outlineLevel="0" collapsed="false">
      <c r="A90" s="82"/>
    </row>
    <row r="91" customFormat="false" ht="15" hidden="false" customHeight="false" outlineLevel="0" collapsed="false">
      <c r="A91" s="82"/>
    </row>
    <row r="92" customFormat="false" ht="15" hidden="false" customHeight="false" outlineLevel="0" collapsed="false">
      <c r="A92" s="82"/>
    </row>
    <row r="93" customFormat="false" ht="15" hidden="false" customHeight="false" outlineLevel="0" collapsed="false">
      <c r="A93" s="82"/>
    </row>
    <row r="94" customFormat="false" ht="17.35" hidden="false" customHeight="false" outlineLevel="0" collapsed="false">
      <c r="A94" s="90"/>
      <c r="B94" s="2" t="s">
        <v>0</v>
      </c>
    </row>
    <row r="95" customFormat="false" ht="15" hidden="false" customHeight="false" outlineLevel="0" collapsed="false">
      <c r="A95" s="82"/>
    </row>
    <row r="96" customFormat="false" ht="15" hidden="false" customHeight="false" outlineLevel="0" collapsed="false">
      <c r="A96" s="82"/>
    </row>
    <row r="97" customFormat="false" ht="15" hidden="false" customHeight="false" outlineLevel="0" collapsed="false">
      <c r="A97" s="82"/>
      <c r="B97" s="5" t="s">
        <v>247</v>
      </c>
      <c r="D97" s="69" t="s">
        <v>564</v>
      </c>
    </row>
    <row r="98" customFormat="false" ht="15" hidden="false" customHeight="false" outlineLevel="0" collapsed="false">
      <c r="A98" s="82"/>
    </row>
    <row r="99" customFormat="false" ht="15" hidden="false" customHeight="false" outlineLevel="0" collapsed="false">
      <c r="A99" s="42" t="s">
        <v>4</v>
      </c>
      <c r="B99" s="70" t="s">
        <v>5</v>
      </c>
      <c r="C99" s="8" t="s">
        <v>6</v>
      </c>
      <c r="D99" s="71" t="s">
        <v>7</v>
      </c>
      <c r="E99" s="10" t="s">
        <v>8</v>
      </c>
    </row>
    <row r="100" customFormat="false" ht="15" hidden="false" customHeight="false" outlineLevel="0" collapsed="false">
      <c r="A100" s="44" t="n">
        <v>1</v>
      </c>
      <c r="B100" s="45" t="s">
        <v>629</v>
      </c>
      <c r="C100" s="91" t="n">
        <v>416500</v>
      </c>
      <c r="D100" s="72" t="n">
        <f aca="false">250000+100000+66500</f>
        <v>416500</v>
      </c>
      <c r="E100" s="73" t="n">
        <f aca="false">C100-D100</f>
        <v>0</v>
      </c>
    </row>
    <row r="101" customFormat="false" ht="15" hidden="false" customHeight="false" outlineLevel="0" collapsed="false">
      <c r="A101" s="44" t="n">
        <v>2</v>
      </c>
      <c r="B101" s="45" t="s">
        <v>630</v>
      </c>
      <c r="C101" s="91" t="n">
        <v>416500</v>
      </c>
      <c r="D101" s="72" t="n">
        <f aca="false">150000+66000+100000+100500</f>
        <v>416500</v>
      </c>
      <c r="E101" s="73" t="n">
        <f aca="false">C101-D101</f>
        <v>0</v>
      </c>
    </row>
    <row r="102" customFormat="false" ht="15" hidden="false" customHeight="false" outlineLevel="0" collapsed="false">
      <c r="A102" s="44" t="n">
        <v>3</v>
      </c>
      <c r="B102" s="45" t="s">
        <v>631</v>
      </c>
      <c r="C102" s="91" t="n">
        <v>416500</v>
      </c>
      <c r="D102" s="72" t="n">
        <f aca="false">220000+80000+50000+66500</f>
        <v>416500</v>
      </c>
      <c r="E102" s="73" t="n">
        <f aca="false">C102-D102</f>
        <v>0</v>
      </c>
    </row>
    <row r="103" customFormat="false" ht="15" hidden="false" customHeight="false" outlineLevel="0" collapsed="false">
      <c r="A103" s="44" t="n">
        <v>4</v>
      </c>
      <c r="B103" s="45" t="s">
        <v>632</v>
      </c>
      <c r="C103" s="91" t="n">
        <v>416500</v>
      </c>
      <c r="D103" s="72" t="n">
        <f aca="false">216500+200000</f>
        <v>416500</v>
      </c>
      <c r="E103" s="73" t="n">
        <f aca="false">C103-D103</f>
        <v>0</v>
      </c>
    </row>
    <row r="104" customFormat="false" ht="15" hidden="false" customHeight="false" outlineLevel="0" collapsed="false">
      <c r="A104" s="44" t="n">
        <v>5</v>
      </c>
      <c r="B104" s="48" t="s">
        <v>633</v>
      </c>
      <c r="C104" s="91" t="n">
        <v>416500</v>
      </c>
      <c r="D104" s="72" t="n">
        <f aca="false">190000+226000+500</f>
        <v>416500</v>
      </c>
      <c r="E104" s="73" t="n">
        <f aca="false">C104-D104</f>
        <v>0</v>
      </c>
    </row>
    <row r="105" customFormat="false" ht="15" hidden="false" customHeight="false" outlineLevel="0" collapsed="false">
      <c r="A105" s="44" t="n">
        <v>6</v>
      </c>
      <c r="B105" s="48" t="s">
        <v>634</v>
      </c>
      <c r="C105" s="91" t="n">
        <v>416500</v>
      </c>
      <c r="D105" s="72" t="n">
        <f aca="false">100000+150000+100000+20000+46500</f>
        <v>416500</v>
      </c>
      <c r="E105" s="73" t="n">
        <f aca="false">C105-D105</f>
        <v>0</v>
      </c>
    </row>
    <row r="106" customFormat="false" ht="15" hidden="false" customHeight="false" outlineLevel="0" collapsed="false">
      <c r="A106" s="44" t="n">
        <v>7</v>
      </c>
      <c r="B106" s="92" t="s">
        <v>635</v>
      </c>
      <c r="C106" s="91" t="n">
        <v>416500</v>
      </c>
      <c r="D106" s="72" t="n">
        <f aca="false">150000+50000+80000+60000</f>
        <v>340000</v>
      </c>
      <c r="E106" s="73" t="n">
        <f aca="false">C106-D106</f>
        <v>76500</v>
      </c>
    </row>
    <row r="107" customFormat="false" ht="15" hidden="false" customHeight="false" outlineLevel="0" collapsed="false">
      <c r="A107" s="44" t="n">
        <v>8</v>
      </c>
      <c r="B107" s="48" t="s">
        <v>636</v>
      </c>
      <c r="C107" s="91" t="n">
        <f aca="false">316500+100000</f>
        <v>416500</v>
      </c>
      <c r="D107" s="72" t="n">
        <f aca="false">316500+100000</f>
        <v>416500</v>
      </c>
      <c r="E107" s="73" t="n">
        <f aca="false">C107-D107</f>
        <v>0</v>
      </c>
    </row>
    <row r="108" customFormat="false" ht="15" hidden="false" customHeight="false" outlineLevel="0" collapsed="false">
      <c r="A108" s="44" t="n">
        <v>9</v>
      </c>
      <c r="B108" s="48" t="s">
        <v>637</v>
      </c>
      <c r="C108" s="91" t="n">
        <v>416500</v>
      </c>
      <c r="D108" s="72" t="n">
        <f aca="false">216500+60000+140000</f>
        <v>416500</v>
      </c>
      <c r="E108" s="73" t="n">
        <f aca="false">C108-D108</f>
        <v>0</v>
      </c>
    </row>
    <row r="109" customFormat="false" ht="15" hidden="false" customHeight="false" outlineLevel="0" collapsed="false">
      <c r="A109" s="44" t="n">
        <v>10</v>
      </c>
      <c r="B109" s="48" t="s">
        <v>638</v>
      </c>
      <c r="C109" s="91" t="n">
        <v>416500</v>
      </c>
      <c r="D109" s="72" t="n">
        <v>230000</v>
      </c>
      <c r="E109" s="74" t="n">
        <f aca="false">C109-D109</f>
        <v>186500</v>
      </c>
    </row>
    <row r="110" customFormat="false" ht="15" hidden="false" customHeight="false" outlineLevel="0" collapsed="false">
      <c r="A110" s="44" t="n">
        <v>11</v>
      </c>
      <c r="B110" s="48" t="s">
        <v>639</v>
      </c>
      <c r="C110" s="91" t="n">
        <v>416500</v>
      </c>
      <c r="D110" s="72" t="n">
        <f aca="false">216500+100000+100000</f>
        <v>416500</v>
      </c>
      <c r="E110" s="73" t="n">
        <f aca="false">C110-D110</f>
        <v>0</v>
      </c>
    </row>
    <row r="111" customFormat="false" ht="15" hidden="false" customHeight="false" outlineLevel="0" collapsed="false">
      <c r="A111" s="44" t="n">
        <v>12</v>
      </c>
      <c r="B111" s="48" t="s">
        <v>640</v>
      </c>
      <c r="C111" s="91" t="n">
        <v>416500</v>
      </c>
      <c r="D111" s="72" t="n">
        <f aca="false">300000+116500</f>
        <v>416500</v>
      </c>
      <c r="E111" s="73" t="n">
        <f aca="false">C111-D111</f>
        <v>0</v>
      </c>
    </row>
    <row r="112" customFormat="false" ht="15" hidden="false" customHeight="false" outlineLevel="0" collapsed="false">
      <c r="A112" s="44" t="n">
        <v>13</v>
      </c>
      <c r="B112" s="48" t="s">
        <v>641</v>
      </c>
      <c r="C112" s="91" t="n">
        <v>416500</v>
      </c>
      <c r="D112" s="72"/>
      <c r="E112" s="73" t="n">
        <f aca="false">C112-D112</f>
        <v>416500</v>
      </c>
    </row>
    <row r="113" customFormat="false" ht="15" hidden="false" customHeight="false" outlineLevel="0" collapsed="false">
      <c r="A113" s="44" t="n">
        <v>14</v>
      </c>
      <c r="B113" s="48" t="s">
        <v>642</v>
      </c>
      <c r="C113" s="91" t="n">
        <v>416500</v>
      </c>
      <c r="D113" s="72" t="n">
        <f aca="false">216500+100000+100000</f>
        <v>416500</v>
      </c>
      <c r="E113" s="73" t="n">
        <f aca="false">C113-D113</f>
        <v>0</v>
      </c>
    </row>
    <row r="114" customFormat="false" ht="15" hidden="false" customHeight="false" outlineLevel="0" collapsed="false">
      <c r="A114" s="44" t="n">
        <v>15</v>
      </c>
      <c r="B114" s="48" t="s">
        <v>643</v>
      </c>
      <c r="C114" s="91" t="n">
        <v>416500</v>
      </c>
      <c r="D114" s="72" t="n">
        <f aca="false">216500+100000+100000</f>
        <v>416500</v>
      </c>
      <c r="E114" s="73" t="n">
        <f aca="false">C114-D114</f>
        <v>0</v>
      </c>
    </row>
    <row r="115" customFormat="false" ht="15" hidden="false" customHeight="false" outlineLevel="0" collapsed="false">
      <c r="A115" s="44" t="n">
        <v>16</v>
      </c>
      <c r="B115" s="48" t="s">
        <v>644</v>
      </c>
      <c r="C115" s="91" t="n">
        <v>416500</v>
      </c>
      <c r="D115" s="72" t="n">
        <v>220000</v>
      </c>
      <c r="E115" s="74" t="n">
        <f aca="false">C115-D115</f>
        <v>196500</v>
      </c>
    </row>
    <row r="116" customFormat="false" ht="15" hidden="false" customHeight="false" outlineLevel="0" collapsed="false">
      <c r="A116" s="44" t="n">
        <v>17</v>
      </c>
      <c r="B116" s="48" t="s">
        <v>645</v>
      </c>
      <c r="C116" s="91" t="n">
        <v>416500</v>
      </c>
      <c r="D116" s="72" t="n">
        <f aca="false">200000+100000+50000+66500</f>
        <v>416500</v>
      </c>
      <c r="E116" s="73" t="n">
        <f aca="false">C116-D116</f>
        <v>0</v>
      </c>
    </row>
    <row r="117" customFormat="false" ht="15" hidden="false" customHeight="false" outlineLevel="0" collapsed="false">
      <c r="A117" s="44" t="n">
        <v>18</v>
      </c>
      <c r="B117" s="48" t="s">
        <v>646</v>
      </c>
      <c r="C117" s="91" t="n">
        <v>416500</v>
      </c>
      <c r="D117" s="72" t="n">
        <f aca="false">216000+100000+100500</f>
        <v>416500</v>
      </c>
      <c r="E117" s="73" t="n">
        <f aca="false">C117-D117</f>
        <v>0</v>
      </c>
    </row>
    <row r="118" customFormat="false" ht="15" hidden="false" customHeight="false" outlineLevel="0" collapsed="false">
      <c r="A118" s="44" t="n">
        <v>19</v>
      </c>
      <c r="B118" s="45" t="s">
        <v>647</v>
      </c>
      <c r="C118" s="72" t="n">
        <v>416500</v>
      </c>
      <c r="D118" s="72" t="n">
        <f aca="false">216000+100000+100000+500</f>
        <v>416500</v>
      </c>
      <c r="E118" s="73" t="n">
        <f aca="false">C118-D118</f>
        <v>0</v>
      </c>
    </row>
    <row r="119" customFormat="false" ht="17.35" hidden="false" customHeight="false" outlineLevel="0" collapsed="false">
      <c r="A119" s="82"/>
      <c r="B119" s="53" t="s">
        <v>42</v>
      </c>
      <c r="C119" s="93" t="n">
        <f aca="false">SUM(C100:C118)</f>
        <v>7913500</v>
      </c>
      <c r="D119" s="94" t="n">
        <f aca="false">SUM(D100:D118)</f>
        <v>7037500</v>
      </c>
      <c r="E119" s="94" t="n">
        <f aca="false">SUM(E100:E118)</f>
        <v>876000</v>
      </c>
    </row>
    <row r="123" customFormat="false" ht="15" hidden="false" customHeight="false" outlineLevel="0" collapsed="false">
      <c r="A123" s="82"/>
      <c r="C123" s="83"/>
      <c r="D123" s="83"/>
      <c r="E123" s="84"/>
    </row>
    <row r="124" customFormat="false" ht="17.35" hidden="false" customHeight="false" outlineLevel="0" collapsed="false">
      <c r="A124" s="90"/>
      <c r="B124" s="2" t="s">
        <v>0</v>
      </c>
    </row>
    <row r="125" customFormat="false" ht="15" hidden="false" customHeight="false" outlineLevel="0" collapsed="false">
      <c r="A125" s="82"/>
    </row>
    <row r="126" customFormat="false" ht="15" hidden="false" customHeight="false" outlineLevel="0" collapsed="false">
      <c r="A126" s="82"/>
    </row>
    <row r="127" customFormat="false" ht="15" hidden="false" customHeight="false" outlineLevel="0" collapsed="false">
      <c r="A127" s="82"/>
      <c r="B127" s="5" t="s">
        <v>286</v>
      </c>
      <c r="D127" s="69" t="s">
        <v>564</v>
      </c>
    </row>
    <row r="128" customFormat="false" ht="15" hidden="false" customHeight="false" outlineLevel="0" collapsed="false">
      <c r="A128" s="82"/>
    </row>
    <row r="129" customFormat="false" ht="15" hidden="false" customHeight="false" outlineLevel="0" collapsed="false">
      <c r="A129" s="42" t="s">
        <v>4</v>
      </c>
      <c r="B129" s="70" t="s">
        <v>5</v>
      </c>
      <c r="C129" s="8" t="s">
        <v>6</v>
      </c>
      <c r="D129" s="71" t="s">
        <v>7</v>
      </c>
      <c r="E129" s="10" t="s">
        <v>8</v>
      </c>
    </row>
    <row r="130" customFormat="false" ht="15" hidden="false" customHeight="false" outlineLevel="0" collapsed="false">
      <c r="A130" s="44" t="n">
        <v>1</v>
      </c>
      <c r="B130" s="45" t="s">
        <v>648</v>
      </c>
      <c r="C130" s="72" t="n">
        <v>416500</v>
      </c>
      <c r="D130" s="72" t="n">
        <f aca="false">200000+100000+100000+16500</f>
        <v>416500</v>
      </c>
      <c r="E130" s="73" t="n">
        <f aca="false">C130-D130</f>
        <v>0</v>
      </c>
    </row>
    <row r="131" customFormat="false" ht="15" hidden="false" customHeight="false" outlineLevel="0" collapsed="false">
      <c r="A131" s="44" t="n">
        <v>2</v>
      </c>
      <c r="B131" s="45" t="s">
        <v>649</v>
      </c>
      <c r="C131" s="72" t="n">
        <v>416500</v>
      </c>
      <c r="D131" s="72" t="n">
        <f aca="false">216500+200000</f>
        <v>416500</v>
      </c>
      <c r="E131" s="73" t="n">
        <f aca="false">C131-D131</f>
        <v>0</v>
      </c>
    </row>
    <row r="132" customFormat="false" ht="15" hidden="false" customHeight="false" outlineLevel="0" collapsed="false">
      <c r="A132" s="44" t="n">
        <v>3</v>
      </c>
      <c r="B132" s="45" t="s">
        <v>650</v>
      </c>
      <c r="C132" s="72" t="n">
        <v>416500</v>
      </c>
      <c r="D132" s="72" t="n">
        <f aca="false">100000+116500+50000+100000+50000</f>
        <v>416500</v>
      </c>
      <c r="E132" s="73" t="n">
        <f aca="false">C132-D132</f>
        <v>0</v>
      </c>
    </row>
    <row r="133" customFormat="false" ht="15" hidden="false" customHeight="false" outlineLevel="0" collapsed="false">
      <c r="A133" s="44" t="n">
        <v>4</v>
      </c>
      <c r="B133" s="45" t="s">
        <v>651</v>
      </c>
      <c r="C133" s="72" t="n">
        <v>416500</v>
      </c>
      <c r="D133" s="72" t="n">
        <f aca="false">216500+100000+100000</f>
        <v>416500</v>
      </c>
      <c r="E133" s="73" t="n">
        <f aca="false">C133-D133</f>
        <v>0</v>
      </c>
    </row>
    <row r="134" customFormat="false" ht="15" hidden="false" customHeight="false" outlineLevel="0" collapsed="false">
      <c r="A134" s="44" t="n">
        <v>5</v>
      </c>
      <c r="B134" s="45" t="s">
        <v>652</v>
      </c>
      <c r="C134" s="72" t="n">
        <v>416500</v>
      </c>
      <c r="D134" s="72" t="n">
        <f aca="false">200000+100000+67000+49500</f>
        <v>416500</v>
      </c>
      <c r="E134" s="73" t="n">
        <f aca="false">C134-D134</f>
        <v>0</v>
      </c>
    </row>
    <row r="135" customFormat="false" ht="15" hidden="false" customHeight="false" outlineLevel="0" collapsed="false">
      <c r="A135" s="44" t="n">
        <v>6</v>
      </c>
      <c r="B135" s="45" t="s">
        <v>653</v>
      </c>
      <c r="C135" s="72" t="n">
        <v>416500</v>
      </c>
      <c r="D135" s="72" t="n">
        <v>216000</v>
      </c>
      <c r="E135" s="73" t="n">
        <f aca="false">C135-D135</f>
        <v>200500</v>
      </c>
    </row>
    <row r="136" customFormat="false" ht="15" hidden="false" customHeight="false" outlineLevel="0" collapsed="false">
      <c r="A136" s="44" t="n">
        <v>7</v>
      </c>
      <c r="B136" s="45" t="s">
        <v>654</v>
      </c>
      <c r="C136" s="72" t="n">
        <v>416500</v>
      </c>
      <c r="D136" s="72" t="n">
        <f aca="false">216500+135000+65000</f>
        <v>416500</v>
      </c>
      <c r="E136" s="73" t="n">
        <f aca="false">C136-D136</f>
        <v>0</v>
      </c>
    </row>
    <row r="137" customFormat="false" ht="15" hidden="false" customHeight="false" outlineLevel="0" collapsed="false">
      <c r="A137" s="44" t="n">
        <v>8</v>
      </c>
      <c r="B137" s="45" t="s">
        <v>655</v>
      </c>
      <c r="C137" s="72" t="n">
        <v>416500</v>
      </c>
      <c r="D137" s="72" t="n">
        <f aca="false">216500+100000+100000</f>
        <v>416500</v>
      </c>
      <c r="E137" s="73" t="n">
        <f aca="false">C137-D137</f>
        <v>0</v>
      </c>
    </row>
    <row r="138" customFormat="false" ht="15" hidden="false" customHeight="false" outlineLevel="0" collapsed="false">
      <c r="A138" s="44" t="n">
        <v>9</v>
      </c>
      <c r="B138" s="48" t="s">
        <v>656</v>
      </c>
      <c r="C138" s="72" t="n">
        <v>416500</v>
      </c>
      <c r="D138" s="72" t="n">
        <v>216500</v>
      </c>
      <c r="E138" s="74" t="n">
        <f aca="false">C138-D138</f>
        <v>200000</v>
      </c>
    </row>
    <row r="139" customFormat="false" ht="15" hidden="false" customHeight="false" outlineLevel="0" collapsed="false">
      <c r="A139" s="44" t="n">
        <v>10</v>
      </c>
      <c r="B139" s="48" t="s">
        <v>657</v>
      </c>
      <c r="C139" s="72" t="n">
        <v>416500</v>
      </c>
      <c r="D139" s="72" t="n">
        <f aca="false">216500+120000+80000</f>
        <v>416500</v>
      </c>
      <c r="E139" s="73" t="n">
        <f aca="false">C139-D139</f>
        <v>0</v>
      </c>
    </row>
    <row r="140" customFormat="false" ht="15" hidden="false" customHeight="false" outlineLevel="0" collapsed="false">
      <c r="A140" s="44" t="n">
        <v>11</v>
      </c>
      <c r="B140" s="48" t="s">
        <v>658</v>
      </c>
      <c r="C140" s="72" t="n">
        <v>416500</v>
      </c>
      <c r="D140" s="72" t="n">
        <f aca="false">217000+125000+75000</f>
        <v>417000</v>
      </c>
      <c r="E140" s="73" t="n">
        <f aca="false">C140-D140</f>
        <v>-500</v>
      </c>
    </row>
    <row r="141" customFormat="false" ht="15" hidden="false" customHeight="false" outlineLevel="0" collapsed="false">
      <c r="A141" s="44" t="n">
        <v>12</v>
      </c>
      <c r="B141" s="48" t="s">
        <v>659</v>
      </c>
      <c r="C141" s="72" t="n">
        <v>416500</v>
      </c>
      <c r="D141" s="72" t="n">
        <v>216500</v>
      </c>
      <c r="E141" s="73" t="n">
        <f aca="false">C141-D141</f>
        <v>200000</v>
      </c>
    </row>
    <row r="142" customFormat="false" ht="15" hidden="false" customHeight="false" outlineLevel="0" collapsed="false">
      <c r="A142" s="44" t="n">
        <v>13</v>
      </c>
      <c r="B142" s="45" t="s">
        <v>660</v>
      </c>
      <c r="C142" s="72" t="n">
        <v>416500</v>
      </c>
      <c r="D142" s="72" t="n">
        <f aca="false">120500+50000+46000+200000</f>
        <v>416500</v>
      </c>
      <c r="E142" s="73" t="n">
        <f aca="false">C142-D142</f>
        <v>0</v>
      </c>
    </row>
    <row r="143" customFormat="false" ht="15" hidden="false" customHeight="false" outlineLevel="0" collapsed="false">
      <c r="A143" s="44" t="n">
        <v>14</v>
      </c>
      <c r="B143" s="45" t="s">
        <v>661</v>
      </c>
      <c r="C143" s="72" t="n">
        <v>416500</v>
      </c>
      <c r="D143" s="72" t="n">
        <v>100000</v>
      </c>
      <c r="E143" s="73" t="n">
        <f aca="false">C143-D143</f>
        <v>316500</v>
      </c>
    </row>
    <row r="144" customFormat="false" ht="15" hidden="false" customHeight="false" outlineLevel="0" collapsed="false">
      <c r="A144" s="44" t="n">
        <v>15</v>
      </c>
      <c r="B144" s="45" t="s">
        <v>662</v>
      </c>
      <c r="C144" s="72" t="n">
        <v>416500</v>
      </c>
      <c r="D144" s="72" t="n">
        <f aca="false">100000+50000+50000+216000+500</f>
        <v>416500</v>
      </c>
      <c r="E144" s="73" t="n">
        <f aca="false">C144-D144</f>
        <v>0</v>
      </c>
    </row>
    <row r="145" customFormat="false" ht="15" hidden="false" customHeight="false" outlineLevel="0" collapsed="false">
      <c r="A145" s="44" t="n">
        <v>16</v>
      </c>
      <c r="B145" s="45" t="s">
        <v>663</v>
      </c>
      <c r="C145" s="72" t="n">
        <v>416500</v>
      </c>
      <c r="D145" s="72" t="n">
        <f aca="false">216500+200000</f>
        <v>416500</v>
      </c>
      <c r="E145" s="73" t="n">
        <f aca="false">C145-D145</f>
        <v>0</v>
      </c>
    </row>
    <row r="146" customFormat="false" ht="15" hidden="false" customHeight="false" outlineLevel="0" collapsed="false">
      <c r="A146" s="44" t="n">
        <v>17</v>
      </c>
      <c r="B146" s="45" t="s">
        <v>664</v>
      </c>
      <c r="C146" s="72" t="n">
        <v>416500</v>
      </c>
      <c r="D146" s="72" t="n">
        <f aca="false">216000+130000+71000</f>
        <v>417000</v>
      </c>
      <c r="E146" s="73" t="n">
        <f aca="false">C146-D146</f>
        <v>-500</v>
      </c>
    </row>
    <row r="147" customFormat="false" ht="15" hidden="false" customHeight="false" outlineLevel="0" collapsed="false">
      <c r="A147" s="44" t="n">
        <v>18</v>
      </c>
      <c r="B147" s="45" t="s">
        <v>665</v>
      </c>
      <c r="C147" s="72" t="n">
        <v>416500</v>
      </c>
      <c r="D147" s="72" t="n">
        <f aca="false">150000+150000+116500</f>
        <v>416500</v>
      </c>
      <c r="E147" s="73" t="n">
        <f aca="false">C147-D147</f>
        <v>0</v>
      </c>
    </row>
    <row r="148" customFormat="false" ht="15" hidden="false" customHeight="false" outlineLevel="0" collapsed="false">
      <c r="A148" s="44" t="n">
        <v>19</v>
      </c>
      <c r="B148" s="45" t="s">
        <v>666</v>
      </c>
      <c r="C148" s="72" t="n">
        <v>416500</v>
      </c>
      <c r="D148" s="72" t="n">
        <f aca="false">200000+120000+100000</f>
        <v>420000</v>
      </c>
      <c r="E148" s="73" t="n">
        <f aca="false">C148-D148</f>
        <v>-3500</v>
      </c>
    </row>
    <row r="149" customFormat="false" ht="15" hidden="false" customHeight="false" outlineLevel="0" collapsed="false">
      <c r="A149" s="44" t="n">
        <v>20</v>
      </c>
      <c r="B149" s="45" t="s">
        <v>667</v>
      </c>
      <c r="C149" s="72" t="n">
        <v>416500</v>
      </c>
      <c r="D149" s="72" t="n">
        <f aca="false">216500+200000</f>
        <v>416500</v>
      </c>
      <c r="E149" s="73" t="n">
        <f aca="false">C149-D149</f>
        <v>0</v>
      </c>
    </row>
    <row r="150" customFormat="false" ht="15" hidden="false" customHeight="false" outlineLevel="0" collapsed="false">
      <c r="A150" s="44" t="n">
        <v>21</v>
      </c>
      <c r="B150" s="45" t="s">
        <v>668</v>
      </c>
      <c r="C150" s="72" t="n">
        <v>416500</v>
      </c>
      <c r="D150" s="72" t="n">
        <f aca="false">180000+10000+10000+100000+116250</f>
        <v>416250</v>
      </c>
      <c r="E150" s="73" t="n">
        <f aca="false">C150-D150</f>
        <v>250</v>
      </c>
    </row>
    <row r="151" customFormat="false" ht="15" hidden="false" customHeight="false" outlineLevel="0" collapsed="false">
      <c r="A151" s="44" t="n">
        <v>22</v>
      </c>
      <c r="B151" s="45" t="s">
        <v>669</v>
      </c>
      <c r="C151" s="72" t="n">
        <v>416500</v>
      </c>
      <c r="D151" s="72" t="n">
        <f aca="false">216500+150000+50000</f>
        <v>416500</v>
      </c>
      <c r="E151" s="73" t="n">
        <f aca="false">C151-D151</f>
        <v>0</v>
      </c>
    </row>
    <row r="152" customFormat="false" ht="15" hidden="false" customHeight="false" outlineLevel="0" collapsed="false">
      <c r="A152" s="44" t="n">
        <v>23</v>
      </c>
      <c r="B152" s="45" t="s">
        <v>670</v>
      </c>
      <c r="C152" s="72" t="n">
        <v>416500</v>
      </c>
      <c r="D152" s="72" t="n">
        <v>216500</v>
      </c>
      <c r="E152" s="74" t="n">
        <f aca="false">C152-D152</f>
        <v>200000</v>
      </c>
    </row>
    <row r="153" customFormat="false" ht="15" hidden="false" customHeight="false" outlineLevel="0" collapsed="false">
      <c r="A153" s="44" t="n">
        <v>24</v>
      </c>
      <c r="B153" s="45" t="s">
        <v>671</v>
      </c>
      <c r="C153" s="72" t="n">
        <v>416500</v>
      </c>
      <c r="D153" s="72" t="n">
        <v>40000</v>
      </c>
      <c r="E153" s="74" t="n">
        <f aca="false">C153-D153</f>
        <v>376500</v>
      </c>
    </row>
    <row r="154" customFormat="false" ht="15" hidden="false" customHeight="false" outlineLevel="0" collapsed="false">
      <c r="A154" s="44" t="n">
        <v>25</v>
      </c>
      <c r="B154" s="45" t="s">
        <v>672</v>
      </c>
      <c r="C154" s="72" t="n">
        <v>416500</v>
      </c>
      <c r="D154" s="72" t="n">
        <f aca="false">150000+66500+135000</f>
        <v>351500</v>
      </c>
      <c r="E154" s="73" t="n">
        <f aca="false">C154-D154</f>
        <v>65000</v>
      </c>
    </row>
    <row r="155" customFormat="false" ht="15" hidden="false" customHeight="false" outlineLevel="0" collapsed="false">
      <c r="A155" s="44" t="n">
        <v>26</v>
      </c>
      <c r="B155" s="45" t="s">
        <v>673</v>
      </c>
      <c r="C155" s="72" t="n">
        <v>416500</v>
      </c>
      <c r="D155" s="72" t="n">
        <f aca="false">216000+200500</f>
        <v>416500</v>
      </c>
      <c r="E155" s="73" t="n">
        <f aca="false">C155-D155</f>
        <v>0</v>
      </c>
    </row>
    <row r="156" customFormat="false" ht="15" hidden="false" customHeight="false" outlineLevel="0" collapsed="false">
      <c r="A156" s="44" t="n">
        <v>27</v>
      </c>
      <c r="B156" s="45" t="s">
        <v>674</v>
      </c>
      <c r="C156" s="72" t="n">
        <v>416500</v>
      </c>
      <c r="D156" s="72" t="n">
        <f aca="false">216500+200000</f>
        <v>416500</v>
      </c>
      <c r="E156" s="73" t="n">
        <f aca="false">C156-D156</f>
        <v>0</v>
      </c>
    </row>
    <row r="157" customFormat="false" ht="15" hidden="false" customHeight="false" outlineLevel="0" collapsed="false">
      <c r="A157" s="44" t="n">
        <v>28</v>
      </c>
      <c r="B157" s="45" t="s">
        <v>675</v>
      </c>
      <c r="C157" s="72" t="n">
        <v>416500</v>
      </c>
      <c r="D157" s="72" t="n">
        <f aca="false">230000+80000+100000+6500</f>
        <v>416500</v>
      </c>
      <c r="E157" s="73" t="n">
        <f aca="false">C157-D157</f>
        <v>0</v>
      </c>
    </row>
    <row r="158" customFormat="false" ht="15" hidden="false" customHeight="false" outlineLevel="0" collapsed="false">
      <c r="A158" s="44" t="n">
        <v>29</v>
      </c>
      <c r="B158" s="88" t="s">
        <v>676</v>
      </c>
      <c r="C158" s="72" t="n">
        <v>416500</v>
      </c>
      <c r="D158" s="89" t="n">
        <f aca="false">216500+83500</f>
        <v>300000</v>
      </c>
      <c r="E158" s="73" t="n">
        <f aca="false">C158-D158</f>
        <v>116500</v>
      </c>
    </row>
    <row r="159" customFormat="false" ht="15" hidden="false" customHeight="false" outlineLevel="0" collapsed="false">
      <c r="A159" s="44" t="n">
        <v>30</v>
      </c>
      <c r="B159" s="48" t="s">
        <v>677</v>
      </c>
      <c r="C159" s="72" t="n">
        <v>416500</v>
      </c>
      <c r="D159" s="89" t="n">
        <f aca="false">216500+100000</f>
        <v>316500</v>
      </c>
      <c r="E159" s="73" t="n">
        <f aca="false">C159-D159</f>
        <v>100000</v>
      </c>
    </row>
    <row r="160" customFormat="false" ht="17.35" hidden="false" customHeight="false" outlineLevel="0" collapsed="false">
      <c r="A160" s="44"/>
      <c r="B160" s="53" t="s">
        <v>42</v>
      </c>
      <c r="C160" s="75" t="n">
        <f aca="false">SUM(C130:C159)</f>
        <v>12495000</v>
      </c>
      <c r="D160" s="76" t="n">
        <f aca="false">SUM(D130:D159)</f>
        <v>10724250</v>
      </c>
      <c r="E160" s="77" t="n">
        <f aca="false">SUM(E130:E159)</f>
        <v>1770750</v>
      </c>
    </row>
    <row r="161" customFormat="false" ht="15" hidden="false" customHeight="false" outlineLevel="0" collapsed="false">
      <c r="A161" s="78"/>
      <c r="B161" s="79"/>
      <c r="C161" s="80"/>
      <c r="D161" s="80"/>
      <c r="E161" s="81"/>
    </row>
    <row r="162" customFormat="false" ht="15" hidden="false" customHeight="false" outlineLevel="0" collapsed="false">
      <c r="A162" s="82"/>
      <c r="C162" s="83"/>
      <c r="D162" s="83"/>
      <c r="E162" s="84"/>
    </row>
    <row r="163" customFormat="false" ht="15" hidden="false" customHeight="false" outlineLevel="0" collapsed="false">
      <c r="A163" s="82"/>
    </row>
    <row r="164" customFormat="false" ht="15" hidden="false" customHeight="false" outlineLevel="0" collapsed="false">
      <c r="A164" s="82"/>
    </row>
    <row r="165" customFormat="false" ht="17.35" hidden="false" customHeight="false" outlineLevel="0" collapsed="false">
      <c r="A165" s="90"/>
      <c r="B165" s="2" t="s">
        <v>0</v>
      </c>
    </row>
    <row r="166" customFormat="false" ht="15" hidden="false" customHeight="false" outlineLevel="0" collapsed="false">
      <c r="A166" s="82"/>
    </row>
    <row r="167" customFormat="false" ht="15" hidden="false" customHeight="false" outlineLevel="0" collapsed="false">
      <c r="A167" s="82"/>
    </row>
    <row r="168" customFormat="false" ht="15" hidden="false" customHeight="false" outlineLevel="0" collapsed="false">
      <c r="A168" s="82"/>
      <c r="B168" s="5" t="s">
        <v>372</v>
      </c>
      <c r="D168" s="69" t="s">
        <v>564</v>
      </c>
    </row>
    <row r="169" customFormat="false" ht="15" hidden="false" customHeight="false" outlineLevel="0" collapsed="false">
      <c r="A169" s="82"/>
    </row>
    <row r="170" customFormat="false" ht="15" hidden="false" customHeight="false" outlineLevel="0" collapsed="false">
      <c r="A170" s="42" t="s">
        <v>4</v>
      </c>
      <c r="B170" s="70" t="s">
        <v>5</v>
      </c>
      <c r="C170" s="8" t="s">
        <v>6</v>
      </c>
      <c r="D170" s="71" t="s">
        <v>7</v>
      </c>
      <c r="E170" s="10" t="s">
        <v>8</v>
      </c>
    </row>
    <row r="171" customFormat="false" ht="15" hidden="false" customHeight="false" outlineLevel="0" collapsed="false">
      <c r="A171" s="44" t="n">
        <v>1</v>
      </c>
      <c r="B171" s="95" t="s">
        <v>678</v>
      </c>
      <c r="C171" s="58" t="n">
        <v>416500</v>
      </c>
      <c r="D171" s="87" t="n">
        <v>200000</v>
      </c>
      <c r="E171" s="60" t="n">
        <v>216500</v>
      </c>
    </row>
    <row r="172" customFormat="false" ht="15" hidden="false" customHeight="false" outlineLevel="0" collapsed="false">
      <c r="A172" s="44" t="n">
        <v>2</v>
      </c>
      <c r="B172" s="45" t="s">
        <v>679</v>
      </c>
      <c r="C172" s="72" t="n">
        <v>416500</v>
      </c>
      <c r="D172" s="72" t="n">
        <f aca="false">120000+100000+196500</f>
        <v>416500</v>
      </c>
      <c r="E172" s="73" t="n">
        <f aca="false">C172-D172</f>
        <v>0</v>
      </c>
    </row>
    <row r="173" customFormat="false" ht="15" hidden="false" customHeight="false" outlineLevel="0" collapsed="false">
      <c r="A173" s="44" t="n">
        <v>3</v>
      </c>
      <c r="B173" s="45" t="s">
        <v>680</v>
      </c>
      <c r="C173" s="72" t="n">
        <v>416500</v>
      </c>
      <c r="D173" s="72" t="n">
        <f aca="false">216000+200500</f>
        <v>416500</v>
      </c>
      <c r="E173" s="73" t="n">
        <f aca="false">C173-D173</f>
        <v>0</v>
      </c>
    </row>
    <row r="174" customFormat="false" ht="15" hidden="false" customHeight="false" outlineLevel="0" collapsed="false">
      <c r="A174" s="44" t="n">
        <v>4</v>
      </c>
      <c r="B174" s="45" t="s">
        <v>681</v>
      </c>
      <c r="C174" s="72" t="n">
        <v>416500</v>
      </c>
      <c r="D174" s="72" t="n">
        <f aca="false">366500+50000</f>
        <v>416500</v>
      </c>
      <c r="E174" s="73" t="n">
        <f aca="false">C174-D174</f>
        <v>0</v>
      </c>
    </row>
    <row r="175" customFormat="false" ht="15" hidden="false" customHeight="false" outlineLevel="0" collapsed="false">
      <c r="A175" s="44" t="n">
        <v>5</v>
      </c>
      <c r="B175" s="45" t="s">
        <v>682</v>
      </c>
      <c r="C175" s="72" t="n">
        <v>416500</v>
      </c>
      <c r="D175" s="72" t="n">
        <f aca="false">216000+200000</f>
        <v>416000</v>
      </c>
      <c r="E175" s="73" t="n">
        <f aca="false">C175-D175</f>
        <v>500</v>
      </c>
    </row>
    <row r="176" customFormat="false" ht="15" hidden="false" customHeight="false" outlineLevel="0" collapsed="false">
      <c r="A176" s="44" t="n">
        <v>6</v>
      </c>
      <c r="B176" s="45" t="s">
        <v>683</v>
      </c>
      <c r="C176" s="72" t="n">
        <v>416500</v>
      </c>
      <c r="D176" s="72" t="n">
        <f aca="false">415000+1500</f>
        <v>416500</v>
      </c>
      <c r="E176" s="73" t="n">
        <f aca="false">C176-D176</f>
        <v>0</v>
      </c>
    </row>
    <row r="177" customFormat="false" ht="15" hidden="false" customHeight="false" outlineLevel="0" collapsed="false">
      <c r="A177" s="44" t="n">
        <v>7</v>
      </c>
      <c r="B177" s="48" t="s">
        <v>684</v>
      </c>
      <c r="C177" s="72" t="n">
        <v>416500</v>
      </c>
      <c r="D177" s="72" t="n">
        <f aca="false">220000+100000+96500</f>
        <v>416500</v>
      </c>
      <c r="E177" s="73" t="n">
        <f aca="false">C177-D177</f>
        <v>0</v>
      </c>
    </row>
    <row r="178" customFormat="false" ht="15" hidden="false" customHeight="false" outlineLevel="0" collapsed="false">
      <c r="A178" s="44" t="n">
        <v>8</v>
      </c>
      <c r="B178" s="48" t="s">
        <v>685</v>
      </c>
      <c r="C178" s="72" t="n">
        <v>416500</v>
      </c>
      <c r="D178" s="72" t="n">
        <f aca="false">216500+100000+100000</f>
        <v>416500</v>
      </c>
      <c r="E178" s="73" t="n">
        <f aca="false">C178-D178</f>
        <v>0</v>
      </c>
    </row>
    <row r="179" customFormat="false" ht="15" hidden="false" customHeight="false" outlineLevel="0" collapsed="false">
      <c r="A179" s="44" t="n">
        <v>9</v>
      </c>
      <c r="B179" s="48" t="s">
        <v>686</v>
      </c>
      <c r="C179" s="72" t="n">
        <v>416500</v>
      </c>
      <c r="D179" s="72" t="n">
        <f aca="false">216500+100500+100000</f>
        <v>417000</v>
      </c>
      <c r="E179" s="73" t="n">
        <f aca="false">C179-D179</f>
        <v>-500</v>
      </c>
    </row>
    <row r="180" customFormat="false" ht="15" hidden="false" customHeight="false" outlineLevel="0" collapsed="false">
      <c r="A180" s="44" t="n">
        <v>10</v>
      </c>
      <c r="B180" s="48" t="s">
        <v>687</v>
      </c>
      <c r="C180" s="72" t="n">
        <v>416500</v>
      </c>
      <c r="D180" s="72" t="n">
        <v>100000</v>
      </c>
      <c r="E180" s="73" t="n">
        <f aca="false">C180-D180</f>
        <v>316500</v>
      </c>
    </row>
    <row r="181" customFormat="false" ht="15" hidden="false" customHeight="false" outlineLevel="0" collapsed="false">
      <c r="A181" s="44" t="n">
        <v>11</v>
      </c>
      <c r="B181" s="48" t="s">
        <v>688</v>
      </c>
      <c r="C181" s="72" t="n">
        <v>416500</v>
      </c>
      <c r="D181" s="72" t="n">
        <f aca="false">250000+50000+100000+16500</f>
        <v>416500</v>
      </c>
      <c r="E181" s="73" t="n">
        <f aca="false">C181-D181</f>
        <v>0</v>
      </c>
    </row>
    <row r="182" customFormat="false" ht="15" hidden="false" customHeight="false" outlineLevel="0" collapsed="false">
      <c r="A182" s="44" t="n">
        <v>12</v>
      </c>
      <c r="B182" s="48" t="s">
        <v>689</v>
      </c>
      <c r="C182" s="72" t="n">
        <v>416500</v>
      </c>
      <c r="D182" s="72" t="n">
        <v>220000</v>
      </c>
      <c r="E182" s="73" t="n">
        <f aca="false">C182-D182</f>
        <v>196500</v>
      </c>
    </row>
    <row r="183" customFormat="false" ht="15" hidden="false" customHeight="false" outlineLevel="0" collapsed="false">
      <c r="A183" s="44" t="n">
        <v>13</v>
      </c>
      <c r="B183" s="48" t="s">
        <v>690</v>
      </c>
      <c r="C183" s="72" t="n">
        <v>416500</v>
      </c>
      <c r="D183" s="72"/>
      <c r="E183" s="73" t="n">
        <f aca="false">C183-D183</f>
        <v>416500</v>
      </c>
    </row>
    <row r="184" customFormat="false" ht="15" hidden="false" customHeight="false" outlineLevel="0" collapsed="false">
      <c r="A184" s="44" t="n">
        <v>14</v>
      </c>
      <c r="B184" s="48" t="s">
        <v>691</v>
      </c>
      <c r="C184" s="72" t="n">
        <v>416500</v>
      </c>
      <c r="D184" s="72" t="n">
        <f aca="false">216500+100000+50000+50000</f>
        <v>416500</v>
      </c>
      <c r="E184" s="73" t="n">
        <f aca="false">C184-D184</f>
        <v>0</v>
      </c>
    </row>
    <row r="185" customFormat="false" ht="17.35" hidden="false" customHeight="false" outlineLevel="0" collapsed="false">
      <c r="A185" s="96"/>
      <c r="B185" s="97" t="s">
        <v>42</v>
      </c>
      <c r="C185" s="98" t="n">
        <f aca="false">SUM(C172:C184)</f>
        <v>5414500</v>
      </c>
      <c r="D185" s="99" t="n">
        <f aca="false">SUM(D172:D184)</f>
        <v>4485000</v>
      </c>
      <c r="E185" s="100" t="n">
        <f aca="false">SUM(E172:E184)</f>
        <v>929500</v>
      </c>
    </row>
    <row r="186" customFormat="false" ht="15" hidden="false" customHeight="false" outlineLevel="0" collapsed="false">
      <c r="A186" s="78"/>
      <c r="B186" s="79"/>
      <c r="C186" s="80"/>
      <c r="D186" s="80"/>
      <c r="E186" s="81"/>
    </row>
    <row r="189" customFormat="false" ht="15" hidden="false" customHeight="false" outlineLevel="0" collapsed="false">
      <c r="A189" s="82"/>
    </row>
    <row r="190" customFormat="false" ht="15" hidden="false" customHeight="false" outlineLevel="0" collapsed="false">
      <c r="A190" s="82"/>
    </row>
    <row r="191" customFormat="false" ht="17.35" hidden="false" customHeight="false" outlineLevel="0" collapsed="false">
      <c r="A191" s="90"/>
      <c r="B191" s="2" t="s">
        <v>0</v>
      </c>
      <c r="C191" s="2"/>
    </row>
    <row r="192" customFormat="false" ht="15" hidden="false" customHeight="false" outlineLevel="0" collapsed="false">
      <c r="A192" s="82"/>
    </row>
    <row r="193" customFormat="false" ht="15" hidden="false" customHeight="false" outlineLevel="0" collapsed="false">
      <c r="A193" s="82"/>
    </row>
    <row r="194" customFormat="false" ht="15" hidden="false" customHeight="false" outlineLevel="0" collapsed="false">
      <c r="A194" s="82"/>
      <c r="B194" s="5" t="s">
        <v>428</v>
      </c>
      <c r="D194" s="69" t="s">
        <v>564</v>
      </c>
    </row>
    <row r="195" customFormat="false" ht="15" hidden="false" customHeight="false" outlineLevel="0" collapsed="false">
      <c r="A195" s="82"/>
    </row>
    <row r="196" customFormat="false" ht="15" hidden="false" customHeight="false" outlineLevel="0" collapsed="false">
      <c r="A196" s="42" t="s">
        <v>4</v>
      </c>
      <c r="B196" s="70" t="s">
        <v>5</v>
      </c>
      <c r="C196" s="8" t="s">
        <v>6</v>
      </c>
      <c r="D196" s="71" t="s">
        <v>7</v>
      </c>
      <c r="E196" s="10" t="s">
        <v>8</v>
      </c>
    </row>
    <row r="197" customFormat="false" ht="15" hidden="false" customHeight="false" outlineLevel="0" collapsed="false">
      <c r="A197" s="44" t="n">
        <v>1</v>
      </c>
      <c r="B197" s="45" t="s">
        <v>692</v>
      </c>
      <c r="C197" s="101" t="n">
        <v>416500</v>
      </c>
      <c r="D197" s="101" t="n">
        <f aca="false">210000+200000</f>
        <v>410000</v>
      </c>
      <c r="E197" s="102" t="n">
        <f aca="false">C197-D197</f>
        <v>6500</v>
      </c>
    </row>
    <row r="198" customFormat="false" ht="15" hidden="false" customHeight="false" outlineLevel="0" collapsed="false">
      <c r="A198" s="44" t="n">
        <v>2</v>
      </c>
      <c r="B198" s="45" t="s">
        <v>693</v>
      </c>
      <c r="C198" s="101" t="n">
        <v>416500</v>
      </c>
      <c r="D198" s="101" t="n">
        <f aca="false">216000+100000+60000+40000+500</f>
        <v>416500</v>
      </c>
      <c r="E198" s="102" t="n">
        <f aca="false">C198-D198</f>
        <v>0</v>
      </c>
    </row>
    <row r="199" customFormat="false" ht="15" hidden="false" customHeight="false" outlineLevel="0" collapsed="false">
      <c r="A199" s="44" t="n">
        <v>3</v>
      </c>
      <c r="B199" s="103" t="s">
        <v>694</v>
      </c>
      <c r="C199" s="104" t="n">
        <v>416500</v>
      </c>
      <c r="D199" s="1" t="n">
        <f aca="false">250787+166000</f>
        <v>416787</v>
      </c>
      <c r="E199" s="102" t="n">
        <f aca="false">C199-D199</f>
        <v>-287</v>
      </c>
    </row>
    <row r="200" customFormat="false" ht="15" hidden="false" customHeight="false" outlineLevel="0" collapsed="false">
      <c r="A200" s="44" t="n">
        <v>4</v>
      </c>
      <c r="B200" s="45" t="s">
        <v>695</v>
      </c>
      <c r="C200" s="101" t="n">
        <v>416500</v>
      </c>
      <c r="D200" s="101" t="n">
        <f aca="false">216500+200000</f>
        <v>416500</v>
      </c>
      <c r="E200" s="102" t="n">
        <f aca="false">C200-D200</f>
        <v>0</v>
      </c>
    </row>
    <row r="201" customFormat="false" ht="15" hidden="false" customHeight="false" outlineLevel="0" collapsed="false">
      <c r="A201" s="44" t="n">
        <v>5</v>
      </c>
      <c r="B201" s="45" t="s">
        <v>696</v>
      </c>
      <c r="C201" s="101" t="n">
        <v>416500</v>
      </c>
      <c r="D201" s="101" t="n">
        <v>120000</v>
      </c>
      <c r="E201" s="102" t="n">
        <f aca="false">C201-D201</f>
        <v>296500</v>
      </c>
    </row>
    <row r="202" customFormat="false" ht="15" hidden="false" customHeight="false" outlineLevel="0" collapsed="false">
      <c r="A202" s="44" t="n">
        <v>6</v>
      </c>
      <c r="B202" s="45" t="s">
        <v>697</v>
      </c>
      <c r="C202" s="101" t="n">
        <v>416500</v>
      </c>
      <c r="D202" s="101" t="n">
        <v>416500</v>
      </c>
      <c r="E202" s="102" t="n">
        <f aca="false">C202-D202</f>
        <v>0</v>
      </c>
    </row>
    <row r="203" customFormat="false" ht="15" hidden="false" customHeight="false" outlineLevel="0" collapsed="false">
      <c r="A203" s="44" t="n">
        <v>7</v>
      </c>
      <c r="B203" s="45" t="s">
        <v>698</v>
      </c>
      <c r="C203" s="101" t="n">
        <v>416500</v>
      </c>
      <c r="D203" s="101" t="n">
        <f aca="false">216500+110000+50000+40000</f>
        <v>416500</v>
      </c>
      <c r="E203" s="102" t="n">
        <f aca="false">C203-D203</f>
        <v>0</v>
      </c>
    </row>
    <row r="204" customFormat="false" ht="15" hidden="false" customHeight="false" outlineLevel="0" collapsed="false">
      <c r="A204" s="44" t="n">
        <v>8</v>
      </c>
      <c r="B204" s="45" t="s">
        <v>699</v>
      </c>
      <c r="C204" s="101" t="n">
        <v>416500</v>
      </c>
      <c r="D204" s="101" t="n">
        <f aca="false">216500+200000</f>
        <v>416500</v>
      </c>
      <c r="E204" s="102" t="n">
        <f aca="false">C204-D204</f>
        <v>0</v>
      </c>
    </row>
    <row r="205" customFormat="false" ht="15" hidden="false" customHeight="false" outlineLevel="0" collapsed="false">
      <c r="A205" s="44" t="n">
        <v>9</v>
      </c>
      <c r="B205" s="45" t="s">
        <v>700</v>
      </c>
      <c r="C205" s="101" t="n">
        <v>416500</v>
      </c>
      <c r="D205" s="101" t="n">
        <f aca="false">216500+100000+100000</f>
        <v>416500</v>
      </c>
      <c r="E205" s="102" t="n">
        <f aca="false">C205-D205</f>
        <v>0</v>
      </c>
    </row>
    <row r="206" customFormat="false" ht="15" hidden="false" customHeight="false" outlineLevel="0" collapsed="false">
      <c r="A206" s="44" t="n">
        <v>10</v>
      </c>
      <c r="B206" s="88" t="s">
        <v>701</v>
      </c>
      <c r="C206" s="105" t="n">
        <v>416500</v>
      </c>
      <c r="D206" s="105" t="n">
        <f aca="false">200000+217000</f>
        <v>417000</v>
      </c>
      <c r="E206" s="102" t="n">
        <f aca="false">C206-D206</f>
        <v>-500</v>
      </c>
    </row>
    <row r="207" customFormat="false" ht="15" hidden="false" customHeight="false" outlineLevel="0" collapsed="false">
      <c r="A207" s="44" t="n">
        <v>13</v>
      </c>
      <c r="B207" s="88" t="s">
        <v>702</v>
      </c>
      <c r="C207" s="105" t="n">
        <v>416500</v>
      </c>
      <c r="D207" s="105" t="n">
        <f aca="false">215000+201500</f>
        <v>416500</v>
      </c>
      <c r="E207" s="102" t="n">
        <f aca="false">C207-D207</f>
        <v>0</v>
      </c>
    </row>
    <row r="208" customFormat="false" ht="17.35" hidden="false" customHeight="false" outlineLevel="0" collapsed="false">
      <c r="A208" s="96"/>
      <c r="B208" s="97" t="s">
        <v>42</v>
      </c>
      <c r="C208" s="98" t="n">
        <f aca="false">SUM(C197:C207)</f>
        <v>4581500</v>
      </c>
      <c r="D208" s="99" t="n">
        <f aca="false">SUM(D197:D205)</f>
        <v>3445787</v>
      </c>
      <c r="E208" s="100" t="n">
        <f aca="false">SUM(E197:E207)</f>
        <v>302213</v>
      </c>
    </row>
    <row r="209" customFormat="false" ht="15" hidden="false" customHeight="false" outlineLevel="0" collapsed="false">
      <c r="A209" s="78"/>
      <c r="B209" s="79"/>
      <c r="C209" s="80"/>
      <c r="D209" s="80"/>
      <c r="E209" s="81"/>
    </row>
    <row r="210" customFormat="false" ht="17.35" hidden="false" customHeight="false" outlineLevel="0" collapsed="false">
      <c r="A210" s="90"/>
      <c r="B210" s="2" t="s">
        <v>0</v>
      </c>
    </row>
    <row r="211" customFormat="false" ht="15" hidden="false" customHeight="false" outlineLevel="0" collapsed="false">
      <c r="A211" s="82"/>
    </row>
    <row r="212" customFormat="false" ht="15" hidden="false" customHeight="false" outlineLevel="0" collapsed="false">
      <c r="A212" s="82"/>
    </row>
    <row r="213" customFormat="false" ht="15" hidden="false" customHeight="false" outlineLevel="0" collapsed="false">
      <c r="A213" s="82"/>
      <c r="B213" s="5" t="s">
        <v>465</v>
      </c>
      <c r="D213" s="69" t="s">
        <v>564</v>
      </c>
    </row>
    <row r="214" customFormat="false" ht="15" hidden="false" customHeight="false" outlineLevel="0" collapsed="false">
      <c r="A214" s="82"/>
    </row>
    <row r="215" customFormat="false" ht="15" hidden="false" customHeight="false" outlineLevel="0" collapsed="false">
      <c r="A215" s="42" t="s">
        <v>4</v>
      </c>
      <c r="B215" s="70" t="s">
        <v>5</v>
      </c>
      <c r="C215" s="8" t="s">
        <v>6</v>
      </c>
      <c r="D215" s="71" t="s">
        <v>7</v>
      </c>
      <c r="E215" s="10" t="s">
        <v>8</v>
      </c>
    </row>
    <row r="216" customFormat="false" ht="15" hidden="false" customHeight="false" outlineLevel="0" collapsed="false">
      <c r="A216" s="106" t="n">
        <v>1</v>
      </c>
      <c r="B216" s="107" t="s">
        <v>703</v>
      </c>
      <c r="C216" s="58" t="n">
        <v>416500</v>
      </c>
      <c r="D216" s="87" t="n">
        <v>200000</v>
      </c>
      <c r="E216" s="108" t="n">
        <v>216500</v>
      </c>
    </row>
    <row r="217" customFormat="false" ht="15" hidden="false" customHeight="false" outlineLevel="0" collapsed="false">
      <c r="A217" s="44" t="n">
        <v>2</v>
      </c>
      <c r="B217" s="45" t="s">
        <v>704</v>
      </c>
      <c r="C217" s="72" t="n">
        <v>416500</v>
      </c>
      <c r="D217" s="72" t="n">
        <f aca="false">216500+100000+100000</f>
        <v>416500</v>
      </c>
      <c r="E217" s="73" t="n">
        <f aca="false">C217-D217</f>
        <v>0</v>
      </c>
    </row>
    <row r="218" customFormat="false" ht="15" hidden="false" customHeight="false" outlineLevel="0" collapsed="false">
      <c r="A218" s="44" t="n">
        <v>3</v>
      </c>
      <c r="B218" s="45" t="s">
        <v>705</v>
      </c>
      <c r="C218" s="72" t="n">
        <v>416500</v>
      </c>
      <c r="D218" s="72" t="n">
        <f aca="false">216000+90000+50000+60000+500</f>
        <v>416500</v>
      </c>
      <c r="E218" s="73" t="n">
        <f aca="false">C218-D218</f>
        <v>0</v>
      </c>
    </row>
    <row r="219" customFormat="false" ht="15" hidden="false" customHeight="false" outlineLevel="0" collapsed="false">
      <c r="A219" s="44" t="n">
        <v>4</v>
      </c>
      <c r="B219" s="45" t="s">
        <v>706</v>
      </c>
      <c r="C219" s="72" t="n">
        <v>416500</v>
      </c>
      <c r="D219" s="72" t="n">
        <f aca="false">200000+100000+100000+16500</f>
        <v>416500</v>
      </c>
      <c r="E219" s="73" t="n">
        <f aca="false">C219-D219</f>
        <v>0</v>
      </c>
    </row>
    <row r="220" customFormat="false" ht="15" hidden="false" customHeight="false" outlineLevel="0" collapsed="false">
      <c r="A220" s="44" t="n">
        <v>5</v>
      </c>
      <c r="B220" s="45" t="s">
        <v>707</v>
      </c>
      <c r="C220" s="72" t="n">
        <v>416500</v>
      </c>
      <c r="D220" s="72" t="n">
        <f aca="false">120000+130000+120000+46500</f>
        <v>416500</v>
      </c>
      <c r="E220" s="73" t="n">
        <f aca="false">C220-D220</f>
        <v>0</v>
      </c>
    </row>
    <row r="221" customFormat="false" ht="15" hidden="false" customHeight="false" outlineLevel="0" collapsed="false">
      <c r="A221" s="44" t="n">
        <v>6</v>
      </c>
      <c r="B221" s="45" t="s">
        <v>708</v>
      </c>
      <c r="C221" s="72" t="n">
        <v>416500</v>
      </c>
      <c r="D221" s="72" t="n">
        <f aca="false">150000+50000+216500</f>
        <v>416500</v>
      </c>
      <c r="E221" s="73" t="n">
        <f aca="false">C221-D221</f>
        <v>0</v>
      </c>
    </row>
    <row r="222" customFormat="false" ht="15" hidden="false" customHeight="false" outlineLevel="0" collapsed="false">
      <c r="A222" s="44" t="n">
        <v>7</v>
      </c>
      <c r="B222" s="45" t="s">
        <v>709</v>
      </c>
      <c r="C222" s="72" t="n">
        <v>416500</v>
      </c>
      <c r="D222" s="72" t="n">
        <f aca="false">220000+106000+89950+500</f>
        <v>416450</v>
      </c>
      <c r="E222" s="73" t="n">
        <f aca="false">C222-D222</f>
        <v>50</v>
      </c>
    </row>
    <row r="223" customFormat="false" ht="15" hidden="false" customHeight="false" outlineLevel="0" collapsed="false">
      <c r="A223" s="44" t="n">
        <v>8</v>
      </c>
      <c r="B223" s="45" t="s">
        <v>710</v>
      </c>
      <c r="C223" s="72" t="n">
        <v>416500</v>
      </c>
      <c r="D223" s="72" t="n">
        <f aca="false">216500+100000+100000</f>
        <v>416500</v>
      </c>
      <c r="E223" s="73" t="n">
        <f aca="false">C223-D223</f>
        <v>0</v>
      </c>
    </row>
    <row r="224" customFormat="false" ht="15" hidden="false" customHeight="false" outlineLevel="0" collapsed="false">
      <c r="A224" s="44" t="n">
        <v>9</v>
      </c>
      <c r="B224" s="45" t="s">
        <v>711</v>
      </c>
      <c r="C224" s="72" t="n">
        <v>416500</v>
      </c>
      <c r="D224" s="72" t="n">
        <f aca="false">216500+40000+160000</f>
        <v>416500</v>
      </c>
      <c r="E224" s="73" t="n">
        <f aca="false">C224-D224</f>
        <v>0</v>
      </c>
    </row>
    <row r="225" customFormat="false" ht="15" hidden="false" customHeight="false" outlineLevel="0" collapsed="false">
      <c r="A225" s="44" t="n">
        <v>10</v>
      </c>
      <c r="B225" s="45" t="s">
        <v>712</v>
      </c>
      <c r="C225" s="72" t="n">
        <v>416500</v>
      </c>
      <c r="D225" s="72" t="n">
        <f aca="false">200000+216000</f>
        <v>416000</v>
      </c>
      <c r="E225" s="73" t="n">
        <f aca="false">C225-D225</f>
        <v>500</v>
      </c>
    </row>
    <row r="226" customFormat="false" ht="15" hidden="false" customHeight="false" outlineLevel="0" collapsed="false">
      <c r="A226" s="44" t="n">
        <v>11</v>
      </c>
      <c r="B226" s="45" t="s">
        <v>713</v>
      </c>
      <c r="C226" s="72" t="n">
        <v>416500</v>
      </c>
      <c r="D226" s="72" t="n">
        <f aca="false">220000+196500</f>
        <v>416500</v>
      </c>
      <c r="E226" s="73" t="n">
        <f aca="false">C226-D226</f>
        <v>0</v>
      </c>
    </row>
    <row r="227" customFormat="false" ht="15" hidden="false" customHeight="false" outlineLevel="0" collapsed="false">
      <c r="A227" s="44" t="n">
        <v>12</v>
      </c>
      <c r="B227" s="45" t="s">
        <v>714</v>
      </c>
      <c r="C227" s="72" t="n">
        <v>416500</v>
      </c>
      <c r="D227" s="109" t="n">
        <f aca="false">216500+100000+100000</f>
        <v>416500</v>
      </c>
      <c r="E227" s="73" t="n">
        <f aca="false">C227-D227</f>
        <v>0</v>
      </c>
    </row>
    <row r="228" customFormat="false" ht="15" hidden="false" customHeight="false" outlineLevel="0" collapsed="false">
      <c r="A228" s="44" t="n">
        <v>13</v>
      </c>
      <c r="B228" s="45" t="s">
        <v>715</v>
      </c>
      <c r="C228" s="72" t="n">
        <v>416500</v>
      </c>
      <c r="D228" s="109" t="n">
        <f aca="false">220000+130000+66500</f>
        <v>416500</v>
      </c>
      <c r="E228" s="73" t="n">
        <f aca="false">C228-D228</f>
        <v>0</v>
      </c>
    </row>
    <row r="229" customFormat="false" ht="15" hidden="false" customHeight="false" outlineLevel="0" collapsed="false">
      <c r="A229" s="96" t="n">
        <v>14</v>
      </c>
      <c r="B229" s="88" t="s">
        <v>716</v>
      </c>
      <c r="C229" s="89" t="n">
        <v>416500</v>
      </c>
      <c r="D229" s="110" t="n">
        <f aca="false">100000+110000+200000+6500</f>
        <v>416500</v>
      </c>
      <c r="E229" s="73" t="n">
        <f aca="false">C229-D229</f>
        <v>0</v>
      </c>
    </row>
    <row r="230" customFormat="false" ht="15" hidden="false" customHeight="false" outlineLevel="0" collapsed="false">
      <c r="A230" s="96" t="n">
        <v>15</v>
      </c>
      <c r="B230" s="88" t="s">
        <v>717</v>
      </c>
      <c r="C230" s="89" t="n">
        <v>416500</v>
      </c>
      <c r="D230" s="110" t="n">
        <f aca="false">225000+140000+51500</f>
        <v>416500</v>
      </c>
      <c r="E230" s="73" t="n">
        <f aca="false">C230-D230</f>
        <v>0</v>
      </c>
    </row>
    <row r="231" customFormat="false" ht="15" hidden="false" customHeight="false" outlineLevel="0" collapsed="false">
      <c r="A231" s="96" t="n">
        <v>16</v>
      </c>
      <c r="B231" s="88" t="s">
        <v>718</v>
      </c>
      <c r="C231" s="89" t="n">
        <v>416500</v>
      </c>
      <c r="D231" s="110" t="n">
        <f aca="false">20000+117000+111000+50000+118500</f>
        <v>416500</v>
      </c>
      <c r="E231" s="73" t="n">
        <f aca="false">C231-D231</f>
        <v>0</v>
      </c>
    </row>
    <row r="232" customFormat="false" ht="17.35" hidden="false" customHeight="false" outlineLevel="0" collapsed="false">
      <c r="A232" s="52"/>
      <c r="B232" s="53" t="s">
        <v>42</v>
      </c>
      <c r="C232" s="111" t="n">
        <f aca="false">SUM(C217:C229)</f>
        <v>5414500</v>
      </c>
      <c r="D232" s="112" t="n">
        <f aca="false">SUM(D217:D228)</f>
        <v>4997450</v>
      </c>
      <c r="E232" s="113" t="n">
        <f aca="false">SUM(E217:E229)</f>
        <v>550</v>
      </c>
    </row>
    <row r="233" customFormat="false" ht="15" hidden="false" customHeight="false" outlineLevel="0" collapsed="false">
      <c r="A233" s="78"/>
      <c r="B233" s="79"/>
      <c r="C233" s="80"/>
      <c r="D233" s="80"/>
      <c r="E233" s="81"/>
    </row>
    <row r="237" customFormat="false" ht="17.35" hidden="false" customHeight="false" outlineLevel="0" collapsed="false">
      <c r="A237" s="82"/>
      <c r="B237" s="2" t="s">
        <v>0</v>
      </c>
    </row>
    <row r="238" customFormat="false" ht="15" hidden="false" customHeight="false" outlineLevel="0" collapsed="false">
      <c r="A238" s="82"/>
    </row>
    <row r="239" customFormat="false" ht="15" hidden="false" customHeight="false" outlineLevel="0" collapsed="false">
      <c r="A239" s="82"/>
    </row>
    <row r="240" customFormat="false" ht="15" hidden="false" customHeight="false" outlineLevel="0" collapsed="false">
      <c r="A240" s="82"/>
      <c r="B240" s="5" t="s">
        <v>503</v>
      </c>
      <c r="E240" s="69" t="s">
        <v>564</v>
      </c>
    </row>
    <row r="241" customFormat="false" ht="15" hidden="false" customHeight="false" outlineLevel="0" collapsed="false">
      <c r="A241" s="82"/>
    </row>
    <row r="242" customFormat="false" ht="15" hidden="false" customHeight="false" outlineLevel="0" collapsed="false">
      <c r="A242" s="42" t="s">
        <v>4</v>
      </c>
      <c r="B242" s="70" t="s">
        <v>5</v>
      </c>
      <c r="C242" s="8" t="s">
        <v>6</v>
      </c>
      <c r="D242" s="71" t="s">
        <v>7</v>
      </c>
      <c r="E242" s="10" t="s">
        <v>8</v>
      </c>
    </row>
    <row r="243" customFormat="false" ht="15" hidden="false" customHeight="false" outlineLevel="0" collapsed="false">
      <c r="A243" s="44" t="n">
        <v>1</v>
      </c>
      <c r="B243" s="114" t="s">
        <v>719</v>
      </c>
      <c r="C243" s="72" t="n">
        <v>416500</v>
      </c>
      <c r="D243" s="72" t="n">
        <v>216000</v>
      </c>
      <c r="E243" s="73" t="n">
        <f aca="false">C243-D243</f>
        <v>200500</v>
      </c>
    </row>
    <row r="244" customFormat="false" ht="15" hidden="false" customHeight="false" outlineLevel="0" collapsed="false">
      <c r="A244" s="44" t="n">
        <v>2</v>
      </c>
      <c r="B244" s="45" t="s">
        <v>720</v>
      </c>
      <c r="C244" s="72" t="n">
        <v>416500</v>
      </c>
      <c r="D244" s="72" t="n">
        <f aca="false">100000+116000+35000+120000+30500+15000</f>
        <v>416500</v>
      </c>
      <c r="E244" s="73" t="n">
        <f aca="false">C244-D244</f>
        <v>0</v>
      </c>
    </row>
    <row r="245" customFormat="false" ht="15" hidden="false" customHeight="false" outlineLevel="0" collapsed="false">
      <c r="A245" s="44" t="n">
        <v>3</v>
      </c>
      <c r="B245" s="45" t="s">
        <v>721</v>
      </c>
      <c r="C245" s="72" t="n">
        <v>416500</v>
      </c>
      <c r="D245" s="72" t="n">
        <f aca="false">216000+100000+100000+500</f>
        <v>416500</v>
      </c>
      <c r="E245" s="73" t="n">
        <f aca="false">C245-D245</f>
        <v>0</v>
      </c>
    </row>
    <row r="246" customFormat="false" ht="15" hidden="false" customHeight="false" outlineLevel="0" collapsed="false">
      <c r="A246" s="44" t="n">
        <v>4</v>
      </c>
      <c r="B246" s="45" t="s">
        <v>722</v>
      </c>
      <c r="C246" s="72" t="n">
        <v>416500</v>
      </c>
      <c r="D246" s="72" t="n">
        <f aca="false">220000+20000+45000+20000+100000+11500</f>
        <v>416500</v>
      </c>
      <c r="E246" s="73" t="n">
        <f aca="false">C246-D246</f>
        <v>0</v>
      </c>
    </row>
    <row r="247" customFormat="false" ht="15" hidden="false" customHeight="false" outlineLevel="0" collapsed="false">
      <c r="A247" s="44" t="n">
        <v>5</v>
      </c>
      <c r="B247" s="45" t="s">
        <v>723</v>
      </c>
      <c r="C247" s="72" t="n">
        <v>416500</v>
      </c>
      <c r="D247" s="72" t="n">
        <f aca="false">200000+150000+66500</f>
        <v>416500</v>
      </c>
      <c r="E247" s="73" t="n">
        <f aca="false">C247-D247</f>
        <v>0</v>
      </c>
    </row>
    <row r="248" customFormat="false" ht="15" hidden="false" customHeight="false" outlineLevel="0" collapsed="false">
      <c r="A248" s="44" t="n">
        <v>6</v>
      </c>
      <c r="B248" s="45" t="s">
        <v>724</v>
      </c>
      <c r="C248" s="72" t="n">
        <v>416500</v>
      </c>
      <c r="D248" s="72" t="n">
        <f aca="false">100000+150000+50000+116500</f>
        <v>416500</v>
      </c>
      <c r="E248" s="73" t="n">
        <f aca="false">C248-D248</f>
        <v>0</v>
      </c>
    </row>
    <row r="249" customFormat="false" ht="15" hidden="false" customHeight="false" outlineLevel="0" collapsed="false">
      <c r="A249" s="44" t="n">
        <v>7</v>
      </c>
      <c r="B249" s="45" t="s">
        <v>725</v>
      </c>
      <c r="C249" s="72" t="n">
        <v>416500</v>
      </c>
      <c r="D249" s="72" t="n">
        <f aca="false">150000+150000+116500</f>
        <v>416500</v>
      </c>
      <c r="E249" s="73" t="n">
        <f aca="false">C249-D249</f>
        <v>0</v>
      </c>
    </row>
    <row r="250" customFormat="false" ht="15" hidden="false" customHeight="false" outlineLevel="0" collapsed="false">
      <c r="A250" s="44" t="n">
        <v>8</v>
      </c>
      <c r="B250" s="45" t="s">
        <v>726</v>
      </c>
      <c r="C250" s="72" t="n">
        <v>416500</v>
      </c>
      <c r="D250" s="72" t="n">
        <f aca="false">140000+30000+60000+70000+116500</f>
        <v>416500</v>
      </c>
      <c r="E250" s="73" t="n">
        <f aca="false">C250-D250</f>
        <v>0</v>
      </c>
    </row>
    <row r="251" customFormat="false" ht="15" hidden="false" customHeight="false" outlineLevel="0" collapsed="false">
      <c r="A251" s="44" t="n">
        <v>9</v>
      </c>
      <c r="B251" s="45" t="s">
        <v>727</v>
      </c>
      <c r="C251" s="72" t="n">
        <v>416500</v>
      </c>
      <c r="D251" s="72" t="n">
        <f aca="false">216000+200000+500</f>
        <v>416500</v>
      </c>
      <c r="E251" s="73" t="n">
        <f aca="false">C251-D251</f>
        <v>0</v>
      </c>
    </row>
    <row r="252" customFormat="false" ht="15" hidden="false" customHeight="false" outlineLevel="0" collapsed="false">
      <c r="A252" s="44" t="n">
        <v>10</v>
      </c>
      <c r="B252" s="45" t="s">
        <v>728</v>
      </c>
      <c r="C252" s="72" t="n">
        <v>416500</v>
      </c>
      <c r="D252" s="72" t="n">
        <f aca="false">100000+40000+40000+60000+176500</f>
        <v>416500</v>
      </c>
      <c r="E252" s="73" t="n">
        <f aca="false">C252-D252</f>
        <v>0</v>
      </c>
    </row>
    <row r="253" customFormat="false" ht="15" hidden="false" customHeight="false" outlineLevel="0" collapsed="false">
      <c r="A253" s="44" t="n">
        <v>11</v>
      </c>
      <c r="B253" s="45" t="s">
        <v>729</v>
      </c>
      <c r="C253" s="72" t="n">
        <v>416500</v>
      </c>
      <c r="D253" s="72" t="n">
        <f aca="false">215000+201500</f>
        <v>416500</v>
      </c>
      <c r="E253" s="73" t="n">
        <f aca="false">C253-D253</f>
        <v>0</v>
      </c>
    </row>
    <row r="254" customFormat="false" ht="15" hidden="false" customHeight="false" outlineLevel="0" collapsed="false">
      <c r="A254" s="44" t="n">
        <v>12</v>
      </c>
      <c r="B254" s="45" t="s">
        <v>730</v>
      </c>
      <c r="C254" s="72" t="n">
        <v>416500</v>
      </c>
      <c r="D254" s="72" t="n">
        <f aca="false">216000+150000+50500</f>
        <v>416500</v>
      </c>
      <c r="E254" s="73" t="n">
        <f aca="false">C254-D254</f>
        <v>0</v>
      </c>
    </row>
    <row r="255" customFormat="false" ht="15" hidden="false" customHeight="false" outlineLevel="0" collapsed="false">
      <c r="A255" s="44" t="n">
        <v>13</v>
      </c>
      <c r="B255" s="88" t="s">
        <v>731</v>
      </c>
      <c r="C255" s="72" t="n">
        <v>416500</v>
      </c>
      <c r="D255" s="89" t="n">
        <f aca="false">100000+150000+166500</f>
        <v>416500</v>
      </c>
      <c r="E255" s="73" t="n">
        <f aca="false">C255-D255</f>
        <v>0</v>
      </c>
    </row>
    <row r="256" customFormat="false" ht="15" hidden="false" customHeight="false" outlineLevel="0" collapsed="false">
      <c r="A256" s="44" t="n">
        <v>14</v>
      </c>
      <c r="B256" s="88" t="s">
        <v>732</v>
      </c>
      <c r="C256" s="72" t="n">
        <v>416500</v>
      </c>
      <c r="D256" s="89" t="n">
        <f aca="false">216500+35000+166000</f>
        <v>417500</v>
      </c>
      <c r="E256" s="73" t="n">
        <f aca="false">C256-D256</f>
        <v>-1000</v>
      </c>
    </row>
    <row r="257" customFormat="false" ht="15" hidden="false" customHeight="false" outlineLevel="0" collapsed="false">
      <c r="A257" s="44" t="n">
        <v>15</v>
      </c>
      <c r="B257" s="88" t="s">
        <v>733</v>
      </c>
      <c r="C257" s="72" t="n">
        <v>416500</v>
      </c>
      <c r="D257" s="89" t="n">
        <f aca="false">216000+200500</f>
        <v>416500</v>
      </c>
      <c r="E257" s="73" t="n">
        <f aca="false">C257-D257</f>
        <v>0</v>
      </c>
    </row>
    <row r="258" customFormat="false" ht="15" hidden="false" customHeight="false" outlineLevel="0" collapsed="false">
      <c r="A258" s="44" t="n">
        <v>16</v>
      </c>
      <c r="B258" s="88" t="s">
        <v>734</v>
      </c>
      <c r="C258" s="72" t="n">
        <v>416500</v>
      </c>
      <c r="D258" s="89" t="n">
        <f aca="false">200000+216000+500</f>
        <v>416500</v>
      </c>
      <c r="E258" s="73" t="n">
        <f aca="false">C258-D258</f>
        <v>0</v>
      </c>
    </row>
    <row r="259" customFormat="false" ht="15" hidden="false" customHeight="false" outlineLevel="0" collapsed="false">
      <c r="A259" s="44" t="n">
        <v>17</v>
      </c>
      <c r="B259" s="88" t="s">
        <v>735</v>
      </c>
      <c r="C259" s="72" t="n">
        <v>416500</v>
      </c>
      <c r="D259" s="89" t="n">
        <f aca="false">150000+85000+50000+11000+120000</f>
        <v>416000</v>
      </c>
      <c r="E259" s="73" t="n">
        <f aca="false">C259-D259</f>
        <v>500</v>
      </c>
    </row>
    <row r="260" customFormat="false" ht="15" hidden="false" customHeight="false" outlineLevel="0" collapsed="false">
      <c r="A260" s="44" t="n">
        <v>18</v>
      </c>
      <c r="B260" s="88" t="s">
        <v>736</v>
      </c>
      <c r="C260" s="72" t="n">
        <v>416500</v>
      </c>
      <c r="D260" s="89" t="n">
        <f aca="false">216500+100000+100000</f>
        <v>416500</v>
      </c>
      <c r="E260" s="73" t="n">
        <f aca="false">C260-D260</f>
        <v>0</v>
      </c>
    </row>
    <row r="261" customFormat="false" ht="15" hidden="false" customHeight="false" outlineLevel="0" collapsed="false">
      <c r="A261" s="44" t="n">
        <v>19</v>
      </c>
      <c r="B261" s="88" t="s">
        <v>737</v>
      </c>
      <c r="C261" s="72" t="n">
        <v>416500</v>
      </c>
      <c r="D261" s="89" t="n">
        <f aca="false">150000+50000+216500</f>
        <v>416500</v>
      </c>
      <c r="E261" s="73" t="n">
        <f aca="false">C261-D261</f>
        <v>0</v>
      </c>
    </row>
    <row r="262" customFormat="false" ht="15" hidden="false" customHeight="false" outlineLevel="0" collapsed="false">
      <c r="A262" s="44" t="n">
        <v>20</v>
      </c>
      <c r="B262" s="88" t="s">
        <v>738</v>
      </c>
      <c r="C262" s="72" t="n">
        <v>416500</v>
      </c>
      <c r="D262" s="89" t="n">
        <f aca="false">100000+150000+100000+70000</f>
        <v>420000</v>
      </c>
      <c r="E262" s="73" t="n">
        <f aca="false">C262-D262</f>
        <v>-3500</v>
      </c>
    </row>
    <row r="263" customFormat="false" ht="15" hidden="false" customHeight="false" outlineLevel="0" collapsed="false">
      <c r="A263" s="44" t="n">
        <v>21</v>
      </c>
      <c r="B263" s="88" t="s">
        <v>739</v>
      </c>
      <c r="C263" s="72" t="n">
        <v>416500</v>
      </c>
      <c r="D263" s="89" t="n">
        <f aca="false">150000+50000+200000+16500</f>
        <v>416500</v>
      </c>
      <c r="E263" s="73" t="n">
        <f aca="false">C263-D263</f>
        <v>0</v>
      </c>
    </row>
    <row r="264" customFormat="false" ht="17.35" hidden="false" customHeight="false" outlineLevel="0" collapsed="false">
      <c r="A264" s="52"/>
      <c r="B264" s="53" t="s">
        <v>42</v>
      </c>
      <c r="C264" s="75" t="n">
        <f aca="false">SUM(C243:C263)</f>
        <v>8746500</v>
      </c>
      <c r="D264" s="76" t="n">
        <f aca="false">SUM(D243:D263)</f>
        <v>8550000</v>
      </c>
      <c r="E264" s="77" t="n">
        <f aca="false">SUM(E243:E263)</f>
        <v>196500</v>
      </c>
    </row>
    <row r="265" customFormat="false" ht="15" hidden="false" customHeight="false" outlineLevel="0" collapsed="false">
      <c r="A265" s="82"/>
    </row>
    <row r="266" customFormat="false" ht="15" hidden="false" customHeight="false" outlineLevel="0" collapsed="false">
      <c r="A266" s="82"/>
    </row>
    <row r="274" customFormat="false" ht="15" hidden="false" customHeight="false" outlineLevel="0" collapsed="false">
      <c r="B274" s="115" t="s">
        <v>740</v>
      </c>
      <c r="C274" s="116" t="s">
        <v>6</v>
      </c>
      <c r="D274" s="117" t="s">
        <v>7</v>
      </c>
      <c r="E274" s="118" t="s">
        <v>8</v>
      </c>
    </row>
    <row r="275" customFormat="false" ht="17.35" hidden="false" customHeight="false" outlineLevel="0" collapsed="false">
      <c r="B275" s="115"/>
      <c r="C275" s="119" t="n">
        <f aca="false">C42+C87+C119+C160+C185+C208+C232+C264+'INGENIEUR 2012-2013'!C49</f>
        <v>94138000</v>
      </c>
      <c r="D275" s="120" t="n">
        <f aca="false">D42+D87+D119+D160+D185+D208+D232+D264+'INGENIEUR 2012-2013'!D49</f>
        <v>85970987</v>
      </c>
      <c r="E275" s="121" t="n">
        <f aca="false">E42+E87+E119+E160+E185+E208+E232+E264+'INGENIEUR 2012-2013'!E49</f>
        <v>6917013</v>
      </c>
    </row>
    <row r="278" customFormat="false" ht="18.75" hidden="false" customHeight="false" outlineLevel="0" collapsed="false">
      <c r="B278" s="122"/>
      <c r="C278" s="123"/>
      <c r="D278" s="123"/>
      <c r="E278" s="123"/>
    </row>
    <row r="304" customFormat="false" ht="15" hidden="false" customHeight="false" outlineLevel="0" collapsed="false">
      <c r="A304" s="82"/>
      <c r="C304" s="83"/>
      <c r="D304" s="83"/>
      <c r="E304" s="84"/>
    </row>
    <row r="305" customFormat="false" ht="15" hidden="false" customHeight="false" outlineLevel="0" collapsed="false">
      <c r="A305" s="82"/>
    </row>
    <row r="306" customFormat="false" ht="15" hidden="false" customHeight="false" outlineLevel="0" collapsed="false">
      <c r="A306" s="82"/>
      <c r="C306" s="83"/>
      <c r="D306" s="83"/>
      <c r="E306" s="84"/>
    </row>
    <row r="307" customFormat="false" ht="21" hidden="false" customHeight="false" outlineLevel="0" collapsed="false">
      <c r="A307" s="82"/>
      <c r="B307" s="124"/>
      <c r="C307" s="125"/>
      <c r="D307" s="126"/>
      <c r="E307" s="127"/>
    </row>
    <row r="354" customFormat="false" ht="15" hidden="false" customHeight="false" outlineLevel="0" collapsed="false">
      <c r="A354" s="82"/>
      <c r="C354" s="83"/>
      <c r="D354" s="83"/>
      <c r="E354" s="84"/>
    </row>
    <row r="355" customFormat="false" ht="15" hidden="false" customHeight="false" outlineLevel="0" collapsed="false">
      <c r="A355" s="82"/>
      <c r="C355" s="83"/>
      <c r="D355" s="83"/>
      <c r="E355" s="84"/>
    </row>
    <row r="356" customFormat="false" ht="15" hidden="false" customHeight="false" outlineLevel="0" collapsed="false">
      <c r="A356" s="82"/>
      <c r="C356" s="83"/>
      <c r="D356" s="83"/>
      <c r="E356" s="84"/>
    </row>
    <row r="357" customFormat="false" ht="21" hidden="false" customHeight="false" outlineLevel="0" collapsed="false">
      <c r="A357" s="82"/>
      <c r="B357" s="124"/>
      <c r="C357" s="125"/>
      <c r="D357" s="126"/>
      <c r="E357" s="127"/>
    </row>
    <row r="409" customFormat="false" ht="15" hidden="false" customHeight="false" outlineLevel="0" collapsed="false">
      <c r="A409" s="82"/>
    </row>
    <row r="410" customFormat="false" ht="15" hidden="false" customHeight="false" outlineLevel="0" collapsed="false">
      <c r="A410" s="82"/>
    </row>
    <row r="411" customFormat="false" ht="15" hidden="false" customHeight="false" outlineLevel="0" collapsed="false">
      <c r="A411" s="82"/>
    </row>
    <row r="413" customFormat="false" ht="15" hidden="false" customHeight="false" outlineLevel="0" collapsed="false">
      <c r="A413" s="82"/>
    </row>
    <row r="414" customFormat="false" ht="19.5" hidden="false" customHeight="false" outlineLevel="0" collapsed="false">
      <c r="A414" s="90"/>
      <c r="B414" s="2"/>
    </row>
    <row r="415" customFormat="false" ht="15" hidden="false" customHeight="false" outlineLevel="0" collapsed="false">
      <c r="A415" s="82"/>
    </row>
    <row r="416" customFormat="false" ht="15" hidden="false" customHeight="false" outlineLevel="0" collapsed="false">
      <c r="A416" s="82"/>
    </row>
    <row r="417" customFormat="false" ht="15" hidden="false" customHeight="false" outlineLevel="0" collapsed="false">
      <c r="A417" s="82"/>
      <c r="B417" s="5"/>
      <c r="C417" s="128"/>
    </row>
    <row r="418" customFormat="false" ht="15" hidden="false" customHeight="false" outlineLevel="0" collapsed="false">
      <c r="A418" s="82"/>
    </row>
    <row r="419" customFormat="false" ht="15" hidden="false" customHeight="false" outlineLevel="0" collapsed="false">
      <c r="A419" s="129"/>
      <c r="B419" s="5"/>
      <c r="C419" s="130"/>
      <c r="D419" s="131"/>
      <c r="E419" s="132"/>
    </row>
    <row r="420" customFormat="false" ht="15" hidden="false" customHeight="false" outlineLevel="0" collapsed="false">
      <c r="A420" s="82"/>
      <c r="C420" s="83"/>
      <c r="D420" s="83"/>
      <c r="E420" s="84"/>
    </row>
    <row r="421" customFormat="false" ht="15" hidden="false" customHeight="false" outlineLevel="0" collapsed="false">
      <c r="A421" s="82"/>
      <c r="C421" s="83"/>
      <c r="D421" s="83"/>
      <c r="E421" s="84"/>
    </row>
    <row r="422" customFormat="false" ht="15" hidden="false" customHeight="false" outlineLevel="0" collapsed="false">
      <c r="A422" s="82"/>
      <c r="C422" s="83"/>
      <c r="D422" s="83"/>
      <c r="E422" s="84"/>
    </row>
    <row r="423" customFormat="false" ht="15" hidden="false" customHeight="false" outlineLevel="0" collapsed="false">
      <c r="A423" s="82"/>
      <c r="C423" s="83"/>
      <c r="D423" s="83"/>
      <c r="E423" s="84"/>
    </row>
    <row r="424" customFormat="false" ht="15" hidden="false" customHeight="false" outlineLevel="0" collapsed="false">
      <c r="A424" s="82"/>
      <c r="B424" s="85"/>
      <c r="C424" s="83"/>
      <c r="D424" s="83"/>
      <c r="E424" s="84"/>
    </row>
    <row r="425" customFormat="false" ht="15" hidden="false" customHeight="false" outlineLevel="0" collapsed="false">
      <c r="A425" s="82"/>
      <c r="B425" s="85"/>
      <c r="C425" s="83"/>
      <c r="D425" s="83"/>
      <c r="E425" s="84"/>
    </row>
    <row r="426" customFormat="false" ht="15" hidden="false" customHeight="false" outlineLevel="0" collapsed="false">
      <c r="A426" s="82"/>
      <c r="C426" s="83"/>
      <c r="D426" s="83"/>
      <c r="E426" s="84"/>
    </row>
    <row r="427" customFormat="false" ht="15" hidden="false" customHeight="false" outlineLevel="0" collapsed="false">
      <c r="A427" s="82"/>
      <c r="C427" s="83"/>
      <c r="D427" s="83"/>
      <c r="E427" s="84"/>
    </row>
    <row r="428" customFormat="false" ht="15" hidden="false" customHeight="false" outlineLevel="0" collapsed="false">
      <c r="A428" s="82"/>
      <c r="C428" s="83"/>
      <c r="D428" s="83"/>
      <c r="E428" s="84"/>
    </row>
    <row r="429" customFormat="false" ht="21" hidden="false" customHeight="false" outlineLevel="0" collapsed="false">
      <c r="A429" s="82"/>
      <c r="B429" s="124"/>
      <c r="C429" s="125"/>
      <c r="D429" s="126"/>
      <c r="E429" s="127"/>
    </row>
    <row r="430" customFormat="false" ht="15" hidden="false" customHeight="false" outlineLevel="0" collapsed="false">
      <c r="A430" s="82"/>
    </row>
    <row r="431" customFormat="false" ht="15" hidden="false" customHeight="false" outlineLevel="0" collapsed="false">
      <c r="A431" s="82"/>
    </row>
    <row r="432" customFormat="false" ht="15" hidden="false" customHeight="false" outlineLevel="0" collapsed="false">
      <c r="A432" s="82"/>
    </row>
    <row r="433" customFormat="false" ht="15" hidden="false" customHeight="false" outlineLevel="0" collapsed="false">
      <c r="A433" s="82"/>
    </row>
    <row r="434" customFormat="false" ht="15" hidden="false" customHeight="false" outlineLevel="0" collapsed="false">
      <c r="A434" s="82"/>
    </row>
    <row r="435" customFormat="false" ht="15" hidden="false" customHeight="false" outlineLevel="0" collapsed="false">
      <c r="A435" s="82"/>
    </row>
    <row r="436" customFormat="false" ht="15" hidden="false" customHeight="false" outlineLevel="0" collapsed="false">
      <c r="A436" s="82"/>
    </row>
    <row r="437" customFormat="false" ht="15" hidden="false" customHeight="false" outlineLevel="0" collapsed="false">
      <c r="A437" s="82"/>
    </row>
    <row r="438" customFormat="false" ht="15" hidden="false" customHeight="false" outlineLevel="0" collapsed="false">
      <c r="A438" s="82"/>
    </row>
    <row r="439" customFormat="false" ht="15" hidden="false" customHeight="false" outlineLevel="0" collapsed="false">
      <c r="A439" s="82"/>
    </row>
    <row r="440" customFormat="false" ht="15" hidden="false" customHeight="false" outlineLevel="0" collapsed="false">
      <c r="A440" s="82"/>
    </row>
  </sheetData>
  <mergeCells count="1">
    <mergeCell ref="B274:B275"/>
  </mergeCell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&amp;C&amp;"Aharoni,Normal"&amp;14ETAT FINANCIER DES ETUDIANTS ANNEE ACADEMIQUE 2012-2013</oddHeader>
    <oddFooter>&amp;L&amp;D&amp;C&amp;"Aharoni,Normal"&amp;12CENTRE AUTONOME DE PERFECTIONNEMENT (CAP/EPAC) 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116"/>
  <sheetViews>
    <sheetView showFormulas="false" showGridLines="true" showRowColHeaders="true" showZeros="true" rightToLeft="false" tabSelected="false" showOutlineSymbols="true" defaultGridColor="true" view="normal" topLeftCell="A213" colorId="64" zoomScale="100" zoomScaleNormal="100" zoomScalePageLayoutView="100" workbookViewId="0">
      <selection pane="topLeft" activeCell="F97" activeCellId="0" sqref="F97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7"/>
    <col collapsed="false" customWidth="true" hidden="false" outlineLevel="0" max="3" min="3" style="1" width="15.14"/>
    <col collapsed="false" customWidth="true" hidden="false" outlineLevel="0" max="4" min="4" style="1" width="14.14"/>
    <col collapsed="false" customWidth="true" hidden="false" outlineLevel="0" max="5" min="5" style="1" width="15.43"/>
    <col collapsed="false" customWidth="true" hidden="false" outlineLevel="0" max="16384" min="16374" style="0" width="11.53"/>
  </cols>
  <sheetData>
    <row r="4" customFormat="false" ht="15" hidden="false" customHeight="false" outlineLevel="0" collapsed="false">
      <c r="A4" s="82"/>
    </row>
    <row r="5" customFormat="false" ht="17.35" hidden="false" customHeight="false" outlineLevel="0" collapsed="false">
      <c r="A5" s="2"/>
      <c r="B5" s="2" t="s">
        <v>741</v>
      </c>
    </row>
    <row r="9" customFormat="false" ht="17.25" hidden="false" customHeight="false" outlineLevel="0" collapsed="false">
      <c r="B9" s="3" t="s">
        <v>742</v>
      </c>
      <c r="E9" s="69"/>
    </row>
    <row r="10" customFormat="false" ht="15" hidden="false" customHeight="false" outlineLevel="0" collapsed="false">
      <c r="B10" s="5"/>
    </row>
    <row r="12" customFormat="false" ht="15" hidden="false" customHeight="false" outlineLevel="0" collapsed="false">
      <c r="A12" s="42" t="s">
        <v>4</v>
      </c>
      <c r="B12" s="70" t="s">
        <v>5</v>
      </c>
      <c r="C12" s="8" t="s">
        <v>6</v>
      </c>
      <c r="D12" s="71" t="s">
        <v>7</v>
      </c>
      <c r="E12" s="10" t="s">
        <v>8</v>
      </c>
    </row>
    <row r="13" customFormat="false" ht="15" hidden="false" customHeight="false" outlineLevel="0" collapsed="false">
      <c r="A13" s="44" t="n">
        <v>1</v>
      </c>
      <c r="B13" s="133" t="s">
        <v>743</v>
      </c>
      <c r="C13" s="72" t="n">
        <v>625000</v>
      </c>
      <c r="D13" s="72" t="n">
        <f aca="false">100000+40000+160000+100000+150000+75000</f>
        <v>625000</v>
      </c>
      <c r="E13" s="73" t="n">
        <f aca="false">C13-D13</f>
        <v>0</v>
      </c>
    </row>
    <row r="14" customFormat="false" ht="15" hidden="false" customHeight="false" outlineLevel="0" collapsed="false">
      <c r="A14" s="44" t="n">
        <v>2</v>
      </c>
      <c r="B14" s="133" t="s">
        <v>744</v>
      </c>
      <c r="C14" s="72" t="n">
        <v>625000</v>
      </c>
      <c r="D14" s="72" t="n">
        <f aca="false">440000+117000+40000+30000</f>
        <v>627000</v>
      </c>
      <c r="E14" s="73" t="n">
        <f aca="false">C14-D14</f>
        <v>-2000</v>
      </c>
    </row>
    <row r="15" customFormat="false" ht="15" hidden="false" customHeight="false" outlineLevel="0" collapsed="false">
      <c r="A15" s="44" t="n">
        <v>3</v>
      </c>
      <c r="B15" s="133" t="s">
        <v>745</v>
      </c>
      <c r="C15" s="73" t="n">
        <v>625000</v>
      </c>
      <c r="D15" s="72" t="n">
        <f aca="false">440000+185000</f>
        <v>625000</v>
      </c>
      <c r="E15" s="73" t="n">
        <f aca="false">C15-D15</f>
        <v>0</v>
      </c>
    </row>
    <row r="16" customFormat="false" ht="15" hidden="false" customHeight="false" outlineLevel="0" collapsed="false">
      <c r="A16" s="44" t="n">
        <v>4</v>
      </c>
      <c r="B16" s="133" t="s">
        <v>746</v>
      </c>
      <c r="C16" s="73" t="n">
        <v>625000</v>
      </c>
      <c r="D16" s="72" t="n">
        <f aca="false">438000+87000+100000</f>
        <v>625000</v>
      </c>
      <c r="E16" s="73" t="n">
        <f aca="false">C16-D16</f>
        <v>0</v>
      </c>
    </row>
    <row r="17" customFormat="false" ht="15" hidden="false" customHeight="false" outlineLevel="0" collapsed="false">
      <c r="A17" s="44" t="n">
        <v>5</v>
      </c>
      <c r="B17" s="133" t="s">
        <v>747</v>
      </c>
      <c r="C17" s="73" t="n">
        <v>625000</v>
      </c>
      <c r="D17" s="72" t="n">
        <f aca="false">420000+205000</f>
        <v>625000</v>
      </c>
      <c r="E17" s="73" t="n">
        <f aca="false">C17-D17</f>
        <v>0</v>
      </c>
    </row>
    <row r="18" customFormat="false" ht="15" hidden="false" customHeight="false" outlineLevel="0" collapsed="false">
      <c r="A18" s="44" t="n">
        <v>6</v>
      </c>
      <c r="B18" s="133" t="s">
        <v>748</v>
      </c>
      <c r="C18" s="73" t="n">
        <v>625000</v>
      </c>
      <c r="D18" s="72" t="n">
        <f aca="false">380000</f>
        <v>380000</v>
      </c>
      <c r="E18" s="73" t="n">
        <f aca="false">C18-D18</f>
        <v>245000</v>
      </c>
    </row>
    <row r="19" customFormat="false" ht="15" hidden="false" customHeight="false" outlineLevel="0" collapsed="false">
      <c r="A19" s="44" t="n">
        <v>7</v>
      </c>
      <c r="B19" s="133" t="s">
        <v>749</v>
      </c>
      <c r="C19" s="73" t="n">
        <v>625000</v>
      </c>
      <c r="D19" s="72" t="n">
        <f aca="false">300000+325000</f>
        <v>625000</v>
      </c>
      <c r="E19" s="73" t="n">
        <f aca="false">C19-D19</f>
        <v>0</v>
      </c>
    </row>
    <row r="20" customFormat="false" ht="15" hidden="false" customHeight="false" outlineLevel="0" collapsed="false">
      <c r="A20" s="44" t="n">
        <v>8</v>
      </c>
      <c r="B20" s="133" t="s">
        <v>750</v>
      </c>
      <c r="C20" s="73" t="n">
        <v>625000</v>
      </c>
      <c r="D20" s="72" t="n">
        <f aca="false">400000+225000</f>
        <v>625000</v>
      </c>
      <c r="E20" s="73" t="n">
        <f aca="false">C20-D20</f>
        <v>0</v>
      </c>
    </row>
    <row r="21" customFormat="false" ht="15" hidden="false" customHeight="false" outlineLevel="0" collapsed="false">
      <c r="A21" s="44" t="n">
        <v>9</v>
      </c>
      <c r="B21" s="133" t="s">
        <v>751</v>
      </c>
      <c r="C21" s="73" t="n">
        <v>625000</v>
      </c>
      <c r="D21" s="72" t="n">
        <f aca="false">225000+350000+50000</f>
        <v>625000</v>
      </c>
      <c r="E21" s="73" t="n">
        <f aca="false">C21-D21</f>
        <v>0</v>
      </c>
    </row>
    <row r="22" customFormat="false" ht="15" hidden="false" customHeight="false" outlineLevel="0" collapsed="false">
      <c r="A22" s="44" t="n">
        <v>10</v>
      </c>
      <c r="B22" s="133" t="s">
        <v>752</v>
      </c>
      <c r="C22" s="73" t="n">
        <v>625000</v>
      </c>
      <c r="D22" s="72" t="n">
        <f aca="false">440000+185000</f>
        <v>625000</v>
      </c>
      <c r="E22" s="73" t="n">
        <f aca="false">C22-D22</f>
        <v>0</v>
      </c>
    </row>
    <row r="23" customFormat="false" ht="15" hidden="false" customHeight="false" outlineLevel="0" collapsed="false">
      <c r="A23" s="44" t="n">
        <v>11</v>
      </c>
      <c r="B23" s="133" t="s">
        <v>753</v>
      </c>
      <c r="C23" s="73" t="n">
        <v>625000</v>
      </c>
      <c r="D23" s="72" t="n">
        <f aca="false">200000+100000+100000+225000</f>
        <v>625000</v>
      </c>
      <c r="E23" s="73" t="n">
        <f aca="false">C23-D23</f>
        <v>0</v>
      </c>
    </row>
    <row r="24" customFormat="false" ht="15" hidden="false" customHeight="false" outlineLevel="0" collapsed="false">
      <c r="A24" s="44" t="n">
        <v>12</v>
      </c>
      <c r="B24" s="133" t="s">
        <v>754</v>
      </c>
      <c r="C24" s="73" t="n">
        <v>625000</v>
      </c>
      <c r="D24" s="72" t="n">
        <f aca="false">250000+50000+50000+75000+150000+50000</f>
        <v>625000</v>
      </c>
      <c r="E24" s="73" t="n">
        <f aca="false">C24-D24</f>
        <v>0</v>
      </c>
    </row>
    <row r="25" customFormat="false" ht="15" hidden="false" customHeight="false" outlineLevel="0" collapsed="false">
      <c r="A25" s="44" t="n">
        <v>13</v>
      </c>
      <c r="B25" s="133" t="s">
        <v>755</v>
      </c>
      <c r="C25" s="73" t="n">
        <v>625000</v>
      </c>
      <c r="D25" s="72" t="n">
        <f aca="false">200000+240000+185000</f>
        <v>625000</v>
      </c>
      <c r="E25" s="73" t="n">
        <f aca="false">C25-D25</f>
        <v>0</v>
      </c>
    </row>
    <row r="26" customFormat="false" ht="15" hidden="false" customHeight="false" outlineLevel="0" collapsed="false">
      <c r="A26" s="44" t="n">
        <v>14</v>
      </c>
      <c r="B26" s="133" t="s">
        <v>756</v>
      </c>
      <c r="C26" s="73" t="n">
        <v>625000</v>
      </c>
      <c r="D26" s="72" t="n">
        <f aca="false">400000+225000</f>
        <v>625000</v>
      </c>
      <c r="E26" s="73" t="n">
        <f aca="false">C26-D26</f>
        <v>0</v>
      </c>
    </row>
    <row r="27" customFormat="false" ht="15" hidden="false" customHeight="false" outlineLevel="0" collapsed="false">
      <c r="A27" s="44" t="n">
        <v>15</v>
      </c>
      <c r="B27" s="133" t="s">
        <v>757</v>
      </c>
      <c r="C27" s="73" t="n">
        <v>625000</v>
      </c>
      <c r="D27" s="72" t="n">
        <f aca="false">200000+200000+225000</f>
        <v>625000</v>
      </c>
      <c r="E27" s="73" t="n">
        <f aca="false">C27-D27</f>
        <v>0</v>
      </c>
    </row>
    <row r="28" customFormat="false" ht="15" hidden="false" customHeight="false" outlineLevel="0" collapsed="false">
      <c r="A28" s="44" t="n">
        <v>16</v>
      </c>
      <c r="B28" s="133" t="s">
        <v>758</v>
      </c>
      <c r="C28" s="73" t="n">
        <v>625000</v>
      </c>
      <c r="D28" s="72" t="n">
        <f aca="false">450000+175000</f>
        <v>625000</v>
      </c>
      <c r="E28" s="73" t="n">
        <f aca="false">C28-D28</f>
        <v>0</v>
      </c>
    </row>
    <row r="29" customFormat="false" ht="15" hidden="false" customHeight="false" outlineLevel="0" collapsed="false">
      <c r="A29" s="44" t="n">
        <v>17</v>
      </c>
      <c r="B29" s="23" t="s">
        <v>759</v>
      </c>
      <c r="C29" s="73" t="n">
        <v>625000</v>
      </c>
      <c r="D29" s="72" t="n">
        <v>625000</v>
      </c>
      <c r="E29" s="73" t="n">
        <f aca="false">C29-D29</f>
        <v>0</v>
      </c>
    </row>
    <row r="30" customFormat="false" ht="15" hidden="false" customHeight="false" outlineLevel="0" collapsed="false">
      <c r="A30" s="44" t="n">
        <v>18</v>
      </c>
      <c r="B30" s="133" t="s">
        <v>760</v>
      </c>
      <c r="C30" s="73" t="n">
        <v>625000</v>
      </c>
      <c r="D30" s="72" t="n">
        <f aca="false">450000+75000+50000+50000</f>
        <v>625000</v>
      </c>
      <c r="E30" s="73" t="n">
        <f aca="false">C30-D30</f>
        <v>0</v>
      </c>
    </row>
    <row r="31" customFormat="false" ht="15" hidden="false" customHeight="false" outlineLevel="0" collapsed="false">
      <c r="A31" s="44" t="n">
        <v>19</v>
      </c>
      <c r="B31" s="133" t="s">
        <v>761</v>
      </c>
      <c r="C31" s="73" t="n">
        <v>625000</v>
      </c>
      <c r="D31" s="72" t="n">
        <f aca="false">440000+185000</f>
        <v>625000</v>
      </c>
      <c r="E31" s="73" t="n">
        <f aca="false">C31-D31</f>
        <v>0</v>
      </c>
    </row>
    <row r="32" customFormat="false" ht="15" hidden="false" customHeight="false" outlineLevel="0" collapsed="false">
      <c r="A32" s="44" t="n">
        <v>20</v>
      </c>
      <c r="B32" s="133" t="s">
        <v>762</v>
      </c>
      <c r="C32" s="73" t="n">
        <v>625000</v>
      </c>
      <c r="D32" s="72" t="n">
        <f aca="false">100000+100000+100000+70000+50000+50000+70000+20000+45000+20000</f>
        <v>625000</v>
      </c>
      <c r="E32" s="73" t="n">
        <f aca="false">C32-D32</f>
        <v>0</v>
      </c>
    </row>
    <row r="33" customFormat="false" ht="15" hidden="false" customHeight="false" outlineLevel="0" collapsed="false">
      <c r="A33" s="44" t="n">
        <v>21</v>
      </c>
      <c r="B33" s="133" t="s">
        <v>763</v>
      </c>
      <c r="C33" s="73" t="n">
        <v>625000</v>
      </c>
      <c r="D33" s="72" t="n">
        <f aca="false">400000</f>
        <v>400000</v>
      </c>
      <c r="E33" s="73" t="n">
        <f aca="false">C33-D33</f>
        <v>225000</v>
      </c>
    </row>
    <row r="34" customFormat="false" ht="15" hidden="false" customHeight="false" outlineLevel="0" collapsed="false">
      <c r="A34" s="44" t="n">
        <v>22</v>
      </c>
      <c r="B34" s="134" t="s">
        <v>764</v>
      </c>
      <c r="C34" s="73" t="n">
        <v>625000</v>
      </c>
      <c r="D34" s="89" t="n">
        <f aca="false">450000+175000</f>
        <v>625000</v>
      </c>
      <c r="E34" s="73" t="n">
        <f aca="false">C34-D34</f>
        <v>0</v>
      </c>
    </row>
    <row r="35" customFormat="false" ht="15" hidden="false" customHeight="false" outlineLevel="0" collapsed="false">
      <c r="A35" s="44" t="n">
        <v>23</v>
      </c>
      <c r="B35" s="134" t="s">
        <v>765</v>
      </c>
      <c r="C35" s="73" t="n">
        <v>625000</v>
      </c>
      <c r="D35" s="89" t="n">
        <f aca="false">150000+50000+50000+30000+60000+30000+20000+80000+55000+100000</f>
        <v>625000</v>
      </c>
      <c r="E35" s="73" t="n">
        <f aca="false">C35-D35</f>
        <v>0</v>
      </c>
    </row>
    <row r="36" customFormat="false" ht="15" hidden="false" customHeight="false" outlineLevel="0" collapsed="false">
      <c r="A36" s="44" t="n">
        <v>24</v>
      </c>
      <c r="B36" s="134" t="s">
        <v>766</v>
      </c>
      <c r="C36" s="73" t="n">
        <v>625000</v>
      </c>
      <c r="D36" s="89" t="n">
        <f aca="false">100000+25000+500000</f>
        <v>625000</v>
      </c>
      <c r="E36" s="73" t="n">
        <f aca="false">C36-D36</f>
        <v>0</v>
      </c>
    </row>
    <row r="37" customFormat="false" ht="15" hidden="false" customHeight="false" outlineLevel="0" collapsed="false">
      <c r="A37" s="44" t="n">
        <v>25</v>
      </c>
      <c r="B37" s="134" t="s">
        <v>767</v>
      </c>
      <c r="C37" s="73" t="n">
        <v>625000</v>
      </c>
      <c r="D37" s="89" t="n">
        <f aca="false">300000+125000+50000+150000</f>
        <v>625000</v>
      </c>
      <c r="E37" s="73" t="n">
        <f aca="false">C37-D37</f>
        <v>0</v>
      </c>
    </row>
    <row r="38" customFormat="false" ht="15" hidden="false" customHeight="false" outlineLevel="0" collapsed="false">
      <c r="A38" s="44" t="n">
        <v>26</v>
      </c>
      <c r="B38" s="134" t="s">
        <v>768</v>
      </c>
      <c r="C38" s="73" t="n">
        <v>625000</v>
      </c>
      <c r="D38" s="89" t="n">
        <f aca="false">440000+185000</f>
        <v>625000</v>
      </c>
      <c r="E38" s="73" t="n">
        <f aca="false">C38-D38</f>
        <v>0</v>
      </c>
    </row>
    <row r="39" customFormat="false" ht="15" hidden="false" customHeight="false" outlineLevel="0" collapsed="false">
      <c r="A39" s="44" t="n">
        <v>27</v>
      </c>
      <c r="B39" s="134" t="s">
        <v>769</v>
      </c>
      <c r="C39" s="73" t="n">
        <v>625000</v>
      </c>
      <c r="D39" s="89" t="n">
        <f aca="false">440000+100000+35000+50000</f>
        <v>625000</v>
      </c>
      <c r="E39" s="73" t="n">
        <f aca="false">C39-D39</f>
        <v>0</v>
      </c>
    </row>
    <row r="40" customFormat="false" ht="15" hidden="false" customHeight="false" outlineLevel="0" collapsed="false">
      <c r="A40" s="44" t="n">
        <v>28</v>
      </c>
      <c r="B40" s="134" t="s">
        <v>770</v>
      </c>
      <c r="C40" s="73" t="n">
        <v>625000</v>
      </c>
      <c r="D40" s="89" t="n">
        <f aca="false">300000+100000+130000+70000+25000</f>
        <v>625000</v>
      </c>
      <c r="E40" s="73" t="n">
        <f aca="false">C40-D40</f>
        <v>0</v>
      </c>
    </row>
    <row r="41" customFormat="false" ht="15" hidden="false" customHeight="false" outlineLevel="0" collapsed="false">
      <c r="A41" s="44" t="n">
        <v>29</v>
      </c>
      <c r="B41" s="134" t="s">
        <v>771</v>
      </c>
      <c r="C41" s="73" t="n">
        <v>625000</v>
      </c>
      <c r="D41" s="89" t="n">
        <f aca="false">430000</f>
        <v>430000</v>
      </c>
      <c r="E41" s="73" t="n">
        <f aca="false">C41-D41</f>
        <v>195000</v>
      </c>
    </row>
    <row r="42" customFormat="false" ht="15" hidden="false" customHeight="false" outlineLevel="0" collapsed="false">
      <c r="A42" s="44" t="n">
        <v>30</v>
      </c>
      <c r="B42" s="134" t="s">
        <v>772</v>
      </c>
      <c r="C42" s="73" t="n">
        <v>625000</v>
      </c>
      <c r="D42" s="89" t="n">
        <f aca="false">437500+187500</f>
        <v>625000</v>
      </c>
      <c r="E42" s="73" t="n">
        <f aca="false">C42-D42</f>
        <v>0</v>
      </c>
    </row>
    <row r="43" customFormat="false" ht="15" hidden="false" customHeight="false" outlineLevel="0" collapsed="false">
      <c r="A43" s="44" t="n">
        <v>31</v>
      </c>
      <c r="B43" s="134" t="s">
        <v>773</v>
      </c>
      <c r="C43" s="73" t="n">
        <v>625000</v>
      </c>
      <c r="D43" s="89" t="n">
        <f aca="false">125000+50000+100000+50000+100000+100000+100000</f>
        <v>625000</v>
      </c>
      <c r="E43" s="73" t="n">
        <f aca="false">C43-D43</f>
        <v>0</v>
      </c>
    </row>
    <row r="44" customFormat="false" ht="15" hidden="false" customHeight="false" outlineLevel="0" collapsed="false">
      <c r="A44" s="44" t="n">
        <v>32</v>
      </c>
      <c r="B44" s="134" t="s">
        <v>774</v>
      </c>
      <c r="C44" s="73" t="n">
        <v>625000</v>
      </c>
      <c r="D44" s="89" t="n">
        <f aca="false">25000+150000+300000+100000+50000</f>
        <v>625000</v>
      </c>
      <c r="E44" s="73" t="n">
        <f aca="false">C44-D44</f>
        <v>0</v>
      </c>
    </row>
    <row r="45" customFormat="false" ht="15" hidden="false" customHeight="false" outlineLevel="0" collapsed="false">
      <c r="A45" s="44" t="n">
        <v>33</v>
      </c>
      <c r="B45" s="134" t="s">
        <v>775</v>
      </c>
      <c r="C45" s="73" t="n">
        <v>625000</v>
      </c>
      <c r="D45" s="89" t="n">
        <f aca="false">190000</f>
        <v>190000</v>
      </c>
      <c r="E45" s="73" t="n">
        <f aca="false">C45-D45</f>
        <v>435000</v>
      </c>
    </row>
    <row r="46" customFormat="false" ht="15" hidden="false" customHeight="false" outlineLevel="0" collapsed="false">
      <c r="A46" s="44" t="n">
        <v>34</v>
      </c>
      <c r="B46" s="134" t="s">
        <v>776</v>
      </c>
      <c r="C46" s="73" t="n">
        <v>625000</v>
      </c>
      <c r="D46" s="89" t="n">
        <f aca="false">440000+100000+85000</f>
        <v>625000</v>
      </c>
      <c r="E46" s="73" t="n">
        <f aca="false">C46-D46</f>
        <v>0</v>
      </c>
    </row>
    <row r="47" customFormat="false" ht="15" hidden="false" customHeight="false" outlineLevel="0" collapsed="false">
      <c r="A47" s="44" t="n">
        <v>35</v>
      </c>
      <c r="B47" s="134" t="s">
        <v>777</v>
      </c>
      <c r="C47" s="73" t="n">
        <v>625000</v>
      </c>
      <c r="D47" s="89" t="n">
        <f aca="false">300000</f>
        <v>300000</v>
      </c>
      <c r="E47" s="73" t="n">
        <f aca="false">C47-D47</f>
        <v>325000</v>
      </c>
    </row>
    <row r="48" customFormat="false" ht="15" hidden="false" customHeight="false" outlineLevel="0" collapsed="false">
      <c r="A48" s="44" t="n">
        <v>36</v>
      </c>
      <c r="B48" s="134" t="s">
        <v>778</v>
      </c>
      <c r="C48" s="72" t="n">
        <v>625000</v>
      </c>
      <c r="D48" s="89" t="n">
        <f aca="false">350000+275000</f>
        <v>625000</v>
      </c>
      <c r="E48" s="73" t="n">
        <f aca="false">C48-D48</f>
        <v>0</v>
      </c>
    </row>
    <row r="49" customFormat="false" ht="17.35" hidden="false" customHeight="false" outlineLevel="0" collapsed="false">
      <c r="A49" s="44"/>
      <c r="B49" s="53" t="s">
        <v>42</v>
      </c>
      <c r="C49" s="75" t="n">
        <f aca="false">SUM(C13:C48)</f>
        <v>22500000</v>
      </c>
      <c r="D49" s="76" t="n">
        <f aca="false">SUM(D13:D48)</f>
        <v>21077000</v>
      </c>
      <c r="E49" s="77" t="n">
        <f aca="false">SUM(E13:E48)</f>
        <v>1423000</v>
      </c>
    </row>
    <row r="50" customFormat="false" ht="15" hidden="false" customHeight="false" outlineLevel="0" collapsed="false">
      <c r="A50" s="78"/>
      <c r="B50" s="79"/>
      <c r="C50" s="80"/>
      <c r="D50" s="80"/>
      <c r="E50" s="81"/>
    </row>
    <row r="51" customFormat="false" ht="19.7" hidden="false" customHeight="false" outlineLevel="0" collapsed="false">
      <c r="A51" s="82"/>
      <c r="B51" s="124"/>
      <c r="C51" s="135"/>
      <c r="D51" s="126"/>
      <c r="E51" s="127"/>
    </row>
    <row r="52" customFormat="false" ht="15" hidden="false" customHeight="false" outlineLevel="0" collapsed="false">
      <c r="A52" s="82"/>
      <c r="C52" s="83"/>
      <c r="D52" s="83"/>
      <c r="E52" s="84"/>
    </row>
    <row r="53" customFormat="false" ht="15" hidden="false" customHeight="false" outlineLevel="0" collapsed="false">
      <c r="A53" s="82"/>
      <c r="C53" s="83"/>
      <c r="D53" s="83"/>
      <c r="E53" s="84"/>
    </row>
    <row r="54" customFormat="false" ht="15" hidden="false" customHeight="false" outlineLevel="0" collapsed="false">
      <c r="A54" s="82"/>
      <c r="C54" s="83"/>
      <c r="D54" s="83"/>
      <c r="E54" s="84"/>
    </row>
    <row r="55" customFormat="false" ht="19.7" hidden="false" customHeight="false" outlineLevel="0" collapsed="false">
      <c r="A55" s="82"/>
      <c r="B55" s="124"/>
      <c r="C55" s="135"/>
      <c r="D55" s="126"/>
      <c r="E55" s="127"/>
    </row>
    <row r="60" customFormat="false" ht="17.35" hidden="false" customHeight="false" outlineLevel="0" collapsed="false">
      <c r="B60" s="2" t="s">
        <v>779</v>
      </c>
    </row>
    <row r="62" customFormat="false" ht="15" hidden="false" customHeight="false" outlineLevel="0" collapsed="false">
      <c r="B62" s="136" t="s">
        <v>564</v>
      </c>
    </row>
    <row r="63" customFormat="false" ht="15" hidden="false" customHeight="false" outlineLevel="0" collapsed="false">
      <c r="B63" s="5" t="s">
        <v>286</v>
      </c>
    </row>
    <row r="65" customFormat="false" ht="15" hidden="false" customHeight="false" outlineLevel="0" collapsed="false">
      <c r="A65" s="6" t="s">
        <v>4</v>
      </c>
      <c r="B65" s="137" t="s">
        <v>5</v>
      </c>
      <c r="C65" s="8" t="s">
        <v>6</v>
      </c>
      <c r="D65" s="9" t="s">
        <v>7</v>
      </c>
      <c r="E65" s="10" t="s">
        <v>8</v>
      </c>
    </row>
    <row r="66" customFormat="false" ht="15" hidden="false" customHeight="false" outlineLevel="0" collapsed="false">
      <c r="A66" s="11" t="n">
        <v>1</v>
      </c>
      <c r="B66" s="23" t="s">
        <v>780</v>
      </c>
      <c r="C66" s="13" t="n">
        <v>750000</v>
      </c>
      <c r="D66" s="13" t="n">
        <f aca="false">250000+200000+300000</f>
        <v>750000</v>
      </c>
      <c r="E66" s="14" t="n">
        <f aca="false">C66-D66</f>
        <v>0</v>
      </c>
    </row>
    <row r="67" customFormat="false" ht="15" hidden="false" customHeight="false" outlineLevel="0" collapsed="false">
      <c r="A67" s="11" t="n">
        <v>2</v>
      </c>
      <c r="B67" s="23" t="s">
        <v>781</v>
      </c>
      <c r="C67" s="13" t="n">
        <v>750000</v>
      </c>
      <c r="D67" s="13" t="n">
        <f aca="false">250000+250000+250000</f>
        <v>750000</v>
      </c>
      <c r="E67" s="14" t="n">
        <f aca="false">C67-D67</f>
        <v>0</v>
      </c>
    </row>
    <row r="68" customFormat="false" ht="15" hidden="false" customHeight="false" outlineLevel="0" collapsed="false">
      <c r="A68" s="11" t="n">
        <v>3</v>
      </c>
      <c r="B68" s="23" t="s">
        <v>782</v>
      </c>
      <c r="C68" s="13" t="n">
        <v>750000</v>
      </c>
      <c r="D68" s="13" t="n">
        <f aca="false">250000+300000+200000</f>
        <v>750000</v>
      </c>
      <c r="E68" s="14" t="n">
        <f aca="false">C68-D68</f>
        <v>0</v>
      </c>
    </row>
    <row r="69" customFormat="false" ht="15" hidden="false" customHeight="false" outlineLevel="0" collapsed="false">
      <c r="A69" s="11" t="n">
        <v>4</v>
      </c>
      <c r="B69" s="23" t="s">
        <v>783</v>
      </c>
      <c r="C69" s="13" t="n">
        <v>750000</v>
      </c>
      <c r="D69" s="13" t="n">
        <f aca="false">250000+500000</f>
        <v>750000</v>
      </c>
      <c r="E69" s="14" t="n">
        <f aca="false">C69-D69</f>
        <v>0</v>
      </c>
    </row>
    <row r="70" customFormat="false" ht="15" hidden="false" customHeight="false" outlineLevel="0" collapsed="false">
      <c r="A70" s="11" t="n">
        <v>5</v>
      </c>
      <c r="B70" s="23" t="s">
        <v>784</v>
      </c>
      <c r="C70" s="13" t="n">
        <v>750000</v>
      </c>
      <c r="D70" s="13" t="n">
        <f aca="false">250000+220000+200000+80000</f>
        <v>750000</v>
      </c>
      <c r="E70" s="14" t="n">
        <f aca="false">C70-D70</f>
        <v>0</v>
      </c>
    </row>
    <row r="71" customFormat="false" ht="15" hidden="false" customHeight="false" outlineLevel="0" collapsed="false">
      <c r="A71" s="11" t="n">
        <v>6</v>
      </c>
      <c r="B71" s="23" t="s">
        <v>785</v>
      </c>
      <c r="C71" s="13" t="n">
        <v>750000</v>
      </c>
      <c r="D71" s="13" t="n">
        <f aca="false">250000+45000+60000+70000+285000+40000</f>
        <v>750000</v>
      </c>
      <c r="E71" s="14" t="n">
        <f aca="false">C71-D71</f>
        <v>0</v>
      </c>
    </row>
    <row r="72" customFormat="false" ht="15" hidden="false" customHeight="false" outlineLevel="0" collapsed="false">
      <c r="A72" s="11" t="n">
        <v>7</v>
      </c>
      <c r="B72" s="23" t="s">
        <v>786</v>
      </c>
      <c r="C72" s="13" t="n">
        <v>750000</v>
      </c>
      <c r="D72" s="13" t="n">
        <f aca="false">250000+5000+245000+250000</f>
        <v>750000</v>
      </c>
      <c r="E72" s="14" t="n">
        <f aca="false">C72-D72</f>
        <v>0</v>
      </c>
    </row>
    <row r="73" customFormat="false" ht="15" hidden="false" customHeight="false" outlineLevel="0" collapsed="false">
      <c r="A73" s="11" t="n">
        <v>8</v>
      </c>
      <c r="B73" s="23" t="s">
        <v>787</v>
      </c>
      <c r="C73" s="13" t="n">
        <v>750000</v>
      </c>
      <c r="D73" s="13" t="n">
        <f aca="false">250000+500000</f>
        <v>750000</v>
      </c>
      <c r="E73" s="14" t="n">
        <f aca="false">C73-D73</f>
        <v>0</v>
      </c>
    </row>
    <row r="74" customFormat="false" ht="15" hidden="false" customHeight="false" outlineLevel="0" collapsed="false">
      <c r="A74" s="11" t="n">
        <v>9</v>
      </c>
      <c r="B74" s="23" t="s">
        <v>788</v>
      </c>
      <c r="C74" s="13" t="n">
        <v>750000</v>
      </c>
      <c r="D74" s="13" t="n">
        <f aca="false">250000+250000+250000</f>
        <v>750000</v>
      </c>
      <c r="E74" s="14" t="n">
        <f aca="false">C74-D74</f>
        <v>0</v>
      </c>
    </row>
    <row r="75" customFormat="false" ht="15" hidden="false" customHeight="false" outlineLevel="0" collapsed="false">
      <c r="A75" s="11" t="n">
        <v>10</v>
      </c>
      <c r="B75" s="23" t="s">
        <v>789</v>
      </c>
      <c r="C75" s="13" t="n">
        <v>750000</v>
      </c>
      <c r="D75" s="13" t="n">
        <f aca="false">250000+220000+240000+40000</f>
        <v>750000</v>
      </c>
      <c r="E75" s="14" t="n">
        <f aca="false">C75-D75</f>
        <v>0</v>
      </c>
    </row>
    <row r="76" customFormat="false" ht="15" hidden="false" customHeight="false" outlineLevel="0" collapsed="false">
      <c r="A76" s="11" t="n">
        <v>11</v>
      </c>
      <c r="B76" s="23" t="s">
        <v>790</v>
      </c>
      <c r="C76" s="13" t="n">
        <v>750000</v>
      </c>
      <c r="D76" s="13" t="n">
        <f aca="false">250000+250000+200000+50000</f>
        <v>750000</v>
      </c>
      <c r="E76" s="14" t="n">
        <f aca="false">C76-D76</f>
        <v>0</v>
      </c>
    </row>
    <row r="77" customFormat="false" ht="15" hidden="false" customHeight="false" outlineLevel="0" collapsed="false">
      <c r="A77" s="11" t="n">
        <v>12</v>
      </c>
      <c r="B77" s="23" t="s">
        <v>791</v>
      </c>
      <c r="C77" s="13" t="n">
        <v>750000</v>
      </c>
      <c r="D77" s="13" t="n">
        <f aca="false">250000+250000+250000</f>
        <v>750000</v>
      </c>
      <c r="E77" s="14" t="n">
        <f aca="false">C77-D77</f>
        <v>0</v>
      </c>
    </row>
    <row r="78" customFormat="false" ht="15" hidden="false" customHeight="false" outlineLevel="0" collapsed="false">
      <c r="A78" s="11" t="n">
        <v>13</v>
      </c>
      <c r="B78" s="23" t="s">
        <v>792</v>
      </c>
      <c r="C78" s="13" t="n">
        <v>750000</v>
      </c>
      <c r="D78" s="13" t="n">
        <f aca="false">250000+200000+300000</f>
        <v>750000</v>
      </c>
      <c r="E78" s="14" t="n">
        <f aca="false">C78-D78</f>
        <v>0</v>
      </c>
    </row>
    <row r="79" customFormat="false" ht="15" hidden="false" customHeight="false" outlineLevel="0" collapsed="false">
      <c r="A79" s="11" t="n">
        <v>14</v>
      </c>
      <c r="B79" s="23" t="s">
        <v>793</v>
      </c>
      <c r="C79" s="13" t="n">
        <v>750000</v>
      </c>
      <c r="D79" s="13" t="n">
        <f aca="false">250000+250000+250000</f>
        <v>750000</v>
      </c>
      <c r="E79" s="14" t="n">
        <f aca="false">C79-D79</f>
        <v>0</v>
      </c>
    </row>
    <row r="80" customFormat="false" ht="15" hidden="false" customHeight="false" outlineLevel="0" collapsed="false">
      <c r="A80" s="11" t="n">
        <v>15</v>
      </c>
      <c r="B80" s="23" t="s">
        <v>794</v>
      </c>
      <c r="C80" s="13" t="n">
        <v>750000</v>
      </c>
      <c r="D80" s="13" t="n">
        <f aca="false">250000+200000+140000+160000</f>
        <v>750000</v>
      </c>
      <c r="E80" s="14" t="n">
        <f aca="false">C80-D80</f>
        <v>0</v>
      </c>
    </row>
    <row r="81" customFormat="false" ht="15" hidden="false" customHeight="false" outlineLevel="0" collapsed="false">
      <c r="A81" s="11" t="n">
        <v>16</v>
      </c>
      <c r="B81" s="23" t="s">
        <v>795</v>
      </c>
      <c r="C81" s="13" t="n">
        <v>750000</v>
      </c>
      <c r="D81" s="13" t="n">
        <f aca="false">250000+200000+300000</f>
        <v>750000</v>
      </c>
      <c r="E81" s="14" t="n">
        <f aca="false">C81-D81</f>
        <v>0</v>
      </c>
    </row>
    <row r="82" customFormat="false" ht="15" hidden="false" customHeight="false" outlineLevel="0" collapsed="false">
      <c r="A82" s="11" t="n">
        <v>17</v>
      </c>
      <c r="B82" s="23" t="s">
        <v>796</v>
      </c>
      <c r="C82" s="13" t="n">
        <v>750000</v>
      </c>
      <c r="D82" s="13" t="n">
        <f aca="false">250000+100000+100000+200000+100000</f>
        <v>750000</v>
      </c>
      <c r="E82" s="14" t="n">
        <f aca="false">C82-D82</f>
        <v>0</v>
      </c>
    </row>
    <row r="83" customFormat="false" ht="15" hidden="false" customHeight="false" outlineLevel="0" collapsed="false">
      <c r="A83" s="11" t="n">
        <v>18</v>
      </c>
      <c r="B83" s="23" t="s">
        <v>797</v>
      </c>
      <c r="C83" s="13" t="n">
        <v>750000</v>
      </c>
      <c r="D83" s="13" t="n">
        <f aca="false">150000+100000+100000+100000+200000+50000+50000</f>
        <v>750000</v>
      </c>
      <c r="E83" s="14" t="n">
        <f aca="false">C83-D83</f>
        <v>0</v>
      </c>
    </row>
    <row r="84" customFormat="false" ht="15" hidden="false" customHeight="false" outlineLevel="0" collapsed="false">
      <c r="A84" s="15" t="n">
        <v>19</v>
      </c>
      <c r="B84" s="24" t="s">
        <v>798</v>
      </c>
      <c r="C84" s="25" t="n">
        <v>750000</v>
      </c>
      <c r="D84" s="13" t="n">
        <f aca="false">200000+50000+200000+100000+40000+50000+110000</f>
        <v>750000</v>
      </c>
      <c r="E84" s="14" t="n">
        <f aca="false">C84-D84</f>
        <v>0</v>
      </c>
    </row>
    <row r="85" customFormat="false" ht="19.7" hidden="false" customHeight="false" outlineLevel="0" collapsed="false">
      <c r="A85" s="29"/>
      <c r="B85" s="17" t="s">
        <v>42</v>
      </c>
      <c r="C85" s="18" t="n">
        <f aca="false">SUM(C66:C84)</f>
        <v>14250000</v>
      </c>
      <c r="D85" s="19" t="n">
        <f aca="false">SUM(D66:D84)</f>
        <v>14250000</v>
      </c>
      <c r="E85" s="20" t="n">
        <f aca="false">SUM(E66:E84)</f>
        <v>0</v>
      </c>
    </row>
    <row r="89" customFormat="false" ht="17.35" hidden="false" customHeight="false" outlineLevel="0" collapsed="false">
      <c r="A89" s="2"/>
      <c r="B89" s="2" t="s">
        <v>799</v>
      </c>
    </row>
    <row r="91" customFormat="false" ht="17.25" hidden="false" customHeight="false" outlineLevel="0" collapsed="false">
      <c r="B91" s="3" t="s">
        <v>800</v>
      </c>
    </row>
    <row r="93" customFormat="false" ht="17.35" hidden="false" customHeight="false" outlineLevel="0" collapsed="false">
      <c r="B93" s="4"/>
    </row>
    <row r="94" customFormat="false" ht="15" hidden="false" customHeight="false" outlineLevel="0" collapsed="false">
      <c r="B94" s="5" t="s">
        <v>801</v>
      </c>
    </row>
    <row r="96" customFormat="false" ht="15" hidden="false" customHeight="false" outlineLevel="0" collapsed="false">
      <c r="A96" s="6" t="s">
        <v>4</v>
      </c>
      <c r="B96" s="137" t="s">
        <v>5</v>
      </c>
      <c r="C96" s="8" t="s">
        <v>6</v>
      </c>
      <c r="D96" s="9" t="s">
        <v>7</v>
      </c>
      <c r="E96" s="10" t="s">
        <v>8</v>
      </c>
    </row>
    <row r="97" customFormat="false" ht="15" hidden="false" customHeight="false" outlineLevel="0" collapsed="false">
      <c r="A97" s="11" t="n">
        <v>1</v>
      </c>
      <c r="B97" s="23" t="s">
        <v>802</v>
      </c>
      <c r="C97" s="13" t="n">
        <v>425000</v>
      </c>
      <c r="D97" s="13" t="n">
        <f aca="false">75000+100000+50000+200000</f>
        <v>425000</v>
      </c>
      <c r="E97" s="14" t="n">
        <f aca="false">C97-D97</f>
        <v>0</v>
      </c>
    </row>
    <row r="98" customFormat="false" ht="15" hidden="false" customHeight="false" outlineLevel="0" collapsed="false">
      <c r="A98" s="11" t="n">
        <v>2</v>
      </c>
      <c r="B98" s="23" t="s">
        <v>803</v>
      </c>
      <c r="C98" s="13" t="n">
        <v>425000</v>
      </c>
      <c r="D98" s="13" t="n">
        <v>500000</v>
      </c>
      <c r="E98" s="14" t="n">
        <f aca="false">C98-D98</f>
        <v>-75000</v>
      </c>
    </row>
    <row r="99" customFormat="false" ht="15" hidden="false" customHeight="false" outlineLevel="0" collapsed="false">
      <c r="A99" s="11" t="n">
        <v>3</v>
      </c>
      <c r="B99" s="23" t="s">
        <v>804</v>
      </c>
      <c r="C99" s="13" t="n">
        <v>425000</v>
      </c>
      <c r="D99" s="13" t="n">
        <f aca="false">300000+125000</f>
        <v>425000</v>
      </c>
      <c r="E99" s="14" t="n">
        <f aca="false">C99-D99</f>
        <v>0</v>
      </c>
    </row>
    <row r="100" customFormat="false" ht="15" hidden="false" customHeight="false" outlineLevel="0" collapsed="false">
      <c r="A100" s="11" t="n">
        <v>4</v>
      </c>
      <c r="B100" s="23" t="s">
        <v>748</v>
      </c>
      <c r="C100" s="13" t="n">
        <v>425000</v>
      </c>
      <c r="D100" s="13" t="n">
        <v>245000</v>
      </c>
      <c r="E100" s="14" t="n">
        <f aca="false">C100-D100</f>
        <v>180000</v>
      </c>
    </row>
    <row r="101" customFormat="false" ht="15" hidden="false" customHeight="false" outlineLevel="0" collapsed="false">
      <c r="A101" s="11" t="n">
        <v>5</v>
      </c>
      <c r="B101" s="23" t="s">
        <v>805</v>
      </c>
      <c r="C101" s="13" t="n">
        <v>425000</v>
      </c>
      <c r="D101" s="13" t="n">
        <f aca="false">297500+127500</f>
        <v>425000</v>
      </c>
      <c r="E101" s="14" t="n">
        <f aca="false">C101-D101</f>
        <v>0</v>
      </c>
    </row>
    <row r="102" customFormat="false" ht="15" hidden="false" customHeight="false" outlineLevel="0" collapsed="false">
      <c r="A102" s="11" t="n">
        <v>6</v>
      </c>
      <c r="B102" s="23" t="s">
        <v>806</v>
      </c>
      <c r="C102" s="13" t="n">
        <v>425000</v>
      </c>
      <c r="D102" s="13" t="n">
        <f aca="false">297500+20000</f>
        <v>317500</v>
      </c>
      <c r="E102" s="14" t="n">
        <f aca="false">C102-D102</f>
        <v>107500</v>
      </c>
    </row>
    <row r="103" customFormat="false" ht="15" hidden="false" customHeight="false" outlineLevel="0" collapsed="false">
      <c r="A103" s="11" t="n">
        <v>7</v>
      </c>
      <c r="B103" s="23" t="s">
        <v>807</v>
      </c>
      <c r="C103" s="13" t="n">
        <v>425000</v>
      </c>
      <c r="D103" s="13" t="n">
        <f aca="false">200000+225000</f>
        <v>425000</v>
      </c>
      <c r="E103" s="14" t="n">
        <f aca="false">C103-D103</f>
        <v>0</v>
      </c>
    </row>
    <row r="104" customFormat="false" ht="15" hidden="false" customHeight="false" outlineLevel="0" collapsed="false">
      <c r="A104" s="11" t="n">
        <v>8</v>
      </c>
      <c r="B104" s="23" t="s">
        <v>808</v>
      </c>
      <c r="C104" s="13" t="n">
        <v>425000</v>
      </c>
      <c r="D104" s="13" t="n">
        <f aca="false">300000+125000</f>
        <v>425000</v>
      </c>
      <c r="E104" s="14" t="n">
        <f aca="false">C104-D104</f>
        <v>0</v>
      </c>
    </row>
    <row r="105" customFormat="false" ht="15" hidden="false" customHeight="false" outlineLevel="0" collapsed="false">
      <c r="A105" s="11" t="n">
        <v>9</v>
      </c>
      <c r="B105" s="23" t="s">
        <v>809</v>
      </c>
      <c r="C105" s="13" t="n">
        <v>425000</v>
      </c>
      <c r="D105" s="13" t="n">
        <f aca="false">298000+127000</f>
        <v>425000</v>
      </c>
      <c r="E105" s="14" t="n">
        <f aca="false">C105-D105</f>
        <v>0</v>
      </c>
    </row>
    <row r="106" customFormat="false" ht="15" hidden="false" customHeight="false" outlineLevel="0" collapsed="false">
      <c r="A106" s="11" t="n">
        <v>10</v>
      </c>
      <c r="B106" s="23" t="s">
        <v>810</v>
      </c>
      <c r="C106" s="13" t="n">
        <v>425000</v>
      </c>
      <c r="D106" s="13" t="n">
        <f aca="false">225000+100000+100000</f>
        <v>425000</v>
      </c>
      <c r="E106" s="14" t="n">
        <f aca="false">C106-D106</f>
        <v>0</v>
      </c>
    </row>
    <row r="107" customFormat="false" ht="15" hidden="false" customHeight="false" outlineLevel="0" collapsed="false">
      <c r="A107" s="11" t="n">
        <v>11</v>
      </c>
      <c r="B107" s="23" t="s">
        <v>811</v>
      </c>
      <c r="C107" s="13" t="n">
        <v>425000</v>
      </c>
      <c r="D107" s="13" t="n">
        <f aca="false">25000+300000+70000+30000</f>
        <v>425000</v>
      </c>
      <c r="E107" s="14" t="n">
        <f aca="false">C107-D107</f>
        <v>0</v>
      </c>
    </row>
    <row r="108" customFormat="false" ht="15" hidden="false" customHeight="false" outlineLevel="0" collapsed="false">
      <c r="A108" s="11" t="n">
        <v>12</v>
      </c>
      <c r="B108" s="23" t="s">
        <v>812</v>
      </c>
      <c r="C108" s="13" t="n">
        <v>425000</v>
      </c>
      <c r="D108" s="13" t="n">
        <f aca="false">200000+40000+60000+125000</f>
        <v>425000</v>
      </c>
      <c r="E108" s="14" t="n">
        <f aca="false">C108-D108</f>
        <v>0</v>
      </c>
    </row>
    <row r="109" customFormat="false" ht="15" hidden="false" customHeight="false" outlineLevel="0" collapsed="false">
      <c r="A109" s="11" t="n">
        <v>13</v>
      </c>
      <c r="B109" s="23" t="s">
        <v>813</v>
      </c>
      <c r="C109" s="13" t="n">
        <v>425000</v>
      </c>
      <c r="D109" s="13" t="n">
        <f aca="false">50000+150000+50000+175000</f>
        <v>425000</v>
      </c>
      <c r="E109" s="14" t="n">
        <f aca="false">C109-D109</f>
        <v>0</v>
      </c>
    </row>
    <row r="110" customFormat="false" ht="15" hidden="false" customHeight="false" outlineLevel="0" collapsed="false">
      <c r="A110" s="11" t="n">
        <v>14</v>
      </c>
      <c r="B110" s="23" t="s">
        <v>814</v>
      </c>
      <c r="C110" s="13" t="n">
        <v>425000</v>
      </c>
      <c r="D110" s="13" t="n">
        <f aca="false">300000+125000</f>
        <v>425000</v>
      </c>
      <c r="E110" s="14" t="n">
        <f aca="false">C110-D110</f>
        <v>0</v>
      </c>
    </row>
    <row r="111" customFormat="false" ht="15" hidden="false" customHeight="false" outlineLevel="0" collapsed="false">
      <c r="A111" s="11" t="n">
        <v>15</v>
      </c>
      <c r="B111" s="23" t="s">
        <v>815</v>
      </c>
      <c r="C111" s="13" t="n">
        <v>425000</v>
      </c>
      <c r="D111" s="13" t="n">
        <f aca="false">200000+225000</f>
        <v>425000</v>
      </c>
      <c r="E111" s="14" t="n">
        <f aca="false">C111-D111</f>
        <v>0</v>
      </c>
    </row>
    <row r="112" customFormat="false" ht="15" hidden="false" customHeight="false" outlineLevel="0" collapsed="false">
      <c r="A112" s="11" t="n">
        <v>16</v>
      </c>
      <c r="B112" s="23" t="s">
        <v>816</v>
      </c>
      <c r="C112" s="13" t="n">
        <v>425000</v>
      </c>
      <c r="D112" s="13" t="n">
        <f aca="false">300000+125000</f>
        <v>425000</v>
      </c>
      <c r="E112" s="14" t="n">
        <f aca="false">C112-D112</f>
        <v>0</v>
      </c>
    </row>
    <row r="113" customFormat="false" ht="15" hidden="false" customHeight="false" outlineLevel="0" collapsed="false">
      <c r="A113" s="11" t="n">
        <v>17</v>
      </c>
      <c r="B113" s="23" t="s">
        <v>817</v>
      </c>
      <c r="C113" s="13" t="n">
        <v>425000</v>
      </c>
      <c r="D113" s="13" t="n">
        <f aca="false">200000</f>
        <v>200000</v>
      </c>
      <c r="E113" s="14" t="n">
        <f aca="false">C113-D113</f>
        <v>225000</v>
      </c>
    </row>
    <row r="114" customFormat="false" ht="15" hidden="false" customHeight="false" outlineLevel="0" collapsed="false">
      <c r="A114" s="11" t="n">
        <v>18</v>
      </c>
      <c r="B114" s="23" t="s">
        <v>818</v>
      </c>
      <c r="C114" s="13" t="n">
        <v>425000</v>
      </c>
      <c r="D114" s="13" t="n">
        <f aca="false">150000+275000</f>
        <v>425000</v>
      </c>
      <c r="E114" s="14" t="n">
        <f aca="false">C114-D114</f>
        <v>0</v>
      </c>
    </row>
    <row r="115" customFormat="false" ht="15" hidden="false" customHeight="false" outlineLevel="0" collapsed="false">
      <c r="A115" s="11"/>
      <c r="B115" s="23"/>
      <c r="C115" s="13"/>
      <c r="D115" s="13"/>
      <c r="E115" s="14" t="n">
        <f aca="false">C115-D115</f>
        <v>0</v>
      </c>
    </row>
    <row r="116" customFormat="false" ht="19.7" hidden="false" customHeight="false" outlineLevel="0" collapsed="false">
      <c r="A116" s="29"/>
      <c r="B116" s="17" t="s">
        <v>42</v>
      </c>
      <c r="C116" s="138" t="n">
        <f aca="false">SUM(C97:C115)</f>
        <v>7650000</v>
      </c>
      <c r="D116" s="19" t="n">
        <f aca="false">SUM(D97:D115)</f>
        <v>7212500</v>
      </c>
      <c r="E116" s="20" t="n">
        <f aca="false">SUM(E97:E115)</f>
        <v>437500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58:E294"/>
  <sheetViews>
    <sheetView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B266" activeCellId="0" sqref="B26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1" width="33"/>
    <col collapsed="false" customWidth="true" hidden="false" outlineLevel="0" max="3" min="3" style="1" width="16.29"/>
    <col collapsed="false" customWidth="true" hidden="false" outlineLevel="0" max="4" min="4" style="1" width="15"/>
    <col collapsed="false" customWidth="true" hidden="false" outlineLevel="0" max="5" min="5" style="1" width="14.14"/>
  </cols>
  <sheetData>
    <row r="258" customFormat="false" ht="17.35" hidden="false" customHeight="false" outlineLevel="0" collapsed="false">
      <c r="A258" s="2"/>
      <c r="B258" s="2" t="s">
        <v>741</v>
      </c>
    </row>
    <row r="262" customFormat="false" ht="17.25" hidden="false" customHeight="false" outlineLevel="0" collapsed="false">
      <c r="B262" s="3" t="s">
        <v>742</v>
      </c>
      <c r="E262" s="69"/>
    </row>
    <row r="263" customFormat="false" ht="15" hidden="false" customHeight="false" outlineLevel="0" collapsed="false">
      <c r="B263" s="5"/>
    </row>
    <row r="265" customFormat="false" ht="15" hidden="false" customHeight="false" outlineLevel="0" collapsed="false">
      <c r="A265" s="42" t="s">
        <v>4</v>
      </c>
      <c r="B265" s="70" t="s">
        <v>5</v>
      </c>
      <c r="C265" s="8" t="s">
        <v>6</v>
      </c>
      <c r="D265" s="71" t="s">
        <v>7</v>
      </c>
      <c r="E265" s="10" t="s">
        <v>8</v>
      </c>
    </row>
    <row r="266" customFormat="false" ht="15" hidden="false" customHeight="false" outlineLevel="0" collapsed="false">
      <c r="A266" s="44" t="n">
        <v>1</v>
      </c>
      <c r="B266" s="133" t="s">
        <v>743</v>
      </c>
      <c r="C266" s="72" t="n">
        <v>625000</v>
      </c>
      <c r="D266" s="72" t="n">
        <f aca="false">100000+40000+160000+100000+150000+75000</f>
        <v>625000</v>
      </c>
      <c r="E266" s="73" t="n">
        <f aca="false">C266-D266</f>
        <v>0</v>
      </c>
    </row>
    <row r="267" customFormat="false" ht="15" hidden="false" customHeight="false" outlineLevel="0" collapsed="false">
      <c r="A267" s="44" t="n">
        <v>2</v>
      </c>
      <c r="B267" s="133" t="s">
        <v>745</v>
      </c>
      <c r="C267" s="73" t="n">
        <v>625000</v>
      </c>
      <c r="D267" s="72" t="n">
        <f aca="false">440000+185000</f>
        <v>625000</v>
      </c>
      <c r="E267" s="73" t="n">
        <f aca="false">C267-D267</f>
        <v>0</v>
      </c>
    </row>
    <row r="268" customFormat="false" ht="15" hidden="false" customHeight="false" outlineLevel="0" collapsed="false">
      <c r="A268" s="44" t="n">
        <v>3</v>
      </c>
      <c r="B268" s="133" t="s">
        <v>746</v>
      </c>
      <c r="C268" s="73" t="n">
        <v>625000</v>
      </c>
      <c r="D268" s="72" t="n">
        <f aca="false">438000+87000+100000</f>
        <v>625000</v>
      </c>
      <c r="E268" s="73" t="n">
        <f aca="false">C268-D268</f>
        <v>0</v>
      </c>
    </row>
    <row r="269" customFormat="false" ht="15" hidden="false" customHeight="false" outlineLevel="0" collapsed="false">
      <c r="A269" s="44" t="n">
        <v>4</v>
      </c>
      <c r="B269" s="133" t="s">
        <v>747</v>
      </c>
      <c r="C269" s="73" t="n">
        <v>625000</v>
      </c>
      <c r="D269" s="72" t="n">
        <f aca="false">420000+205000</f>
        <v>625000</v>
      </c>
      <c r="E269" s="73" t="n">
        <f aca="false">C269-D269</f>
        <v>0</v>
      </c>
    </row>
    <row r="270" customFormat="false" ht="15" hidden="false" customHeight="false" outlineLevel="0" collapsed="false">
      <c r="A270" s="44" t="n">
        <v>5</v>
      </c>
      <c r="B270" s="133" t="s">
        <v>749</v>
      </c>
      <c r="C270" s="73" t="n">
        <v>625000</v>
      </c>
      <c r="D270" s="72" t="n">
        <f aca="false">300000+325000</f>
        <v>625000</v>
      </c>
      <c r="E270" s="73" t="n">
        <f aca="false">C270-D270</f>
        <v>0</v>
      </c>
    </row>
    <row r="271" customFormat="false" ht="15" hidden="false" customHeight="false" outlineLevel="0" collapsed="false">
      <c r="A271" s="44" t="n">
        <v>6</v>
      </c>
      <c r="B271" s="133" t="s">
        <v>750</v>
      </c>
      <c r="C271" s="73" t="n">
        <v>625000</v>
      </c>
      <c r="D271" s="72" t="n">
        <f aca="false">400000+225000</f>
        <v>625000</v>
      </c>
      <c r="E271" s="73" t="n">
        <f aca="false">C271-D271</f>
        <v>0</v>
      </c>
    </row>
    <row r="272" customFormat="false" ht="15" hidden="false" customHeight="false" outlineLevel="0" collapsed="false">
      <c r="A272" s="44" t="n">
        <v>7</v>
      </c>
      <c r="B272" s="133" t="s">
        <v>751</v>
      </c>
      <c r="C272" s="73" t="n">
        <v>625000</v>
      </c>
      <c r="D272" s="72" t="n">
        <v>225000</v>
      </c>
      <c r="E272" s="73" t="n">
        <f aca="false">C272-D272</f>
        <v>400000</v>
      </c>
    </row>
    <row r="273" customFormat="false" ht="15" hidden="false" customHeight="false" outlineLevel="0" collapsed="false">
      <c r="A273" s="44" t="n">
        <v>8</v>
      </c>
      <c r="B273" s="133" t="s">
        <v>752</v>
      </c>
      <c r="C273" s="73" t="n">
        <v>625000</v>
      </c>
      <c r="D273" s="72" t="n">
        <f aca="false">440000+185000</f>
        <v>625000</v>
      </c>
      <c r="E273" s="73" t="n">
        <f aca="false">C273-D273</f>
        <v>0</v>
      </c>
    </row>
    <row r="274" customFormat="false" ht="15" hidden="false" customHeight="false" outlineLevel="0" collapsed="false">
      <c r="A274" s="44" t="n">
        <v>9</v>
      </c>
      <c r="B274" s="133" t="s">
        <v>753</v>
      </c>
      <c r="C274" s="73" t="n">
        <v>625000</v>
      </c>
      <c r="D274" s="72" t="n">
        <f aca="false">200000+100000+100000+225000</f>
        <v>625000</v>
      </c>
      <c r="E274" s="73" t="n">
        <f aca="false">C274-D274</f>
        <v>0</v>
      </c>
    </row>
    <row r="275" customFormat="false" ht="15" hidden="false" customHeight="false" outlineLevel="0" collapsed="false">
      <c r="A275" s="44" t="n">
        <v>10</v>
      </c>
      <c r="B275" s="133" t="s">
        <v>754</v>
      </c>
      <c r="C275" s="73" t="n">
        <v>625000</v>
      </c>
      <c r="D275" s="72" t="n">
        <f aca="false">250000+50000+50000+75000+150000+50000</f>
        <v>625000</v>
      </c>
      <c r="E275" s="73" t="n">
        <f aca="false">C275-D275</f>
        <v>0</v>
      </c>
    </row>
    <row r="276" customFormat="false" ht="15" hidden="false" customHeight="false" outlineLevel="0" collapsed="false">
      <c r="A276" s="44" t="n">
        <v>11</v>
      </c>
      <c r="B276" s="133" t="s">
        <v>756</v>
      </c>
      <c r="C276" s="73" t="n">
        <v>625000</v>
      </c>
      <c r="D276" s="72" t="n">
        <f aca="false">400000+225000</f>
        <v>625000</v>
      </c>
      <c r="E276" s="73" t="n">
        <f aca="false">C276-D276</f>
        <v>0</v>
      </c>
    </row>
    <row r="277" customFormat="false" ht="15" hidden="false" customHeight="false" outlineLevel="0" collapsed="false">
      <c r="A277" s="44" t="n">
        <v>12</v>
      </c>
      <c r="B277" s="133" t="s">
        <v>757</v>
      </c>
      <c r="C277" s="73" t="n">
        <v>625000</v>
      </c>
      <c r="D277" s="72" t="n">
        <f aca="false">200000+200000+225000</f>
        <v>625000</v>
      </c>
      <c r="E277" s="73" t="n">
        <f aca="false">C277-D277</f>
        <v>0</v>
      </c>
    </row>
    <row r="278" customFormat="false" ht="15" hidden="false" customHeight="false" outlineLevel="0" collapsed="false">
      <c r="A278" s="44" t="n">
        <v>13</v>
      </c>
      <c r="B278" s="133" t="s">
        <v>758</v>
      </c>
      <c r="C278" s="73" t="n">
        <v>625000</v>
      </c>
      <c r="D278" s="72" t="n">
        <f aca="false">450000+175000</f>
        <v>625000</v>
      </c>
      <c r="E278" s="73" t="n">
        <f aca="false">C278-D278</f>
        <v>0</v>
      </c>
    </row>
    <row r="279" customFormat="false" ht="15" hidden="false" customHeight="false" outlineLevel="0" collapsed="false">
      <c r="A279" s="44" t="n">
        <v>14</v>
      </c>
      <c r="B279" s="133" t="s">
        <v>760</v>
      </c>
      <c r="C279" s="73" t="n">
        <v>625000</v>
      </c>
      <c r="D279" s="72" t="n">
        <f aca="false">450000+75000+50000+50000</f>
        <v>625000</v>
      </c>
      <c r="E279" s="73" t="n">
        <f aca="false">C279-D279</f>
        <v>0</v>
      </c>
    </row>
    <row r="280" customFormat="false" ht="15" hidden="false" customHeight="false" outlineLevel="0" collapsed="false">
      <c r="A280" s="44" t="n">
        <v>15</v>
      </c>
      <c r="B280" s="133" t="s">
        <v>761</v>
      </c>
      <c r="C280" s="73" t="n">
        <v>625000</v>
      </c>
      <c r="D280" s="72" t="n">
        <f aca="false">440000+185000</f>
        <v>625000</v>
      </c>
      <c r="E280" s="73" t="n">
        <f aca="false">C280-D280</f>
        <v>0</v>
      </c>
    </row>
    <row r="281" customFormat="false" ht="15" hidden="false" customHeight="false" outlineLevel="0" collapsed="false">
      <c r="A281" s="44" t="n">
        <v>16</v>
      </c>
      <c r="B281" s="133" t="s">
        <v>762</v>
      </c>
      <c r="C281" s="73" t="n">
        <v>625000</v>
      </c>
      <c r="D281" s="72" t="n">
        <f aca="false">100000+100000+100000+70000+50000+50000+70000+20000+45000+20000</f>
        <v>625000</v>
      </c>
      <c r="E281" s="73" t="n">
        <f aca="false">C281-D281</f>
        <v>0</v>
      </c>
    </row>
    <row r="282" customFormat="false" ht="15" hidden="false" customHeight="false" outlineLevel="0" collapsed="false">
      <c r="A282" s="44" t="n">
        <v>17</v>
      </c>
      <c r="B282" s="134" t="s">
        <v>764</v>
      </c>
      <c r="C282" s="73" t="n">
        <v>625000</v>
      </c>
      <c r="D282" s="89" t="n">
        <f aca="false">450000+175000</f>
        <v>625000</v>
      </c>
      <c r="E282" s="73" t="n">
        <f aca="false">C282-D282</f>
        <v>0</v>
      </c>
    </row>
    <row r="283" customFormat="false" ht="15" hidden="false" customHeight="false" outlineLevel="0" collapsed="false">
      <c r="A283" s="44" t="n">
        <v>18</v>
      </c>
      <c r="B283" s="134" t="s">
        <v>765</v>
      </c>
      <c r="C283" s="73" t="n">
        <v>625000</v>
      </c>
      <c r="D283" s="89" t="n">
        <f aca="false">150000+50000+50000+30000+60000+30000+20000+80000+55000+100000</f>
        <v>625000</v>
      </c>
      <c r="E283" s="73" t="n">
        <f aca="false">C283-D283</f>
        <v>0</v>
      </c>
    </row>
    <row r="284" customFormat="false" ht="15" hidden="false" customHeight="false" outlineLevel="0" collapsed="false">
      <c r="A284" s="44" t="n">
        <v>19</v>
      </c>
      <c r="B284" s="134" t="s">
        <v>766</v>
      </c>
      <c r="C284" s="73" t="n">
        <v>625000</v>
      </c>
      <c r="D284" s="89" t="n">
        <f aca="false">100000+25000+500000</f>
        <v>625000</v>
      </c>
      <c r="E284" s="73" t="n">
        <f aca="false">C284-D284</f>
        <v>0</v>
      </c>
    </row>
    <row r="285" customFormat="false" ht="15" hidden="false" customHeight="false" outlineLevel="0" collapsed="false">
      <c r="A285" s="44" t="n">
        <v>20</v>
      </c>
      <c r="B285" s="134" t="s">
        <v>767</v>
      </c>
      <c r="C285" s="73" t="n">
        <v>625000</v>
      </c>
      <c r="D285" s="89" t="n">
        <f aca="false">300000+125000+50000+150000</f>
        <v>625000</v>
      </c>
      <c r="E285" s="73" t="n">
        <f aca="false">C285-D285</f>
        <v>0</v>
      </c>
    </row>
    <row r="286" customFormat="false" ht="15" hidden="false" customHeight="false" outlineLevel="0" collapsed="false">
      <c r="A286" s="44" t="n">
        <v>21</v>
      </c>
      <c r="B286" s="134" t="s">
        <v>768</v>
      </c>
      <c r="C286" s="73" t="n">
        <v>625000</v>
      </c>
      <c r="D286" s="89" t="n">
        <f aca="false">440000+185000</f>
        <v>625000</v>
      </c>
      <c r="E286" s="73" t="n">
        <f aca="false">C286-D286</f>
        <v>0</v>
      </c>
    </row>
    <row r="287" customFormat="false" ht="15" hidden="false" customHeight="false" outlineLevel="0" collapsed="false">
      <c r="A287" s="44" t="n">
        <v>22</v>
      </c>
      <c r="B287" s="134" t="s">
        <v>769</v>
      </c>
      <c r="C287" s="73" t="n">
        <v>625000</v>
      </c>
      <c r="D287" s="89" t="n">
        <f aca="false">440000+100000+35000+50000</f>
        <v>625000</v>
      </c>
      <c r="E287" s="73" t="n">
        <f aca="false">C287-D287</f>
        <v>0</v>
      </c>
    </row>
    <row r="288" customFormat="false" ht="15" hidden="false" customHeight="false" outlineLevel="0" collapsed="false">
      <c r="A288" s="44" t="n">
        <v>23</v>
      </c>
      <c r="B288" s="134" t="s">
        <v>772</v>
      </c>
      <c r="C288" s="73" t="n">
        <v>625000</v>
      </c>
      <c r="D288" s="89" t="n">
        <f aca="false">437500+187500</f>
        <v>625000</v>
      </c>
      <c r="E288" s="73" t="n">
        <f aca="false">C288-D288</f>
        <v>0</v>
      </c>
    </row>
    <row r="289" customFormat="false" ht="15" hidden="false" customHeight="false" outlineLevel="0" collapsed="false">
      <c r="A289" s="44" t="n">
        <v>24</v>
      </c>
      <c r="B289" s="134" t="s">
        <v>773</v>
      </c>
      <c r="C289" s="73" t="n">
        <v>625000</v>
      </c>
      <c r="D289" s="89" t="n">
        <f aca="false">125000+50000+100000+50000+100000+100000+100000</f>
        <v>625000</v>
      </c>
      <c r="E289" s="73" t="n">
        <f aca="false">C289-D289</f>
        <v>0</v>
      </c>
    </row>
    <row r="290" customFormat="false" ht="15" hidden="false" customHeight="false" outlineLevel="0" collapsed="false">
      <c r="A290" s="44" t="n">
        <v>25</v>
      </c>
      <c r="B290" s="134" t="s">
        <v>774</v>
      </c>
      <c r="C290" s="73" t="n">
        <v>625000</v>
      </c>
      <c r="D290" s="89" t="n">
        <f aca="false">25000+150000+300000+100000</f>
        <v>575000</v>
      </c>
      <c r="E290" s="73" t="n">
        <f aca="false">C290-D290</f>
        <v>50000</v>
      </c>
    </row>
    <row r="291" customFormat="false" ht="15" hidden="false" customHeight="false" outlineLevel="0" collapsed="false">
      <c r="A291" s="44" t="n">
        <v>26</v>
      </c>
      <c r="B291" s="134" t="s">
        <v>776</v>
      </c>
      <c r="C291" s="73" t="n">
        <v>625000</v>
      </c>
      <c r="D291" s="89" t="n">
        <f aca="false">440000+100000+85000</f>
        <v>625000</v>
      </c>
      <c r="E291" s="73" t="n">
        <f aca="false">C291-D291</f>
        <v>0</v>
      </c>
    </row>
    <row r="292" customFormat="false" ht="15" hidden="false" customHeight="false" outlineLevel="0" collapsed="false">
      <c r="A292" s="44" t="n">
        <v>27</v>
      </c>
      <c r="B292" s="134" t="s">
        <v>778</v>
      </c>
      <c r="C292" s="72" t="n">
        <v>625000</v>
      </c>
      <c r="D292" s="89" t="n">
        <f aca="false">350000+275000</f>
        <v>625000</v>
      </c>
      <c r="E292" s="73" t="n">
        <f aca="false">C292-D292</f>
        <v>0</v>
      </c>
    </row>
    <row r="293" customFormat="false" ht="17.35" hidden="false" customHeight="false" outlineLevel="0" collapsed="false">
      <c r="A293" s="44"/>
      <c r="B293" s="53" t="s">
        <v>42</v>
      </c>
      <c r="C293" s="75" t="n">
        <f aca="false">SUM(C266:C292)</f>
        <v>16875000</v>
      </c>
      <c r="D293" s="76" t="n">
        <f aca="false">SUM(D266:D292)</f>
        <v>16425000</v>
      </c>
      <c r="E293" s="77" t="n">
        <f aca="false">SUM(E266:E292)</f>
        <v>450000</v>
      </c>
    </row>
    <row r="29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F106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I100" activeCellId="0" sqref="I100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41.15"/>
    <col collapsed="false" customWidth="true" hidden="false" outlineLevel="0" max="3" min="3" style="1" width="13.86"/>
    <col collapsed="false" customWidth="true" hidden="false" outlineLevel="0" max="5" min="5" style="1" width="13.15"/>
  </cols>
  <sheetData>
    <row r="3" customFormat="false" ht="15" hidden="false" customHeight="false" outlineLevel="0" collapsed="false">
      <c r="B3" s="5" t="s">
        <v>3</v>
      </c>
      <c r="D3" s="69" t="s">
        <v>819</v>
      </c>
      <c r="F3" s="139"/>
    </row>
    <row r="5" customFormat="false" ht="15" hidden="false" customHeight="false" outlineLevel="0" collapsed="false">
      <c r="A5" s="42" t="s">
        <v>4</v>
      </c>
      <c r="B5" s="70" t="s">
        <v>5</v>
      </c>
      <c r="C5" s="140"/>
      <c r="D5" s="141"/>
      <c r="E5" s="142"/>
    </row>
    <row r="6" customFormat="false" ht="15" hidden="false" customHeight="false" outlineLevel="0" collapsed="false">
      <c r="A6" s="44" t="n">
        <v>1</v>
      </c>
      <c r="B6" s="45" t="s">
        <v>565</v>
      </c>
      <c r="C6" s="143"/>
      <c r="D6" s="143"/>
      <c r="E6" s="144"/>
    </row>
    <row r="7" customFormat="false" ht="15" hidden="false" customHeight="false" outlineLevel="0" collapsed="false">
      <c r="A7" s="44" t="n">
        <v>2</v>
      </c>
      <c r="B7" s="45" t="s">
        <v>566</v>
      </c>
      <c r="C7" s="143"/>
      <c r="D7" s="143"/>
      <c r="E7" s="144"/>
    </row>
    <row r="8" customFormat="false" ht="15" hidden="false" customHeight="false" outlineLevel="0" collapsed="false">
      <c r="A8" s="44" t="n">
        <v>3</v>
      </c>
      <c r="B8" s="45" t="s">
        <v>567</v>
      </c>
      <c r="C8" s="143"/>
      <c r="D8" s="143"/>
      <c r="E8" s="144"/>
    </row>
    <row r="9" customFormat="false" ht="15" hidden="false" customHeight="false" outlineLevel="0" collapsed="false">
      <c r="A9" s="44" t="n">
        <v>4</v>
      </c>
      <c r="B9" s="45" t="s">
        <v>568</v>
      </c>
      <c r="C9" s="143"/>
      <c r="D9" s="143"/>
      <c r="E9" s="144"/>
    </row>
    <row r="10" customFormat="false" ht="15" hidden="false" customHeight="false" outlineLevel="0" collapsed="false">
      <c r="A10" s="44" t="n">
        <v>5</v>
      </c>
      <c r="B10" s="45" t="s">
        <v>569</v>
      </c>
      <c r="C10" s="143"/>
      <c r="D10" s="143"/>
      <c r="E10" s="144"/>
    </row>
    <row r="11" customFormat="false" ht="15" hidden="false" customHeight="false" outlineLevel="0" collapsed="false">
      <c r="A11" s="44" t="n">
        <v>6</v>
      </c>
      <c r="B11" s="45" t="s">
        <v>570</v>
      </c>
      <c r="C11" s="143"/>
      <c r="D11" s="143"/>
      <c r="E11" s="144"/>
    </row>
    <row r="12" customFormat="false" ht="15" hidden="false" customHeight="false" outlineLevel="0" collapsed="false">
      <c r="A12" s="44" t="n">
        <v>7</v>
      </c>
      <c r="B12" s="45" t="s">
        <v>567</v>
      </c>
      <c r="C12" s="143"/>
      <c r="D12" s="143"/>
      <c r="E12" s="144"/>
    </row>
    <row r="13" customFormat="false" ht="15" hidden="false" customHeight="false" outlineLevel="0" collapsed="false">
      <c r="A13" s="44" t="n">
        <v>8</v>
      </c>
      <c r="B13" s="45" t="s">
        <v>571</v>
      </c>
      <c r="C13" s="143"/>
      <c r="D13" s="143"/>
      <c r="E13" s="144"/>
    </row>
    <row r="14" customFormat="false" ht="15" hidden="false" customHeight="false" outlineLevel="0" collapsed="false">
      <c r="A14" s="44" t="n">
        <v>9</v>
      </c>
      <c r="B14" s="45" t="s">
        <v>572</v>
      </c>
      <c r="C14" s="143"/>
      <c r="D14" s="143"/>
      <c r="E14" s="144"/>
    </row>
    <row r="15" customFormat="false" ht="15" hidden="false" customHeight="false" outlineLevel="0" collapsed="false">
      <c r="A15" s="44" t="n">
        <v>10</v>
      </c>
      <c r="B15" s="45" t="s">
        <v>573</v>
      </c>
      <c r="C15" s="143"/>
      <c r="D15" s="143"/>
      <c r="E15" s="144"/>
    </row>
    <row r="16" customFormat="false" ht="15" hidden="false" customHeight="false" outlineLevel="0" collapsed="false">
      <c r="A16" s="44" t="n">
        <v>11</v>
      </c>
      <c r="B16" s="45" t="s">
        <v>574</v>
      </c>
      <c r="C16" s="143"/>
      <c r="D16" s="143"/>
      <c r="E16" s="144"/>
    </row>
    <row r="17" customFormat="false" ht="15" hidden="false" customHeight="false" outlineLevel="0" collapsed="false">
      <c r="A17" s="44" t="n">
        <v>12</v>
      </c>
      <c r="B17" s="45" t="s">
        <v>575</v>
      </c>
      <c r="C17" s="143"/>
      <c r="D17" s="143"/>
      <c r="E17" s="144"/>
    </row>
    <row r="18" customFormat="false" ht="15" hidden="false" customHeight="false" outlineLevel="0" collapsed="false">
      <c r="A18" s="44" t="n">
        <v>13</v>
      </c>
      <c r="B18" s="45" t="s">
        <v>576</v>
      </c>
      <c r="C18" s="143"/>
      <c r="D18" s="143"/>
      <c r="E18" s="144"/>
    </row>
    <row r="19" customFormat="false" ht="15" hidden="false" customHeight="false" outlineLevel="0" collapsed="false">
      <c r="A19" s="44" t="n">
        <v>14</v>
      </c>
      <c r="B19" s="45" t="s">
        <v>577</v>
      </c>
      <c r="C19" s="143"/>
      <c r="D19" s="143"/>
      <c r="E19" s="144"/>
    </row>
    <row r="20" customFormat="false" ht="15" hidden="false" customHeight="false" outlineLevel="0" collapsed="false">
      <c r="A20" s="44" t="n">
        <v>15</v>
      </c>
      <c r="B20" s="45" t="s">
        <v>578</v>
      </c>
      <c r="C20" s="143"/>
      <c r="D20" s="143"/>
      <c r="E20" s="144"/>
    </row>
    <row r="21" customFormat="false" ht="15" hidden="false" customHeight="false" outlineLevel="0" collapsed="false">
      <c r="A21" s="44" t="n">
        <v>16</v>
      </c>
      <c r="B21" s="45" t="s">
        <v>579</v>
      </c>
      <c r="C21" s="143"/>
      <c r="D21" s="143"/>
      <c r="E21" s="144"/>
    </row>
    <row r="22" customFormat="false" ht="15" hidden="false" customHeight="false" outlineLevel="0" collapsed="false">
      <c r="A22" s="44" t="n">
        <v>17</v>
      </c>
      <c r="B22" s="45" t="s">
        <v>580</v>
      </c>
      <c r="C22" s="143"/>
      <c r="D22" s="143"/>
      <c r="E22" s="144"/>
    </row>
    <row r="23" customFormat="false" ht="15" hidden="false" customHeight="false" outlineLevel="0" collapsed="false">
      <c r="A23" s="44" t="n">
        <v>18</v>
      </c>
      <c r="B23" s="45" t="s">
        <v>581</v>
      </c>
      <c r="C23" s="143"/>
      <c r="D23" s="143"/>
      <c r="E23" s="144"/>
    </row>
    <row r="24" customFormat="false" ht="15" hidden="false" customHeight="false" outlineLevel="0" collapsed="false">
      <c r="A24" s="44" t="n">
        <v>19</v>
      </c>
      <c r="B24" s="45" t="s">
        <v>582</v>
      </c>
      <c r="C24" s="143"/>
      <c r="D24" s="143"/>
      <c r="E24" s="144"/>
    </row>
    <row r="25" customFormat="false" ht="15" hidden="false" customHeight="false" outlineLevel="0" collapsed="false">
      <c r="A25" s="44" t="n">
        <v>20</v>
      </c>
      <c r="B25" s="45" t="s">
        <v>583</v>
      </c>
      <c r="C25" s="143"/>
      <c r="D25" s="143"/>
      <c r="E25" s="144"/>
    </row>
    <row r="26" customFormat="false" ht="15" hidden="false" customHeight="false" outlineLevel="0" collapsed="false">
      <c r="A26" s="44" t="n">
        <v>21</v>
      </c>
      <c r="B26" s="45" t="s">
        <v>584</v>
      </c>
      <c r="C26" s="143"/>
      <c r="D26" s="143"/>
      <c r="E26" s="144"/>
    </row>
    <row r="27" customFormat="false" ht="15" hidden="false" customHeight="false" outlineLevel="0" collapsed="false">
      <c r="A27" s="44" t="n">
        <v>22</v>
      </c>
      <c r="B27" s="45" t="s">
        <v>585</v>
      </c>
      <c r="C27" s="143"/>
      <c r="D27" s="143"/>
      <c r="E27" s="144"/>
    </row>
    <row r="28" customFormat="false" ht="15" hidden="false" customHeight="false" outlineLevel="0" collapsed="false">
      <c r="A28" s="44" t="n">
        <v>23</v>
      </c>
      <c r="B28" s="45" t="s">
        <v>586</v>
      </c>
      <c r="C28" s="143"/>
      <c r="D28" s="143"/>
      <c r="E28" s="144"/>
    </row>
    <row r="29" customFormat="false" ht="15" hidden="false" customHeight="false" outlineLevel="0" collapsed="false">
      <c r="A29" s="44" t="n">
        <v>24</v>
      </c>
      <c r="B29" s="45" t="s">
        <v>587</v>
      </c>
      <c r="C29" s="143"/>
      <c r="D29" s="143"/>
      <c r="E29" s="144"/>
    </row>
    <row r="30" customFormat="false" ht="15" hidden="false" customHeight="false" outlineLevel="0" collapsed="false">
      <c r="A30" s="44" t="n">
        <v>25</v>
      </c>
      <c r="B30" s="45" t="s">
        <v>588</v>
      </c>
      <c r="C30" s="143"/>
      <c r="D30" s="143"/>
      <c r="E30" s="144"/>
    </row>
    <row r="31" customFormat="false" ht="15" hidden="false" customHeight="false" outlineLevel="0" collapsed="false">
      <c r="A31" s="44" t="n">
        <v>26</v>
      </c>
      <c r="B31" s="45" t="s">
        <v>589</v>
      </c>
      <c r="C31" s="143"/>
      <c r="D31" s="143"/>
      <c r="E31" s="144"/>
    </row>
    <row r="32" customFormat="false" ht="15" hidden="false" customHeight="false" outlineLevel="0" collapsed="false">
      <c r="A32" s="44" t="n">
        <v>27</v>
      </c>
      <c r="B32" s="45" t="s">
        <v>590</v>
      </c>
      <c r="C32" s="143"/>
      <c r="D32" s="143"/>
      <c r="E32" s="144"/>
    </row>
    <row r="33" customFormat="false" ht="15" hidden="false" customHeight="false" outlineLevel="0" collapsed="false">
      <c r="A33" s="44" t="n">
        <v>28</v>
      </c>
      <c r="B33" s="45" t="s">
        <v>591</v>
      </c>
      <c r="C33" s="143"/>
      <c r="D33" s="143"/>
      <c r="E33" s="144"/>
    </row>
    <row r="34" customFormat="false" ht="15" hidden="false" customHeight="false" outlineLevel="0" collapsed="false">
      <c r="A34" s="44" t="n">
        <v>29</v>
      </c>
      <c r="B34" s="45" t="s">
        <v>592</v>
      </c>
      <c r="C34" s="143"/>
      <c r="D34" s="143"/>
      <c r="E34" s="144"/>
    </row>
    <row r="35" customFormat="false" ht="15" hidden="false" customHeight="false" outlineLevel="0" collapsed="false">
      <c r="A35" s="44" t="n">
        <v>30</v>
      </c>
      <c r="B35" s="45" t="s">
        <v>593</v>
      </c>
      <c r="C35" s="143"/>
      <c r="D35" s="143"/>
      <c r="E35" s="144"/>
    </row>
    <row r="36" customFormat="false" ht="15" hidden="false" customHeight="false" outlineLevel="0" collapsed="false">
      <c r="A36" s="44" t="n">
        <v>31</v>
      </c>
      <c r="B36" s="45" t="s">
        <v>594</v>
      </c>
      <c r="C36" s="143"/>
      <c r="D36" s="143"/>
      <c r="E36" s="144"/>
    </row>
    <row r="37" customFormat="false" ht="15" hidden="false" customHeight="false" outlineLevel="0" collapsed="false">
      <c r="A37" s="44" t="n">
        <v>32</v>
      </c>
      <c r="B37" s="45" t="s">
        <v>595</v>
      </c>
      <c r="C37" s="143"/>
      <c r="D37" s="143"/>
      <c r="E37" s="144"/>
    </row>
    <row r="38" customFormat="false" ht="17.35" hidden="false" customHeight="false" outlineLevel="0" collapsed="false">
      <c r="A38" s="52"/>
      <c r="B38" s="53"/>
      <c r="C38" s="145"/>
      <c r="D38" s="146"/>
      <c r="E38" s="147"/>
    </row>
    <row r="39" customFormat="false" ht="15" hidden="false" customHeight="false" outlineLevel="0" collapsed="false">
      <c r="A39" s="78"/>
      <c r="B39" s="79"/>
      <c r="C39" s="80"/>
      <c r="D39" s="80"/>
      <c r="E39" s="81"/>
    </row>
    <row r="40" customFormat="false" ht="15" hidden="false" customHeight="false" outlineLevel="0" collapsed="false">
      <c r="A40" s="82"/>
      <c r="C40" s="83"/>
      <c r="D40" s="83"/>
      <c r="E40" s="84"/>
    </row>
    <row r="41" customFormat="false" ht="15" hidden="false" customHeight="false" outlineLevel="0" collapsed="false">
      <c r="A41" s="82"/>
    </row>
    <row r="42" customFormat="false" ht="15" hidden="false" customHeight="false" outlineLevel="0" collapsed="false">
      <c r="A42" s="82"/>
      <c r="B42" s="5" t="s">
        <v>118</v>
      </c>
      <c r="D42" s="69" t="s">
        <v>819</v>
      </c>
    </row>
    <row r="43" customFormat="false" ht="15" hidden="false" customHeight="false" outlineLevel="0" collapsed="false">
      <c r="A43" s="82"/>
    </row>
    <row r="44" customFormat="false" ht="15" hidden="false" customHeight="false" outlineLevel="0" collapsed="false">
      <c r="A44" s="42" t="s">
        <v>4</v>
      </c>
      <c r="B44" s="70" t="s">
        <v>5</v>
      </c>
      <c r="C44" s="8"/>
      <c r="D44" s="71"/>
      <c r="E44" s="10"/>
    </row>
    <row r="45" customFormat="false" ht="15" hidden="false" customHeight="false" outlineLevel="0" collapsed="false">
      <c r="A45" s="44" t="n">
        <v>1</v>
      </c>
      <c r="B45" s="86" t="s">
        <v>596</v>
      </c>
      <c r="C45" s="58"/>
      <c r="D45" s="87"/>
      <c r="E45" s="60"/>
    </row>
    <row r="46" customFormat="false" ht="15" hidden="false" customHeight="false" outlineLevel="0" collapsed="false">
      <c r="A46" s="44" t="n">
        <v>2</v>
      </c>
      <c r="B46" s="48" t="s">
        <v>597</v>
      </c>
      <c r="C46" s="72"/>
      <c r="D46" s="72"/>
      <c r="E46" s="73"/>
    </row>
    <row r="47" customFormat="false" ht="15" hidden="false" customHeight="false" outlineLevel="0" collapsed="false">
      <c r="A47" s="44" t="n">
        <v>3</v>
      </c>
      <c r="B47" s="48" t="s">
        <v>598</v>
      </c>
      <c r="C47" s="72"/>
      <c r="D47" s="72"/>
      <c r="E47" s="73"/>
    </row>
    <row r="48" customFormat="false" ht="15" hidden="false" customHeight="false" outlineLevel="0" collapsed="false">
      <c r="A48" s="44" t="n">
        <v>4</v>
      </c>
      <c r="B48" s="48" t="s">
        <v>599</v>
      </c>
      <c r="C48" s="72"/>
      <c r="D48" s="72"/>
      <c r="E48" s="73"/>
    </row>
    <row r="49" customFormat="false" ht="15" hidden="false" customHeight="false" outlineLevel="0" collapsed="false">
      <c r="A49" s="44" t="n">
        <v>5</v>
      </c>
      <c r="B49" s="48" t="s">
        <v>600</v>
      </c>
      <c r="C49" s="72"/>
      <c r="D49" s="72"/>
      <c r="E49" s="73"/>
    </row>
    <row r="50" customFormat="false" ht="15" hidden="false" customHeight="false" outlineLevel="0" collapsed="false">
      <c r="A50" s="44" t="n">
        <v>6</v>
      </c>
      <c r="B50" s="48" t="s">
        <v>601</v>
      </c>
      <c r="C50" s="72"/>
      <c r="D50" s="72"/>
      <c r="E50" s="73"/>
    </row>
    <row r="51" customFormat="false" ht="15" hidden="false" customHeight="false" outlineLevel="0" collapsed="false">
      <c r="A51" s="44" t="n">
        <v>7</v>
      </c>
      <c r="B51" s="48" t="s">
        <v>602</v>
      </c>
      <c r="C51" s="72"/>
      <c r="D51" s="72"/>
      <c r="E51" s="73"/>
    </row>
    <row r="52" customFormat="false" ht="15" hidden="false" customHeight="false" outlineLevel="0" collapsed="false">
      <c r="A52" s="44" t="n">
        <v>8</v>
      </c>
      <c r="B52" s="48" t="s">
        <v>603</v>
      </c>
      <c r="C52" s="72"/>
      <c r="D52" s="72"/>
      <c r="E52" s="73"/>
    </row>
    <row r="53" customFormat="false" ht="15" hidden="false" customHeight="false" outlineLevel="0" collapsed="false">
      <c r="A53" s="44" t="n">
        <v>9</v>
      </c>
      <c r="B53" s="48" t="s">
        <v>604</v>
      </c>
      <c r="C53" s="72"/>
      <c r="D53" s="72"/>
      <c r="E53" s="73"/>
    </row>
    <row r="54" customFormat="false" ht="15" hidden="false" customHeight="false" outlineLevel="0" collapsed="false">
      <c r="A54" s="44" t="n">
        <v>10</v>
      </c>
      <c r="B54" s="48" t="s">
        <v>605</v>
      </c>
      <c r="C54" s="72"/>
      <c r="D54" s="72"/>
      <c r="E54" s="73"/>
    </row>
    <row r="55" customFormat="false" ht="15" hidden="false" customHeight="false" outlineLevel="0" collapsed="false">
      <c r="A55" s="44" t="n">
        <v>11</v>
      </c>
      <c r="B55" s="48" t="s">
        <v>606</v>
      </c>
      <c r="C55" s="72"/>
      <c r="D55" s="72"/>
      <c r="E55" s="73"/>
    </row>
    <row r="56" customFormat="false" ht="15" hidden="false" customHeight="false" outlineLevel="0" collapsed="false">
      <c r="A56" s="44" t="n">
        <v>12</v>
      </c>
      <c r="B56" s="48" t="s">
        <v>607</v>
      </c>
      <c r="C56" s="72"/>
      <c r="D56" s="72"/>
      <c r="E56" s="73"/>
    </row>
    <row r="57" customFormat="false" ht="15" hidden="false" customHeight="false" outlineLevel="0" collapsed="false">
      <c r="A57" s="44" t="n">
        <v>13</v>
      </c>
      <c r="B57" s="48" t="s">
        <v>608</v>
      </c>
      <c r="C57" s="72"/>
      <c r="D57" s="72"/>
      <c r="E57" s="73"/>
    </row>
    <row r="58" customFormat="false" ht="15" hidden="false" customHeight="false" outlineLevel="0" collapsed="false">
      <c r="A58" s="44" t="n">
        <v>14</v>
      </c>
      <c r="B58" s="48" t="s">
        <v>609</v>
      </c>
      <c r="C58" s="72"/>
      <c r="D58" s="72"/>
      <c r="E58" s="73"/>
    </row>
    <row r="59" customFormat="false" ht="15" hidden="false" customHeight="false" outlineLevel="0" collapsed="false">
      <c r="A59" s="44" t="n">
        <v>15</v>
      </c>
      <c r="B59" s="48" t="s">
        <v>610</v>
      </c>
      <c r="C59" s="72"/>
      <c r="D59" s="72"/>
      <c r="E59" s="73"/>
    </row>
    <row r="60" customFormat="false" ht="15" hidden="false" customHeight="false" outlineLevel="0" collapsed="false">
      <c r="A60" s="44" t="n">
        <v>16</v>
      </c>
      <c r="B60" s="48" t="s">
        <v>611</v>
      </c>
      <c r="C60" s="72"/>
      <c r="D60" s="72"/>
      <c r="E60" s="73"/>
    </row>
    <row r="61" customFormat="false" ht="15" hidden="false" customHeight="false" outlineLevel="0" collapsed="false">
      <c r="A61" s="44" t="n">
        <v>17</v>
      </c>
      <c r="B61" s="48" t="s">
        <v>612</v>
      </c>
      <c r="C61" s="72"/>
      <c r="D61" s="72"/>
      <c r="E61" s="73"/>
    </row>
    <row r="62" customFormat="false" ht="15" hidden="false" customHeight="false" outlineLevel="0" collapsed="false">
      <c r="A62" s="44" t="n">
        <v>18</v>
      </c>
      <c r="B62" s="48" t="s">
        <v>613</v>
      </c>
      <c r="C62" s="72"/>
      <c r="D62" s="72"/>
      <c r="E62" s="73"/>
    </row>
    <row r="63" customFormat="false" ht="15" hidden="false" customHeight="false" outlineLevel="0" collapsed="false">
      <c r="A63" s="44" t="n">
        <v>19</v>
      </c>
      <c r="B63" s="48" t="s">
        <v>614</v>
      </c>
      <c r="C63" s="72"/>
      <c r="D63" s="72"/>
      <c r="E63" s="73"/>
    </row>
    <row r="64" customFormat="false" ht="15" hidden="false" customHeight="false" outlineLevel="0" collapsed="false">
      <c r="A64" s="44" t="n">
        <v>20</v>
      </c>
      <c r="B64" s="48" t="s">
        <v>615</v>
      </c>
      <c r="C64" s="72"/>
      <c r="D64" s="72"/>
      <c r="E64" s="73"/>
    </row>
    <row r="65" customFormat="false" ht="15" hidden="false" customHeight="false" outlineLevel="0" collapsed="false">
      <c r="A65" s="44" t="n">
        <v>21</v>
      </c>
      <c r="B65" s="48" t="s">
        <v>616</v>
      </c>
      <c r="C65" s="72"/>
      <c r="D65" s="72"/>
      <c r="E65" s="73"/>
    </row>
    <row r="66" customFormat="false" ht="15" hidden="false" customHeight="false" outlineLevel="0" collapsed="false">
      <c r="A66" s="44" t="n">
        <v>22</v>
      </c>
      <c r="B66" s="45" t="s">
        <v>617</v>
      </c>
      <c r="C66" s="72"/>
      <c r="D66" s="72"/>
      <c r="E66" s="73"/>
    </row>
    <row r="67" customFormat="false" ht="15" hidden="false" customHeight="false" outlineLevel="0" collapsed="false">
      <c r="A67" s="44" t="n">
        <v>23</v>
      </c>
      <c r="B67" s="45" t="s">
        <v>618</v>
      </c>
      <c r="C67" s="72"/>
      <c r="D67" s="72"/>
      <c r="E67" s="73"/>
    </row>
    <row r="68" customFormat="false" ht="15" hidden="false" customHeight="false" outlineLevel="0" collapsed="false">
      <c r="A68" s="44" t="n">
        <v>24</v>
      </c>
      <c r="B68" s="45" t="s">
        <v>619</v>
      </c>
      <c r="C68" s="72"/>
      <c r="D68" s="72"/>
      <c r="E68" s="73"/>
    </row>
    <row r="69" customFormat="false" ht="15" hidden="false" customHeight="false" outlineLevel="0" collapsed="false">
      <c r="A69" s="44" t="n">
        <v>25</v>
      </c>
      <c r="B69" s="45" t="s">
        <v>620</v>
      </c>
      <c r="C69" s="72"/>
      <c r="D69" s="72"/>
      <c r="E69" s="73"/>
    </row>
    <row r="70" customFormat="false" ht="15" hidden="false" customHeight="false" outlineLevel="0" collapsed="false">
      <c r="A70" s="44" t="n">
        <v>26</v>
      </c>
      <c r="B70" s="45" t="s">
        <v>621</v>
      </c>
      <c r="C70" s="72"/>
      <c r="D70" s="72"/>
      <c r="E70" s="73"/>
    </row>
    <row r="71" customFormat="false" ht="15" hidden="false" customHeight="false" outlineLevel="0" collapsed="false">
      <c r="A71" s="44" t="n">
        <v>27</v>
      </c>
      <c r="B71" s="45" t="s">
        <v>622</v>
      </c>
      <c r="C71" s="72"/>
      <c r="D71" s="72"/>
      <c r="E71" s="73"/>
    </row>
    <row r="72" customFormat="false" ht="15" hidden="false" customHeight="false" outlineLevel="0" collapsed="false">
      <c r="A72" s="44" t="n">
        <v>28</v>
      </c>
      <c r="B72" s="45" t="s">
        <v>623</v>
      </c>
      <c r="C72" s="72"/>
      <c r="D72" s="72"/>
      <c r="E72" s="73"/>
    </row>
    <row r="73" customFormat="false" ht="15" hidden="false" customHeight="false" outlineLevel="0" collapsed="false">
      <c r="A73" s="44" t="n">
        <v>29</v>
      </c>
      <c r="B73" s="45" t="s">
        <v>624</v>
      </c>
      <c r="C73" s="72"/>
      <c r="D73" s="72"/>
      <c r="E73" s="73"/>
    </row>
    <row r="74" customFormat="false" ht="15" hidden="false" customHeight="false" outlineLevel="0" collapsed="false">
      <c r="A74" s="44" t="n">
        <v>30</v>
      </c>
      <c r="B74" s="45" t="s">
        <v>625</v>
      </c>
      <c r="C74" s="72"/>
      <c r="D74" s="72"/>
      <c r="E74" s="73"/>
    </row>
    <row r="75" customFormat="false" ht="15" hidden="false" customHeight="false" outlineLevel="0" collapsed="false">
      <c r="A75" s="44" t="n">
        <v>31</v>
      </c>
      <c r="B75" s="45" t="s">
        <v>626</v>
      </c>
      <c r="C75" s="72"/>
      <c r="D75" s="72"/>
      <c r="E75" s="73"/>
    </row>
    <row r="76" customFormat="false" ht="15" hidden="false" customHeight="false" outlineLevel="0" collapsed="false">
      <c r="A76" s="44" t="n">
        <v>32</v>
      </c>
      <c r="B76" s="48" t="s">
        <v>151</v>
      </c>
      <c r="C76" s="72"/>
      <c r="D76" s="72"/>
      <c r="E76" s="73"/>
    </row>
    <row r="77" customFormat="false" ht="15" hidden="false" customHeight="false" outlineLevel="0" collapsed="false">
      <c r="A77" s="44" t="n">
        <v>33</v>
      </c>
      <c r="B77" s="45" t="s">
        <v>627</v>
      </c>
      <c r="C77" s="72"/>
      <c r="D77" s="72"/>
      <c r="E77" s="73"/>
    </row>
    <row r="78" customFormat="false" ht="15" hidden="false" customHeight="false" outlineLevel="0" collapsed="false">
      <c r="A78" s="44" t="n">
        <v>34</v>
      </c>
      <c r="B78" s="88" t="s">
        <v>628</v>
      </c>
      <c r="C78" s="72"/>
      <c r="D78" s="89"/>
      <c r="E78" s="73"/>
    </row>
    <row r="79" customFormat="false" ht="17.35" hidden="false" customHeight="false" outlineLevel="0" collapsed="false">
      <c r="A79" s="52"/>
      <c r="B79" s="53"/>
      <c r="C79" s="75"/>
      <c r="D79" s="76"/>
      <c r="E79" s="77"/>
    </row>
    <row r="80" customFormat="false" ht="15" hidden="false" customHeight="false" outlineLevel="0" collapsed="false">
      <c r="A80" s="78"/>
      <c r="B80" s="79"/>
      <c r="C80" s="80"/>
      <c r="D80" s="80"/>
      <c r="E80" s="81"/>
    </row>
    <row r="81" customFormat="false" ht="15" hidden="false" customHeight="false" outlineLevel="0" collapsed="false">
      <c r="A81" s="82"/>
    </row>
    <row r="82" customFormat="false" ht="15" hidden="false" customHeight="false" outlineLevel="0" collapsed="false">
      <c r="A82" s="82"/>
    </row>
    <row r="83" customFormat="false" ht="15" hidden="false" customHeight="false" outlineLevel="0" collapsed="false">
      <c r="A83" s="82"/>
      <c r="B83" s="5" t="s">
        <v>247</v>
      </c>
      <c r="D83" s="69" t="s">
        <v>819</v>
      </c>
    </row>
    <row r="84" customFormat="false" ht="15" hidden="false" customHeight="false" outlineLevel="0" collapsed="false">
      <c r="A84" s="82"/>
    </row>
    <row r="85" customFormat="false" ht="15" hidden="false" customHeight="false" outlineLevel="0" collapsed="false">
      <c r="A85" s="42" t="s">
        <v>4</v>
      </c>
      <c r="B85" s="70" t="s">
        <v>5</v>
      </c>
      <c r="C85" s="140"/>
      <c r="D85" s="141"/>
      <c r="E85" s="142"/>
    </row>
    <row r="86" customFormat="false" ht="15" hidden="false" customHeight="false" outlineLevel="0" collapsed="false">
      <c r="A86" s="44" t="n">
        <v>1</v>
      </c>
      <c r="B86" s="45" t="s">
        <v>629</v>
      </c>
      <c r="C86" s="148"/>
      <c r="D86" s="143"/>
      <c r="E86" s="144"/>
    </row>
    <row r="87" customFormat="false" ht="15" hidden="false" customHeight="false" outlineLevel="0" collapsed="false">
      <c r="A87" s="44" t="n">
        <v>2</v>
      </c>
      <c r="B87" s="45" t="s">
        <v>630</v>
      </c>
      <c r="C87" s="148"/>
      <c r="D87" s="143"/>
      <c r="E87" s="144"/>
    </row>
    <row r="88" customFormat="false" ht="15" hidden="false" customHeight="false" outlineLevel="0" collapsed="false">
      <c r="A88" s="44" t="n">
        <v>3</v>
      </c>
      <c r="B88" s="45" t="s">
        <v>631</v>
      </c>
      <c r="C88" s="148"/>
      <c r="D88" s="143"/>
      <c r="E88" s="144"/>
    </row>
    <row r="89" customFormat="false" ht="15" hidden="false" customHeight="false" outlineLevel="0" collapsed="false">
      <c r="A89" s="44" t="n">
        <v>4</v>
      </c>
      <c r="B89" s="45" t="s">
        <v>632</v>
      </c>
      <c r="C89" s="148"/>
      <c r="D89" s="143"/>
      <c r="E89" s="144"/>
    </row>
    <row r="90" customFormat="false" ht="15" hidden="false" customHeight="false" outlineLevel="0" collapsed="false">
      <c r="A90" s="44" t="n">
        <v>5</v>
      </c>
      <c r="B90" s="48" t="s">
        <v>633</v>
      </c>
      <c r="C90" s="148"/>
      <c r="D90" s="143"/>
      <c r="E90" s="144"/>
    </row>
    <row r="91" customFormat="false" ht="15" hidden="false" customHeight="false" outlineLevel="0" collapsed="false">
      <c r="A91" s="44" t="n">
        <v>6</v>
      </c>
      <c r="B91" s="48" t="s">
        <v>634</v>
      </c>
      <c r="C91" s="148"/>
      <c r="D91" s="143"/>
      <c r="E91" s="144"/>
    </row>
    <row r="92" customFormat="false" ht="15" hidden="false" customHeight="false" outlineLevel="0" collapsed="false">
      <c r="A92" s="44" t="n">
        <v>7</v>
      </c>
      <c r="B92" s="92" t="s">
        <v>635</v>
      </c>
      <c r="C92" s="148"/>
      <c r="D92" s="143"/>
      <c r="E92" s="144"/>
    </row>
    <row r="93" customFormat="false" ht="15" hidden="false" customHeight="false" outlineLevel="0" collapsed="false">
      <c r="A93" s="44" t="n">
        <v>8</v>
      </c>
      <c r="B93" s="48" t="s">
        <v>636</v>
      </c>
      <c r="C93" s="148"/>
      <c r="D93" s="143"/>
      <c r="E93" s="144"/>
    </row>
    <row r="94" customFormat="false" ht="15" hidden="false" customHeight="false" outlineLevel="0" collapsed="false">
      <c r="A94" s="44" t="n">
        <v>9</v>
      </c>
      <c r="B94" s="48" t="s">
        <v>637</v>
      </c>
      <c r="C94" s="148"/>
      <c r="D94" s="143"/>
      <c r="E94" s="144"/>
    </row>
    <row r="95" customFormat="false" ht="15" hidden="false" customHeight="false" outlineLevel="0" collapsed="false">
      <c r="A95" s="44" t="n">
        <v>10</v>
      </c>
      <c r="B95" s="48" t="s">
        <v>638</v>
      </c>
      <c r="C95" s="148"/>
      <c r="D95" s="143"/>
      <c r="E95" s="144"/>
    </row>
    <row r="96" customFormat="false" ht="15" hidden="false" customHeight="false" outlineLevel="0" collapsed="false">
      <c r="A96" s="44" t="n">
        <v>11</v>
      </c>
      <c r="B96" s="48" t="s">
        <v>639</v>
      </c>
      <c r="C96" s="148"/>
      <c r="D96" s="143"/>
      <c r="E96" s="144"/>
    </row>
    <row r="97" customFormat="false" ht="15" hidden="false" customHeight="false" outlineLevel="0" collapsed="false">
      <c r="A97" s="44" t="n">
        <v>12</v>
      </c>
      <c r="B97" s="48" t="s">
        <v>640</v>
      </c>
      <c r="C97" s="148"/>
      <c r="D97" s="143"/>
      <c r="E97" s="144"/>
    </row>
    <row r="98" customFormat="false" ht="15" hidden="false" customHeight="false" outlineLevel="0" collapsed="false">
      <c r="A98" s="44" t="n">
        <v>13</v>
      </c>
      <c r="B98" s="48" t="s">
        <v>641</v>
      </c>
      <c r="C98" s="148"/>
      <c r="D98" s="143"/>
      <c r="E98" s="144"/>
    </row>
    <row r="99" customFormat="false" ht="15" hidden="false" customHeight="false" outlineLevel="0" collapsed="false">
      <c r="A99" s="44" t="n">
        <v>14</v>
      </c>
      <c r="B99" s="48" t="s">
        <v>642</v>
      </c>
      <c r="C99" s="148"/>
      <c r="D99" s="143"/>
      <c r="E99" s="144"/>
    </row>
    <row r="100" customFormat="false" ht="15" hidden="false" customHeight="false" outlineLevel="0" collapsed="false">
      <c r="A100" s="44" t="n">
        <v>15</v>
      </c>
      <c r="B100" s="48" t="s">
        <v>643</v>
      </c>
      <c r="C100" s="148"/>
      <c r="D100" s="143"/>
      <c r="E100" s="144"/>
    </row>
    <row r="101" customFormat="false" ht="15" hidden="false" customHeight="false" outlineLevel="0" collapsed="false">
      <c r="A101" s="44" t="n">
        <v>16</v>
      </c>
      <c r="B101" s="48" t="s">
        <v>644</v>
      </c>
      <c r="C101" s="148"/>
      <c r="D101" s="143"/>
      <c r="E101" s="144"/>
    </row>
    <row r="102" customFormat="false" ht="15" hidden="false" customHeight="false" outlineLevel="0" collapsed="false">
      <c r="A102" s="44" t="n">
        <v>17</v>
      </c>
      <c r="B102" s="48" t="s">
        <v>645</v>
      </c>
      <c r="C102" s="148"/>
      <c r="D102" s="143"/>
      <c r="E102" s="144"/>
    </row>
    <row r="103" customFormat="false" ht="15" hidden="false" customHeight="false" outlineLevel="0" collapsed="false">
      <c r="A103" s="44" t="n">
        <v>18</v>
      </c>
      <c r="B103" s="48" t="s">
        <v>646</v>
      </c>
      <c r="C103" s="148"/>
      <c r="D103" s="143"/>
      <c r="E103" s="144"/>
    </row>
    <row r="104" customFormat="false" ht="15" hidden="false" customHeight="false" outlineLevel="0" collapsed="false">
      <c r="A104" s="44" t="n">
        <v>19</v>
      </c>
      <c r="B104" s="45" t="s">
        <v>647</v>
      </c>
      <c r="C104" s="143"/>
      <c r="D104" s="143"/>
      <c r="E104" s="144"/>
    </row>
    <row r="105" customFormat="false" ht="17.35" hidden="false" customHeight="false" outlineLevel="0" collapsed="false">
      <c r="A105" s="82"/>
      <c r="B105" s="53"/>
      <c r="C105" s="149"/>
      <c r="D105" s="150"/>
      <c r="E105" s="150"/>
    </row>
    <row r="10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2012-02-20T07:40:00Z</dcterms:created>
  <dc:creator>Mes documents</dc:creator>
  <dc:description/>
  <dc:language>fr-FR</dc:language>
  <cp:lastModifiedBy/>
  <cp:lastPrinted>2010-07-22T00:16:00Z</cp:lastPrinted>
  <dcterms:modified xsi:type="dcterms:W3CDTF">2024-12-23T05:59:56Z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52446BF02AA24437BF42266482BE9840_12</vt:lpwstr>
  </property>
  <property fmtid="{D5CDD505-2E9C-101B-9397-08002B2CF9AE}" pid="3" name="KSOProductBuildVer">
    <vt:lpwstr>1036-12.2.0.16909</vt:lpwstr>
  </property>
</Properties>
</file>