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CENCE PRO 1ère ANNEE" sheetId="1" state="visible" r:id="rId3"/>
    <sheet name="LICENCE PRO. 2è-3è-4è ANNEE" sheetId="2" state="visible" r:id="rId4"/>
    <sheet name="INGENIEUR" sheetId="3" state="visible" r:id="rId5"/>
    <sheet name="A_IGNORER_5" sheetId="4" state="visible" r:id="rId6"/>
    <sheet name="A_IGNORER_4" sheetId="5" state="visible" r:id="rId7"/>
    <sheet name="A_IGNORER_3" sheetId="6" state="visible" r:id="rId8"/>
    <sheet name="A_IGNORER_2" sheetId="7" state="visible" r:id="rId9"/>
    <sheet name="Feuil3" sheetId="8" state="visible" r:id="rId10"/>
    <sheet name="A_IGNORER_1" sheetId="9" state="visible" r:id="rId11"/>
  </sheets>
  <externalReferences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572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429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309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456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sharedStrings.xml><?xml version="1.0" encoding="utf-8"?>
<sst xmlns="http://schemas.openxmlformats.org/spreadsheetml/2006/main" count="2744" uniqueCount="998">
  <si>
    <t xml:space="preserve">LICENCE PROFESSIONNELLE 2013-2014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</si>
  <si>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</si>
  <si>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</si>
  <si>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1ère Année</t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</si>
  <si>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</si>
  <si>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</si>
  <si>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</si>
  <si>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</si>
  <si>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</si>
  <si>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t xml:space="preserve">DJOUBALI Jeannot</t>
  </si>
  <si>
    <t xml:space="preserve">AGBATO Gouvidé Aurel G.</t>
  </si>
  <si>
    <t xml:space="preserve">AGONKPO Arnaud Boris</t>
  </si>
  <si>
    <t xml:space="preserve">AHOKIIN Codjo Bertin</t>
  </si>
  <si>
    <t xml:space="preserve">ASSOUMANOU IMOROU AbdeL A. A.</t>
  </si>
  <si>
    <t xml:space="preserve">BIAO Dieudonné Eloïme</t>
  </si>
  <si>
    <t xml:space="preserve">DJINAHIN Felicien</t>
  </si>
  <si>
    <t xml:space="preserve">ENDEMI MORAT SERO Taïrou R.</t>
  </si>
  <si>
    <t xml:space="preserve">GODJO Sanagnon Koffi Hervé</t>
  </si>
  <si>
    <t xml:space="preserve">KASSA FANOUVI C. Benoit</t>
  </si>
  <si>
    <t xml:space="preserve">KASSIN Akochayé Ibitoyé Barthélémy</t>
  </si>
  <si>
    <t xml:space="preserve">SOSSOUHOUNTO Ibrahima Satarou</t>
  </si>
  <si>
    <t xml:space="preserve">ZALE Sabi Stasnislas</t>
  </si>
  <si>
    <t xml:space="preserve">BALANCE</t>
  </si>
  <si>
    <t xml:space="preserve"> 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</si>
  <si>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</si>
  <si>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AGASSOUNON Eyonkpon Samson M.</t>
  </si>
  <si>
    <t xml:space="preserve">AGOUGOU Ehuzu Kossi Ghislain</t>
  </si>
  <si>
    <t xml:space="preserve">AHONONGA Noël Comlan</t>
  </si>
  <si>
    <t xml:space="preserve">AMOUSSOUGA Sêdjro Arnaud Gildas</t>
  </si>
  <si>
    <t xml:space="preserve">ASSAN AOUDOU Abdoudou Malick</t>
  </si>
  <si>
    <t xml:space="preserve">AVOGBE Germain</t>
  </si>
  <si>
    <t xml:space="preserve">BAGRI B. Christ</t>
  </si>
  <si>
    <t xml:space="preserve">DAVOU Géofroid Gérard Mathieu</t>
  </si>
  <si>
    <t xml:space="preserve">DOKOTO SAKA Gniré Zouhératou</t>
  </si>
  <si>
    <t xml:space="preserve">DOVONON Adonis Romaric N.</t>
  </si>
  <si>
    <t xml:space="preserve">FELIHO Bonaventure Sèdjro</t>
  </si>
  <si>
    <t xml:space="preserve">GUEDOU Imelle</t>
  </si>
  <si>
    <t xml:space="preserve">GUERRA Amina</t>
  </si>
  <si>
    <t xml:space="preserve">HESSA Evarisre</t>
  </si>
  <si>
    <t xml:space="preserve">MADJIDE Akuavi Odile</t>
  </si>
  <si>
    <t xml:space="preserve">VITODIGNI Adjimon Ambroise</t>
  </si>
  <si>
    <t xml:space="preserve">ZALE Vilonnou Lauriano</t>
  </si>
  <si>
    <t xml:space="preserve">ZIME Safiatou</t>
  </si>
  <si>
    <t xml:space="preserve">ZOMAHOUN Dègla Olivier Armel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</si>
  <si>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MAINTENANCE INDUSTRIELLE</t>
    </r>
  </si>
  <si>
    <t xml:space="preserve">ADJAHOTO Tchégnihandé Mario E.</t>
  </si>
  <si>
    <t xml:space="preserve">BOCOVO Gislain</t>
  </si>
  <si>
    <t xml:space="preserve">BIWINTON Aristide W.</t>
  </si>
  <si>
    <t xml:space="preserve">DEGBEKO Rodrigue</t>
  </si>
  <si>
    <t xml:space="preserve">DJOKPE Mahunan Enorc Prudencio H.</t>
  </si>
  <si>
    <t xml:space="preserve">DOHO Comlan Herbert Franck</t>
  </si>
  <si>
    <t xml:space="preserve">HINGLO Mèssomon Elvis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</si>
  <si>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</si>
  <si>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ADANDE Sourou Gérard</t>
  </si>
  <si>
    <t xml:space="preserve">ADJE Faki Thierry</t>
  </si>
  <si>
    <t xml:space="preserve">AGBANA Kossi Augustin</t>
  </si>
  <si>
    <t xml:space="preserve">ASSOGBA Yvon</t>
  </si>
  <si>
    <t xml:space="preserve">BINOÏ Vivien Mawounou</t>
  </si>
  <si>
    <t xml:space="preserve">CHABI SIDI W. Azedine</t>
  </si>
  <si>
    <t xml:space="preserve">DADA Ben Habib Adéoyé</t>
  </si>
  <si>
    <t xml:space="preserve">DANHOUEGNON Dègla Syvestre</t>
  </si>
  <si>
    <t xml:space="preserve">DEGLA Tolidji Martial Keevine</t>
  </si>
  <si>
    <t xml:space="preserve">DOSSOU Théophile</t>
  </si>
  <si>
    <t xml:space="preserve">EDAH COFFI Rose</t>
  </si>
  <si>
    <t xml:space="preserve">FANOU Fortuné</t>
  </si>
  <si>
    <t xml:space="preserve">GANGAN Félicien</t>
  </si>
  <si>
    <t xml:space="preserve">GAMBA Abdel Wahidi</t>
  </si>
  <si>
    <t xml:space="preserve">GNIMADI Sèmèvo Arsène Elie</t>
  </si>
  <si>
    <t xml:space="preserve">GOUNOUDE Nontchégbèhin Hébert O.</t>
  </si>
  <si>
    <t xml:space="preserve">HOUNSA Sikirou</t>
  </si>
  <si>
    <t xml:space="preserve">HOUEGBELO G. T. Felix</t>
  </si>
  <si>
    <t xml:space="preserve">KOMBETTO M. Florent</t>
  </si>
  <si>
    <t xml:space="preserve">MEDETONOU Jean--Luc Yémalin</t>
  </si>
  <si>
    <t xml:space="preserve">MESSANH Aude Grégoire</t>
  </si>
  <si>
    <t xml:space="preserve">NICO Kadukpè Roméo</t>
  </si>
  <si>
    <t xml:space="preserve">OWO-ETCHO Bonê Firmine</t>
  </si>
  <si>
    <t xml:space="preserve">SETONDJI Tamègnon Mariano</t>
  </si>
  <si>
    <t xml:space="preserve">SOTON ADJIMON Aimé</t>
  </si>
  <si>
    <t xml:space="preserve">TCHARO Orou</t>
  </si>
  <si>
    <t xml:space="preserve">YEMEZIN Comlan François-Xavier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</si>
  <si>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</si>
  <si>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AGNISSEY Komlan Magloire</t>
  </si>
  <si>
    <t xml:space="preserve">BANDEIRA Gbéïgbéna Kodjo Angelo</t>
  </si>
  <si>
    <t xml:space="preserve">EGNONHOU Comlan RoRodrigue Coovi</t>
  </si>
  <si>
    <t xml:space="preserve">HOUMAVO Wilfried Rolland C.</t>
  </si>
  <si>
    <t xml:space="preserve">HOUNKPOSSO A, Janvier</t>
  </si>
  <si>
    <t xml:space="preserve">KOUHOSSOUNON Florence Adjoavi</t>
  </si>
  <si>
    <t xml:space="preserve">MINTCHONOU Aimé</t>
  </si>
  <si>
    <t xml:space="preserve">OGOUDINA Vianou Germain</t>
  </si>
  <si>
    <t xml:space="preserve">OLOUKOTOUN Parfait</t>
  </si>
  <si>
    <t xml:space="preserve">SEDAMI Sègbédji Bertrand</t>
  </si>
  <si>
    <t xml:space="preserve">SEDJRO Bonaventure Joël</t>
  </si>
  <si>
    <t xml:space="preserve">SEGNON Carlos Carmel G.</t>
  </si>
  <si>
    <t xml:space="preserve">TELLA Comlan Stanislas Odjoladé L.</t>
  </si>
  <si>
    <t xml:space="preserve">TOGUI-LOGUI Vladimira Chimène</t>
  </si>
  <si>
    <t xml:space="preserve">VIERA Mouléro Fidèl Cécil</t>
  </si>
  <si>
    <t xml:space="preserve">YEMADJRO Bruno Délanick</t>
  </si>
  <si>
    <t xml:space="preserve">ZATO Ramzi</t>
  </si>
  <si>
    <t xml:space="preserve">ZINZINDOHOUE Mahouwètin Tobi S.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</si>
  <si>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RURAL</t>
    </r>
  </si>
  <si>
    <t xml:space="preserve">AKPOVI Naégbé Méthode</t>
  </si>
  <si>
    <t xml:space="preserve">BASSAOU Ramanatou</t>
  </si>
  <si>
    <t xml:space="preserve">GANSA Marc</t>
  </si>
  <si>
    <t xml:space="preserve">HEKPAZO S7nan Richard</t>
  </si>
  <si>
    <t xml:space="preserve">HOUINSA Dossa Christian</t>
  </si>
  <si>
    <t xml:space="preserve">OROU BATTA M. Toukourou</t>
  </si>
  <si>
    <t xml:space="preserve">GANDOGO KPATINDE Kévin K.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</si>
  <si>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HYGIENE ET CONTRÔLE DE QUALITE DES DENREES ALIMENTAIRES</t>
    </r>
  </si>
  <si>
    <t xml:space="preserve">ADJOU Abraham Hervé T.</t>
  </si>
  <si>
    <t xml:space="preserve">AHOUISSOU Mesmin Maurille</t>
  </si>
  <si>
    <t xml:space="preserve">ALINGO TOHIO C. S.Bruce</t>
  </si>
  <si>
    <t xml:space="preserve">ATCHIA Kèlomè Estèlle</t>
  </si>
  <si>
    <t xml:space="preserve">ANAGO Jules. Coffi Nouwou</t>
  </si>
  <si>
    <t xml:space="preserve">BLAKA Ulrich Samuel</t>
  </si>
  <si>
    <t xml:space="preserve">BOUBAKAR Mêgnon Rolland R.</t>
  </si>
  <si>
    <t xml:space="preserve">DEGNON Ansavi</t>
  </si>
  <si>
    <t xml:space="preserve">FIOGBE Prudencio</t>
  </si>
  <si>
    <t xml:space="preserve">GBAGUIDI Prospère</t>
  </si>
  <si>
    <t xml:space="preserve">HOUNZINME Gbêtondji Edmond</t>
  </si>
  <si>
    <t xml:space="preserve">HOUNMONDJI Djahou Elie</t>
  </si>
  <si>
    <t xml:space="preserve">HOUNKANLIN Achille C. O.</t>
  </si>
  <si>
    <t xml:space="preserve">IDRISSOU Sakinatou</t>
  </si>
  <si>
    <t xml:space="preserve">KOUKOU Missinwa</t>
  </si>
  <si>
    <t xml:space="preserve">LAWIN Eustache Pierre R. A.</t>
  </si>
  <si>
    <t xml:space="preserve">NOUNAGNON F. Gilles Ernest</t>
  </si>
  <si>
    <t xml:space="preserve">MAHOUNON Véronique Avotchékpo L.</t>
  </si>
  <si>
    <t xml:space="preserve">PLOGOUN Crépine</t>
  </si>
  <si>
    <t xml:space="preserve">SAGBO Akomabou Sylvestre</t>
  </si>
  <si>
    <t xml:space="preserve">SEWADE Alex</t>
  </si>
  <si>
    <t xml:space="preserve">SIMBIA Lucie N'Koua</t>
  </si>
  <si>
    <t xml:space="preserve">SEKPON Selligbena Patricia N.</t>
  </si>
  <si>
    <t xml:space="preserve">SAYO ISSA Tamala</t>
  </si>
  <si>
    <t xml:space="preserve">SOSSOU Alowamon Pélagie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</si>
  <si>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 BIOMEDICALE</t>
    </r>
  </si>
  <si>
    <t xml:space="preserve">ABATTY Estelle Ida</t>
  </si>
  <si>
    <t xml:space="preserve">ADELAKOUN Chegun Honoré</t>
  </si>
  <si>
    <t xml:space="preserve">ADIMI Nadine Yéba</t>
  </si>
  <si>
    <t xml:space="preserve">ADJIDOWE Sourou Firmin</t>
  </si>
  <si>
    <t xml:space="preserve">ADJOVI Christiane Raymonde</t>
  </si>
  <si>
    <t xml:space="preserve">ADOGBO-MEDAGBE Sèdami F.H. Luc</t>
  </si>
  <si>
    <t xml:space="preserve">AGBANGNANOU Y. D. Ulrich</t>
  </si>
  <si>
    <t xml:space="preserve">AGUIDISSOU Armel Edgar Koffi</t>
  </si>
  <si>
    <t xml:space="preserve">AHOLOUKPE Huguette Houéfa Irène</t>
  </si>
  <si>
    <t xml:space="preserve">AKIBOU Maroufou Irénée</t>
  </si>
  <si>
    <t xml:space="preserve">AKPODE Sèmèvo Benoît</t>
  </si>
  <si>
    <t xml:space="preserve">ALLODOHOUNDE Bernard</t>
  </si>
  <si>
    <t xml:space="preserve">AMAVI ANOUVI Pelula Firmine</t>
  </si>
  <si>
    <t xml:space="preserve">APOVO Zinsou Jean Hervé</t>
  </si>
  <si>
    <t xml:space="preserve">ARAYE Okpè Abadjayé Evelyne</t>
  </si>
  <si>
    <t xml:space="preserve">AREKPA Karamatou</t>
  </si>
  <si>
    <t xml:space="preserve">ASSANI Saïdath</t>
  </si>
  <si>
    <t xml:space="preserve">ASSOGBA Bessan Jean</t>
  </si>
  <si>
    <t xml:space="preserve">ASSOGBA Monlou Claudine</t>
  </si>
  <si>
    <t xml:space="preserve">ATANHLOUETO Bricette Ayaba</t>
  </si>
  <si>
    <t xml:space="preserve">AGNILA Soumaïla</t>
  </si>
  <si>
    <t xml:space="preserve">ALLABI Sessi Rachel Yolande</t>
  </si>
  <si>
    <t xml:space="preserve">ADOHOUNBLESSI Bastide</t>
  </si>
  <si>
    <t xml:space="preserve">AHOGNI Gustave</t>
  </si>
  <si>
    <t xml:space="preserve">BIAOU Chabi Hidonni David</t>
  </si>
  <si>
    <t xml:space="preserve">BIO YERIMA Kora</t>
  </si>
  <si>
    <t xml:space="preserve">BOTON Rolland Harold Elias D.</t>
  </si>
  <si>
    <t xml:space="preserve">BANCOLE Makandjou-Ola E. Marie-N.</t>
  </si>
  <si>
    <t xml:space="preserve">BOLEAN Sourou Thierry</t>
  </si>
  <si>
    <t xml:space="preserve">BADAROU Fataî Djidjoho</t>
  </si>
  <si>
    <t xml:space="preserve">CAPO-CHICHI Florentin César</t>
  </si>
  <si>
    <t xml:space="preserve">CHADARE Augias Olougbemi</t>
  </si>
  <si>
    <t xml:space="preserve">CHOGOLOU Cyriaque</t>
  </si>
  <si>
    <t xml:space="preserve">DAGBA Angèle</t>
  </si>
  <si>
    <t xml:space="preserve">DAGBA Afifonsi Roselyne Liliane</t>
  </si>
  <si>
    <t xml:space="preserve">DAGBA Gabin</t>
  </si>
  <si>
    <t xml:space="preserve">DANVI Ogoudegnon Jacques</t>
  </si>
  <si>
    <t xml:space="preserve">DEFFODJI Winaconhan Casimir</t>
  </si>
  <si>
    <t xml:space="preserve">DOFONSOUHOU Toundé Florent</t>
  </si>
  <si>
    <t xml:space="preserve">DOFONWAKOU Yénalin Marcelin</t>
  </si>
  <si>
    <t xml:space="preserve">DOSSOU-TOGBE John-Ross</t>
  </si>
  <si>
    <t xml:space="preserve">DA ZOCLANCLOUNON Honoré</t>
  </si>
  <si>
    <t xml:space="preserve">ESSOUN Oyéwolé Wassi</t>
  </si>
  <si>
    <t xml:space="preserve">EZIN Wilfried</t>
  </si>
  <si>
    <t xml:space="preserve">FAMBO Machel</t>
  </si>
  <si>
    <t xml:space="preserve">FAYALO Comlan Gilbert</t>
  </si>
  <si>
    <t xml:space="preserve">FANDOHAN Antoine</t>
  </si>
  <si>
    <t xml:space="preserve">FATOUMBI Lorette Saîda M.</t>
  </si>
  <si>
    <t xml:space="preserve">GAUTHO CLAUDINE Hermine A.</t>
  </si>
  <si>
    <t xml:space="preserve">GBETOLPANOU Jean-Baptiste R.</t>
  </si>
  <si>
    <t xml:space="preserve">GLITHO Vissoutogni Laurent Thierry</t>
  </si>
  <si>
    <t xml:space="preserve">GNINOU Nicaise</t>
  </si>
  <si>
    <t xml:space="preserve">GNONLONFIN DOHOU Wilfried M.</t>
  </si>
  <si>
    <t xml:space="preserve">GNONHOUE Clorinde</t>
  </si>
  <si>
    <t xml:space="preserve">GOUSSI Mariette</t>
  </si>
  <si>
    <t xml:space="preserve">HOUNDAYI Sylvie Enagnon</t>
  </si>
  <si>
    <t xml:space="preserve">HOUNKPONOU Sègla Raoul R.</t>
  </si>
  <si>
    <t xml:space="preserve">HAMIDOU Yaya Koladé</t>
  </si>
  <si>
    <t xml:space="preserve">HOUNKANRIN Y. Hombéline</t>
  </si>
  <si>
    <t xml:space="preserve">KAGBO Cosme</t>
  </si>
  <si>
    <t xml:space="preserve">KANGBETO Clotaire Clovis Claude</t>
  </si>
  <si>
    <t xml:space="preserve">KIKISSAGBE Wanvêmi Honorine</t>
  </si>
  <si>
    <t xml:space="preserve">KIOSSOU Romaric</t>
  </si>
  <si>
    <t xml:space="preserve">KOTTO Sonagnon Augustin A.</t>
  </si>
  <si>
    <t xml:space="preserve">KOUASSI Melkior Yaovi</t>
  </si>
  <si>
    <t xml:space="preserve">KPEKOU Tossou Cyriaque</t>
  </si>
  <si>
    <t xml:space="preserve">KPODJEDO Yéhomè Jeanne</t>
  </si>
  <si>
    <t xml:space="preserve">KPOZE Rodrigue Justin Sètchégbé</t>
  </si>
  <si>
    <t xml:space="preserve">LANIKPEKOUN Nafiou-Olakou Désiré</t>
  </si>
  <si>
    <t xml:space="preserve">LOUMEDJINON Frank</t>
  </si>
  <si>
    <t xml:space="preserve">LANTEYI G. S. Michel</t>
  </si>
  <si>
    <t xml:space="preserve">MAHINOU Cossi Eliace</t>
  </si>
  <si>
    <t xml:space="preserve">MAKPONSE Afiavi Houénafa Esther O.</t>
  </si>
  <si>
    <t xml:space="preserve">MALENOU Dieu-donné</t>
  </si>
  <si>
    <t xml:space="preserve">MEVODJO Pascaline Akovognon</t>
  </si>
  <si>
    <t xml:space="preserve">MONTEIRO Amamath Aïda</t>
  </si>
  <si>
    <t xml:space="preserve">NATABOU Olandé Christiane</t>
  </si>
  <si>
    <t xml:space="preserve">NOUAGOVI Marcellin H. Dieudonné</t>
  </si>
  <si>
    <t xml:space="preserve">OGOUMOUIWA Innocent</t>
  </si>
  <si>
    <t xml:space="preserve">OLADIKPO Bella Honorine Titibla</t>
  </si>
  <si>
    <t xml:space="preserve">ODO Yaba Charlotte</t>
  </si>
  <si>
    <t xml:space="preserve">OKE Alfred Juste</t>
  </si>
  <si>
    <t xml:space="preserve">OSSENI Mombereola Taliatou</t>
  </si>
  <si>
    <t xml:space="preserve">PARAÏSO Abdou Raïmi Alladé</t>
  </si>
  <si>
    <t xml:space="preserve">QUENUM Sèdjro Ella Gildas</t>
  </si>
  <si>
    <t xml:space="preserve">SALISSOU Ali Faroundine</t>
  </si>
  <si>
    <t xml:space="preserve">SAOSSI Dèhouégnon Paul</t>
  </si>
  <si>
    <t xml:space="preserve">SIANOU Houénagnon Antoine</t>
  </si>
  <si>
    <t xml:space="preserve">SOMAKPO Félicienne</t>
  </si>
  <si>
    <t xml:space="preserve">SOUKPO Dossou Jean-Marie</t>
  </si>
  <si>
    <t xml:space="preserve">SABI CISSE F. Séîdou</t>
  </si>
  <si>
    <t xml:space="preserve">TOKPANOU Médard Nounagnon</t>
  </si>
  <si>
    <t xml:space="preserve">TOLLO Pulcherie Claire</t>
  </si>
  <si>
    <t xml:space="preserve">TOKPO W. Nicephore</t>
  </si>
  <si>
    <t xml:space="preserve">TCHINCOUN Ayawovi</t>
  </si>
  <si>
    <t xml:space="preserve">WOROU OLOU Frédéric</t>
  </si>
  <si>
    <t xml:space="preserve">YESSOUFOU Aziz Akanni</t>
  </si>
  <si>
    <t xml:space="preserve">ZODOME Pélagie</t>
  </si>
  <si>
    <t xml:space="preserve">ZOHOU Bruno</t>
  </si>
  <si>
    <t xml:space="preserve">ENIANLOKO Yaya Delphine</t>
  </si>
  <si>
    <t xml:space="preserve">GERARD NANA Aïchatou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</si>
  <si>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ANIMALE</t>
    </r>
  </si>
  <si>
    <t xml:space="preserve">ABDOULAYE Rashidi</t>
  </si>
  <si>
    <t xml:space="preserve">AMOUSSA Madinatou Dohonou</t>
  </si>
  <si>
    <t xml:space="preserve">AYINON Sètondé Mireille</t>
  </si>
  <si>
    <t xml:space="preserve">CHITOU NAFIOU Nadjimou</t>
  </si>
  <si>
    <t xml:space="preserve">DAFIA-YAROU gounou Zimé H.</t>
  </si>
  <si>
    <t xml:space="preserve">ELECHO Abibola Abdoul Raïmy</t>
  </si>
  <si>
    <t xml:space="preserve">ENOUHERAN Mondoukpè Hermionne</t>
  </si>
  <si>
    <t xml:space="preserve">KODJA Mirtha</t>
  </si>
  <si>
    <t xml:space="preserve">MIGAN Marizouk Arèmou</t>
  </si>
  <si>
    <t xml:space="preserve">TOHOUN Cossi Hervé Marc</t>
  </si>
  <si>
    <t xml:space="preserve">KOUAKANOU Donaldo Beaugelais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</si>
  <si>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</si>
  <si>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ADJAHINI Abliba Arsène Fiacre</t>
  </si>
  <si>
    <t xml:space="preserve">ADJOKANNOU Quentin Koffi</t>
  </si>
  <si>
    <t xml:space="preserve">AFOUDA Malé Charles</t>
  </si>
  <si>
    <t xml:space="preserve">AHOLOU Tankpinou Sèna Victoire</t>
  </si>
  <si>
    <t xml:space="preserve">AHOUANADI Dètondji Olivier</t>
  </si>
  <si>
    <t xml:space="preserve">AKABASSI-TOGAN Mêtognon A.</t>
  </si>
  <si>
    <t xml:space="preserve">ASSOGBA Dèdènou Tindo Prudencio</t>
  </si>
  <si>
    <t xml:space="preserve">AKAMBI A. Chakour B.</t>
  </si>
  <si>
    <t xml:space="preserve">DANHAZOUN Sètondji Euloge</t>
  </si>
  <si>
    <t xml:space="preserve">DETONDJI Yémonho Midoché</t>
  </si>
  <si>
    <t xml:space="preserve">DJESSOU Djima Randal</t>
  </si>
  <si>
    <t xml:space="preserve">DOSSOU Akouègnikan Fabrice</t>
  </si>
  <si>
    <t xml:space="preserve">DOSSOU Dénis Ogouchinan</t>
  </si>
  <si>
    <t xml:space="preserve">FAGLA MEDEGAN Bignon</t>
  </si>
  <si>
    <t xml:space="preserve">FIOGBE Epiphane</t>
  </si>
  <si>
    <t xml:space="preserve">FOLLY Houéssou Félix</t>
  </si>
  <si>
    <t xml:space="preserve">HOUNWANOU Yélian Fernand</t>
  </si>
  <si>
    <t xml:space="preserve">KAKPO Gildas</t>
  </si>
  <si>
    <t xml:space="preserve">KOKOUVI AYI Bertrand Modeste O.</t>
  </si>
  <si>
    <t xml:space="preserve">KPAKPA SOGLO Gratien H.</t>
  </si>
  <si>
    <t xml:space="preserve">KPELOUSSI Olivier</t>
  </si>
  <si>
    <t xml:space="preserve">LANI-YONOU O. Robert Saurel</t>
  </si>
  <si>
    <t xml:space="preserve">LEKOYO M. Hippolyte</t>
  </si>
  <si>
    <t xml:space="preserve">MIVEDE Houégninou Olivier</t>
  </si>
  <si>
    <t xml:space="preserve">NOUHOTO Félix</t>
  </si>
  <si>
    <t xml:space="preserve">SOUNKOUA Albert</t>
  </si>
  <si>
    <t xml:space="preserve">WOROU Bibi Kayodé Franck</t>
  </si>
  <si>
    <t xml:space="preserve">VIVENAGBO Landry Cokou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</si>
  <si>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MECANIQUE ET PRODUCTIQUE</t>
    </r>
  </si>
  <si>
    <t xml:space="preserve">ADANGUEDE F. Zinsou Damien</t>
  </si>
  <si>
    <t xml:space="preserve">ADANKON Milogbo Gérard</t>
  </si>
  <si>
    <t xml:space="preserve">AHOUANSOU Yonhossou N. Dénis</t>
  </si>
  <si>
    <t xml:space="preserve">GNANHOUI Richard Romaric</t>
  </si>
  <si>
    <t xml:space="preserve">HOUNSINOU M. Vera-Cruz  Whiliace</t>
  </si>
  <si>
    <t xml:space="preserve">LONTCHEDJI Anselme Rodolphe</t>
  </si>
  <si>
    <t xml:space="preserve">2ème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</si>
  <si>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GESTION DE L'ENVIRONNEMENT</t>
    </r>
  </si>
  <si>
    <t xml:space="preserve">NOM ET PRENOMS</t>
  </si>
  <si>
    <t xml:space="preserve">ABEL  SERIKI Yaî Dick Georges</t>
  </si>
  <si>
    <t xml:space="preserve">ADEOSSI Job</t>
  </si>
  <si>
    <t xml:space="preserve">AGBENGA Gbinsa Moussa</t>
  </si>
  <si>
    <t xml:space="preserve">AHOUANGAN Montcho Raoul</t>
  </si>
  <si>
    <t xml:space="preserve">ALIHOU - ABOU Ibrahim</t>
  </si>
  <si>
    <t xml:space="preserve">AMADOU SANNI Alidou</t>
  </si>
  <si>
    <t xml:space="preserve">AMOUKPO Placide</t>
  </si>
  <si>
    <t xml:space="preserve">ASSANI Abodounrin Roger Ayouba</t>
  </si>
  <si>
    <t xml:space="preserve">ATANNON Arnaud Dieudonné Sonagnon</t>
  </si>
  <si>
    <t xml:space="preserve">AVOHA Honoré</t>
  </si>
  <si>
    <t xml:space="preserve">BIO ADAM Dado Souaîba</t>
  </si>
  <si>
    <t xml:space="preserve">BONSE Abdel - Aziz</t>
  </si>
  <si>
    <t xml:space="preserve">CAKPO Alfred Jeannot Codjo</t>
  </si>
  <si>
    <t xml:space="preserve">DEGUENONVO Fréjust Ulrich Yélian M.</t>
  </si>
  <si>
    <t xml:space="preserve">DOSSOU Manassé</t>
  </si>
  <si>
    <t xml:space="preserve">GANZO Coovi Fabrice</t>
  </si>
  <si>
    <t xml:space="preserve">HOUNDEGLA Sètchémè Anges A.</t>
  </si>
  <si>
    <t xml:space="preserve">HOUNGBO Laz</t>
  </si>
  <si>
    <t xml:space="preserve">KINIGBE Charles Galbert</t>
  </si>
  <si>
    <t xml:space="preserve">KOUMASSA Akogbé Lauriano M. K.</t>
  </si>
  <si>
    <t xml:space="preserve">LAFIA Faîçal</t>
  </si>
  <si>
    <t xml:space="preserve">METO Cocou Frédéric</t>
  </si>
  <si>
    <t xml:space="preserve">SAKA SEIDOU Sayouti</t>
  </si>
  <si>
    <t xml:space="preserve">SEHONOU Aimé</t>
  </si>
  <si>
    <t xml:space="preserve">SERO Abdel - Fadel</t>
  </si>
  <si>
    <t xml:space="preserve">SOULE BONI Adidjatou</t>
  </si>
  <si>
    <t xml:space="preserve">TIDJANI Aboubakar</t>
  </si>
  <si>
    <t xml:space="preserve">YAYI Djangbo Rodrigue William</t>
  </si>
  <si>
    <t xml:space="preserve">3ème Année</t>
  </si>
  <si>
    <t xml:space="preserve">ADEDODJA Adéchinan Prudence</t>
  </si>
  <si>
    <t xml:space="preserve">AGBASSOU Coffi Dominique</t>
  </si>
  <si>
    <t xml:space="preserve">AÏCHEOU Yénanzé Pascal</t>
  </si>
  <si>
    <t xml:space="preserve">AKAKPOVI Agossou Jacques</t>
  </si>
  <si>
    <t xml:space="preserve">AGLINGO Comlan Cyriaque</t>
  </si>
  <si>
    <t xml:space="preserve">ALLOGNON Boniface</t>
  </si>
  <si>
    <t xml:space="preserve">ALLOHOUTADE Kinhodé Paul</t>
  </si>
  <si>
    <t xml:space="preserve">ARIGBO Ellé Raoul</t>
  </si>
  <si>
    <t xml:space="preserve">ARRE Hubert</t>
  </si>
  <si>
    <t xml:space="preserve">AZIAGLO Renoeud Arcadius</t>
  </si>
  <si>
    <t xml:space="preserve">BANI SAMARI Amadou</t>
  </si>
  <si>
    <t xml:space="preserve">BIAOU Joseph Yves</t>
  </si>
  <si>
    <t xml:space="preserve">DAKE Victor</t>
  </si>
  <si>
    <t xml:space="preserve">DANSOU Tanlodjou Antonin</t>
  </si>
  <si>
    <t xml:space="preserve">DEGUENON  Eder Segla</t>
  </si>
  <si>
    <t xml:space="preserve">ENDEMI MORAT  Rockayatou</t>
  </si>
  <si>
    <t xml:space="preserve">HESSOU Coffi Albert</t>
  </si>
  <si>
    <t xml:space="preserve">IBRAHIMA Moustafa</t>
  </si>
  <si>
    <t xml:space="preserve">ISSA Alassane</t>
  </si>
  <si>
    <t xml:space="preserve">KEKE Mahudo Marcel</t>
  </si>
  <si>
    <t xml:space="preserve">KOLANI NAMBIMA Archille</t>
  </si>
  <si>
    <t xml:space="preserve">LOMPO Sanni</t>
  </si>
  <si>
    <t xml:space="preserve">LEGBAGAH Houétchékpo Sèna</t>
  </si>
  <si>
    <t xml:space="preserve">MALENOU Nestor</t>
  </si>
  <si>
    <t xml:space="preserve">MEDEHOU Vigninou Gérard Mechelga</t>
  </si>
  <si>
    <t xml:space="preserve">MEGNIKPA  Frésus Sonagnon Lionel</t>
  </si>
  <si>
    <t xml:space="preserve">MIKINHOUESSE N. Henri-Joël</t>
  </si>
  <si>
    <t xml:space="preserve">OBOSSOU Agniwo Eugene</t>
  </si>
  <si>
    <t xml:space="preserve">OKE Cella Mireille</t>
  </si>
  <si>
    <t xml:space="preserve">SAWE Aboudou Wassiou</t>
  </si>
  <si>
    <t xml:space="preserve">YAOVI Enagnon Arsene Euloge</t>
  </si>
  <si>
    <t xml:space="preserve">ZOBLIKPO Missihoun Romuald</t>
  </si>
  <si>
    <t xml:space="preserve">ZODIBLA Raymond</t>
  </si>
  <si>
    <t xml:space="preserve">AMLI Anselme</t>
  </si>
  <si>
    <t xml:space="preserve">ABD</t>
  </si>
  <si>
    <t xml:space="preserve">ZENONTIN H Franck  S</t>
  </si>
  <si>
    <t xml:space="preserve">4ème Année</t>
  </si>
  <si>
    <t xml:space="preserve">ADJAGBESSI V. Gildas</t>
  </si>
  <si>
    <t xml:space="preserve">AGONTINGLO Romario Rodriguez</t>
  </si>
  <si>
    <t xml:space="preserve">AGUESSY Alitondji Marius</t>
  </si>
  <si>
    <t xml:space="preserve">ALAGBE Abdou - Karim</t>
  </si>
  <si>
    <t xml:space="preserve">ALLAGBE Alimi Yao</t>
  </si>
  <si>
    <t xml:space="preserve">ALLOGNON Olivier</t>
  </si>
  <si>
    <t xml:space="preserve">AOGOU AROUNA Soulémane</t>
  </si>
  <si>
    <t xml:space="preserve">ASSOUKOU Patrice</t>
  </si>
  <si>
    <t xml:space="preserve">ASSOUMA GOBOUNA Orou mako</t>
  </si>
  <si>
    <t xml:space="preserve">ATCHI Abel</t>
  </si>
  <si>
    <t xml:space="preserve">ATEMBA Emmanuel R. Dona</t>
  </si>
  <si>
    <t xml:space="preserve">BOSSOU Gbènakpon François</t>
  </si>
  <si>
    <t xml:space="preserve">DAGBETO Nestor</t>
  </si>
  <si>
    <t xml:space="preserve">DANSI Fanou Mathias</t>
  </si>
  <si>
    <t xml:space="preserve">FAGLA Dominique</t>
  </si>
  <si>
    <t xml:space="preserve">FOLLY Cocou Maurice</t>
  </si>
  <si>
    <t xml:space="preserve">IDRISSOU Traoré Issa</t>
  </si>
  <si>
    <t xml:space="preserve">KARIMOU IBRAHIMA Nassirou B.</t>
  </si>
  <si>
    <t xml:space="preserve">KIATTI Pinda Boniface</t>
  </si>
  <si>
    <t xml:space="preserve">KINSA IDANI Basile Kodjo</t>
  </si>
  <si>
    <t xml:space="preserve">KOUMASSEGBO G. B. Brice</t>
  </si>
  <si>
    <t xml:space="preserve">KPADONOU Kuessiba Justine Carine</t>
  </si>
  <si>
    <t xml:space="preserve">MAFFON Assouan Constantin</t>
  </si>
  <si>
    <t xml:space="preserve">MIKINHOUESSE N. Henri - Joêl</t>
  </si>
  <si>
    <t xml:space="preserve">MOUHAMAN ISSAKA Bouhari</t>
  </si>
  <si>
    <t xml:space="preserve">NAHOU G. Hervé Constantin</t>
  </si>
  <si>
    <t xml:space="preserve">NOANTI D. BOULALI Hamidou</t>
  </si>
  <si>
    <t xml:space="preserve">NOUMAYI Adjimon Thiéry</t>
  </si>
  <si>
    <t xml:space="preserve">OKOUIDJO Obossi Octavie Virginie</t>
  </si>
  <si>
    <t xml:space="preserve">OMONYELE Anne - Marie</t>
  </si>
  <si>
    <t xml:space="preserve">OUOROU YERIMA S. Félix</t>
  </si>
  <si>
    <t xml:space="preserve">RAOUFOU Abdul Koudous Achamou</t>
  </si>
  <si>
    <t xml:space="preserve">SENA TIBOTARA Alvère Sidonie</t>
  </si>
  <si>
    <t xml:space="preserve">TCHOUMADO Alphonse</t>
  </si>
  <si>
    <t xml:space="preserve">TOSSA Ruphin</t>
  </si>
  <si>
    <t xml:space="preserve">TOSSOU Etienne</t>
  </si>
  <si>
    <t xml:space="preserve">YAROU Aîssétou</t>
  </si>
  <si>
    <t xml:space="preserve">ZANNOU Carles Nouéssèwa Yémalin</t>
  </si>
  <si>
    <t xml:space="preserve">ZIME CESSI Koto</t>
  </si>
  <si>
    <t xml:space="preserve">                                                                                                                                                               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</si>
  <si>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</si>
  <si>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ADANLAO Marthe</t>
  </si>
  <si>
    <t xml:space="preserve">ADJAOKE Laïfola Bonaventure</t>
  </si>
  <si>
    <t xml:space="preserve">AGBADJI Fidèle</t>
  </si>
  <si>
    <t xml:space="preserve">AGBESSI Dossou Bertrand</t>
  </si>
  <si>
    <t xml:space="preserve">AGNONDO TOSSA Mèmèvègni jérémie</t>
  </si>
  <si>
    <t xml:space="preserve">AGUENOU Gilles</t>
  </si>
  <si>
    <t xml:space="preserve">AHOUANSE Mèvognon Marcel</t>
  </si>
  <si>
    <t xml:space="preserve">ALFA MAMA Mouhibatou</t>
  </si>
  <si>
    <t xml:space="preserve">ASSOU Amètognonnou Claude Martin</t>
  </si>
  <si>
    <t xml:space="preserve">BADOU Parfait</t>
  </si>
  <si>
    <t xml:space="preserve">BANDIRI Orou Gani Darius</t>
  </si>
  <si>
    <t xml:space="preserve">BEKOU Ironou Romuald</t>
  </si>
  <si>
    <t xml:space="preserve">BISSIRIOU Bassitou Olatoundji A.</t>
  </si>
  <si>
    <t xml:space="preserve">BOUKARI SEIDOU Samoussiyatou</t>
  </si>
  <si>
    <t xml:space="preserve">DANSOU Abdel Bachirou</t>
  </si>
  <si>
    <t xml:space="preserve">DESSOUASSI Amétépé Gloria Gilbert</t>
  </si>
  <si>
    <t xml:space="preserve">DRAMANE Azimou</t>
  </si>
  <si>
    <t xml:space="preserve">GAHOUE MOUMOUNI Moudjibou</t>
  </si>
  <si>
    <t xml:space="preserve">GNAN BAMOI Emmanuel</t>
  </si>
  <si>
    <t xml:space="preserve">HOUNKPE Arnaud Ghislain Mahussi</t>
  </si>
  <si>
    <t xml:space="preserve">KANOUSSOU Malossé Léonel</t>
  </si>
  <si>
    <t xml:space="preserve">KIAROU Pascal</t>
  </si>
  <si>
    <t xml:space="preserve">KINDJINOU Sessinou Rollant</t>
  </si>
  <si>
    <t xml:space="preserve">KORA YOROU Doué</t>
  </si>
  <si>
    <t xml:space="preserve">lokossou Edjrossè Gladys</t>
  </si>
  <si>
    <t xml:space="preserve">MEDJOGBE Fidèle Chimène</t>
  </si>
  <si>
    <t xml:space="preserve">MIKPON Yessito Blandine</t>
  </si>
  <si>
    <t xml:space="preserve">MOUTOUAMA Dorcasse Yébokô</t>
  </si>
  <si>
    <t xml:space="preserve">OUSMANE IBRAHIMA Souléîmane</t>
  </si>
  <si>
    <t xml:space="preserve">SALAMI Latifou</t>
  </si>
  <si>
    <t xml:space="preserve">SOMASSE Mèlonou Eli Rodrigue</t>
  </si>
  <si>
    <t xml:space="preserve">TENGUE Daniel Djidjoho</t>
  </si>
  <si>
    <t xml:space="preserve">ABALO Kouassi José Vivan</t>
  </si>
  <si>
    <t xml:space="preserve">ADANDONON AGBETO Victorin</t>
  </si>
  <si>
    <t xml:space="preserve">ADIMI Oladouni Gédéon</t>
  </si>
  <si>
    <t xml:space="preserve">ADJOVI Abrove Myriel Dorodès</t>
  </si>
  <si>
    <t xml:space="preserve">ALLOGNI Patrice Stéphane</t>
  </si>
  <si>
    <t xml:space="preserve">ATCHOHOUNDO Bernard</t>
  </si>
  <si>
    <t xml:space="preserve">BAH BOCCO GOUSSEYO Abdel Aziz</t>
  </si>
  <si>
    <t xml:space="preserve">BAKARY Ludwig Faîçal Bakiye</t>
  </si>
  <si>
    <t xml:space="preserve">BIAO Ayowolé Akossiwa Bénédicta</t>
  </si>
  <si>
    <t xml:space="preserve">CHAFFA Adénikè Honorine</t>
  </si>
  <si>
    <t xml:space="preserve">DAGBETO Dossa Samuel</t>
  </si>
  <si>
    <t xml:space="preserve">DANGOU  Haziz</t>
  </si>
  <si>
    <t xml:space="preserve">DANNON Finagnon Oscar</t>
  </si>
  <si>
    <t xml:space="preserve">DJIKPESSE Cossi Raoul Wilfrid</t>
  </si>
  <si>
    <t xml:space="preserve">EDAH Frédéric</t>
  </si>
  <si>
    <t xml:space="preserve">EZIN Anne Marie</t>
  </si>
  <si>
    <t xml:space="preserve">GBEMAVO Z. Florent</t>
  </si>
  <si>
    <t xml:space="preserve">GBEMAVO Edouard</t>
  </si>
  <si>
    <t xml:space="preserve">GBEMENOU Elidja Tachégnon Romaric</t>
  </si>
  <si>
    <t xml:space="preserve">GUIDIGAN Casimir Olivier Dèfodji</t>
  </si>
  <si>
    <t xml:space="preserve">HADEKON Ascension Sèkloka </t>
  </si>
  <si>
    <t xml:space="preserve">KOTOLI Nadjahath Médégnonmi</t>
  </si>
  <si>
    <t xml:space="preserve">KOUAGOU Agnes</t>
  </si>
  <si>
    <t xml:space="preserve">KOUDJANGNIHOUE Judith</t>
  </si>
  <si>
    <t xml:space="preserve">MAYABA Biham Richard</t>
  </si>
  <si>
    <t xml:space="preserve">MOUMOUNI BELLO Magidou</t>
  </si>
  <si>
    <t xml:space="preserve">MOUSSA Salem</t>
  </si>
  <si>
    <t xml:space="preserve">MOUSSA Sanni Romain</t>
  </si>
  <si>
    <t xml:space="preserve">N'TCHA Kouagou Vivien</t>
  </si>
  <si>
    <t xml:space="preserve">NOUATIN B. Ménadèle Fréjus Raoul</t>
  </si>
  <si>
    <t xml:space="preserve">OUDO M. Raymond</t>
  </si>
  <si>
    <t xml:space="preserve">SABI DESSIGUI Gnon Gani</t>
  </si>
  <si>
    <t xml:space="preserve">SAKI Lapouassa Gauthier</t>
  </si>
  <si>
    <t xml:space="preserve">SALAMI OSSENI Soulé</t>
  </si>
  <si>
    <t xml:space="preserve">SEWANOU Jésuwamin Fifonsi Pascaline</t>
  </si>
  <si>
    <t xml:space="preserve">SIMBIA Cristophe Okpati</t>
  </si>
  <si>
    <t xml:space="preserve">MONTCHO Bignon Yvette Caroline</t>
  </si>
  <si>
    <t xml:space="preserve">WANTCHEKON M. Lucresse Innocencia</t>
  </si>
  <si>
    <t xml:space="preserve">SOULE Mohamadou</t>
  </si>
  <si>
    <t xml:space="preserve">ADEROMOU Adinane</t>
  </si>
  <si>
    <t xml:space="preserve">ADJAKALE Jean Eude Comlan</t>
  </si>
  <si>
    <t xml:space="preserve">AGOSSADOU Dègla Judicaël Arnaud</t>
  </si>
  <si>
    <t xml:space="preserve">AGOUNTCHEME Yédia Théodora</t>
  </si>
  <si>
    <t xml:space="preserve">AGUIAR fidèle Alexandre</t>
  </si>
  <si>
    <t xml:space="preserve">AHOMADIGANHOU MoÏse</t>
  </si>
  <si>
    <t xml:space="preserve">AKONDE MOUMOUNI Karim</t>
  </si>
  <si>
    <t xml:space="preserve">ALASSANE ABOUDOUL Al-Akim</t>
  </si>
  <si>
    <t xml:space="preserve">ALOKPON Jean Janvier</t>
  </si>
  <si>
    <t xml:space="preserve">DOSSOU A. D. Gildas</t>
  </si>
  <si>
    <t xml:space="preserve">FAYALO Kanhonou Mélaine Vartan </t>
  </si>
  <si>
    <t xml:space="preserve">GNAHOUI Codjo Sètondji Phébus A.</t>
  </si>
  <si>
    <t xml:space="preserve">HONFFO Gérard</t>
  </si>
  <si>
    <t xml:space="preserve">HOUESSINON Omer Mathieu</t>
  </si>
  <si>
    <t xml:space="preserve">HOUETCHEGNON Tognissè Alain</t>
  </si>
  <si>
    <t xml:space="preserve">HOUNKANRIN Jesutonwutu Prisca</t>
  </si>
  <si>
    <t xml:space="preserve">KARIMOU IBRAHIMA Amidou Bodah</t>
  </si>
  <si>
    <t xml:space="preserve">KOUMOI Tchilabalo Félix</t>
  </si>
  <si>
    <t xml:space="preserve">LEODE Essessi Pélagie</t>
  </si>
  <si>
    <t xml:space="preserve">LOBIYI Adédirant Narcisse</t>
  </si>
  <si>
    <t xml:space="preserve">SANNI DEMON Aouna Djafarou</t>
  </si>
  <si>
    <t xml:space="preserve">SOGBOSSI Kokou Calixte</t>
  </si>
  <si>
    <t xml:space="preserve">TEKA Isac</t>
  </si>
  <si>
    <t xml:space="preserve">TOSSOU Colette</t>
  </si>
  <si>
    <t xml:space="preserve">TRINNOU Messanh Etienne</t>
  </si>
  <si>
    <t xml:space="preserve">ZITTI Romain Clément Agossou</t>
  </si>
  <si>
    <t xml:space="preserve">HOUNDJO Moussa</t>
  </si>
  <si>
    <t xml:space="preserve">SEFANDE Joseph</t>
  </si>
  <si>
    <t xml:space="preserve">AHOUDOU Faissol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</si>
  <si>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</si>
  <si>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ACHIMI Massaoudou Fèmi</t>
  </si>
  <si>
    <t xml:space="preserve"> DANSI Paulin</t>
  </si>
  <si>
    <t xml:space="preserve">ADAM CHABI DARDAYE Nonsou</t>
  </si>
  <si>
    <t xml:space="preserve">ADITI Hinnoutondji Gaël</t>
  </si>
  <si>
    <t xml:space="preserve">ADJALALA Paul</t>
  </si>
  <si>
    <t xml:space="preserve">ADOHOU Kingson de Birakeim</t>
  </si>
  <si>
    <t xml:space="preserve">ADOKO Kami Renaud Magloire</t>
  </si>
  <si>
    <t xml:space="preserve">AGBOGNIHOUE Bidossessi Parfait</t>
  </si>
  <si>
    <t xml:space="preserve">AGLOSSI Expédie Esékiel</t>
  </si>
  <si>
    <t xml:space="preserve">AHOUANDJINOU Cossi Hervé</t>
  </si>
  <si>
    <t xml:space="preserve">AHOUEDOKE Olouwafèmi Emmanuel</t>
  </si>
  <si>
    <t xml:space="preserve">ALAVO Angelos Gérard</t>
  </si>
  <si>
    <t xml:space="preserve">ALLE Viannez Géraud Gabriel</t>
  </si>
  <si>
    <t xml:space="preserve">AZONNAWE Monhéloki Enaboua</t>
  </si>
  <si>
    <t xml:space="preserve">BAGRI Euloge Slim</t>
  </si>
  <si>
    <t xml:space="preserve">BIAOU Bienvenue Rodrigue Elavagnon</t>
  </si>
  <si>
    <t xml:space="preserve">BOCOVO Houénagnon Rodolphe</t>
  </si>
  <si>
    <t xml:space="preserve">BOUKARI Moussédou</t>
  </si>
  <si>
    <t xml:space="preserve">EFIO Comlan Eustache</t>
  </si>
  <si>
    <t xml:space="preserve">EZOUN Sunday</t>
  </si>
  <si>
    <t xml:space="preserve">GANSE Codjo Wenceslas</t>
  </si>
  <si>
    <t xml:space="preserve">GBAGUIDA Martin</t>
  </si>
  <si>
    <t xml:space="preserve">GOUASSANGNI Cohovi Hodonou Rémy</t>
  </si>
  <si>
    <t xml:space="preserve">GUEDOU Yélingnan Hifranc Oscar</t>
  </si>
  <si>
    <t xml:space="preserve">HADOMIHOU Sègnègnon Bienvenue</t>
  </si>
  <si>
    <t xml:space="preserve">HODONOU Agossou Arsène</t>
  </si>
  <si>
    <t xml:space="preserve">HOUESSOU ADINGBAN Théophile M.</t>
  </si>
  <si>
    <t xml:space="preserve">HOUNSINOU Babatoundé Lucien</t>
  </si>
  <si>
    <t xml:space="preserve">HOUNTO-ADA Ulrich William</t>
  </si>
  <si>
    <t xml:space="preserve">KEDE Amangbégnon Marc</t>
  </si>
  <si>
    <t xml:space="preserve">LIKPO Sènan Alphonse Herman</t>
  </si>
  <si>
    <t xml:space="preserve">N'PO T. N'DAH Antoine</t>
  </si>
  <si>
    <t xml:space="preserve">TCHADJA Essotinah Romaric</t>
  </si>
  <si>
    <t xml:space="preserve">TOSSOU Emile</t>
  </si>
  <si>
    <t xml:space="preserve">ADJAGBA Magloire</t>
  </si>
  <si>
    <t xml:space="preserve">ADJARO Malick</t>
  </si>
  <si>
    <t xml:space="preserve">ADJOKPO Armos</t>
  </si>
  <si>
    <t xml:space="preserve">AFIOME Aurel G. A</t>
  </si>
  <si>
    <t xml:space="preserve">AKOTCHEOU Sèwlan Peter Davy</t>
  </si>
  <si>
    <t xml:space="preserve">AKPATA Cyrille Fernand Adékanlé</t>
  </si>
  <si>
    <t xml:space="preserve">AMOUSSOU Sènakpon Jacob</t>
  </si>
  <si>
    <t xml:space="preserve">ASSANKPON Valery Tugdual Ernest</t>
  </si>
  <si>
    <t xml:space="preserve">ASSOGBA yves</t>
  </si>
  <si>
    <t xml:space="preserve">AGBESSI Fignanon Serge</t>
  </si>
  <si>
    <t xml:space="preserve">AGBOHOUTO Edmond F.</t>
  </si>
  <si>
    <t xml:space="preserve">AÏZEHOUN Julien</t>
  </si>
  <si>
    <t xml:space="preserve">AïNA Michel </t>
  </si>
  <si>
    <t xml:space="preserve">MAIRIE COT</t>
  </si>
  <si>
    <t xml:space="preserve">APITHY Serges</t>
  </si>
  <si>
    <t xml:space="preserve">BALLO Dominique</t>
  </si>
  <si>
    <t xml:space="preserve">CAKPO Antoine Raoul</t>
  </si>
  <si>
    <t xml:space="preserve">DANYIGBE Bruno</t>
  </si>
  <si>
    <t xml:space="preserve">DINANLON Henri</t>
  </si>
  <si>
    <t xml:space="preserve">DOSSOU A. Sèdjro Puril Guénolé</t>
  </si>
  <si>
    <t xml:space="preserve">DOSSOU Daniel</t>
  </si>
  <si>
    <t xml:space="preserve">FOLY Etienne Athanase</t>
  </si>
  <si>
    <t xml:space="preserve">FOLY Mesmin</t>
  </si>
  <si>
    <t xml:space="preserve">GBAGUIDI Hounyovi Jean</t>
  </si>
  <si>
    <t xml:space="preserve">GUEDEGBE Aurel Patrick</t>
  </si>
  <si>
    <t xml:space="preserve">GNANSOUNOU Finangnon Désiré</t>
  </si>
  <si>
    <t xml:space="preserve">GBAGUIDI T. Sostène</t>
  </si>
  <si>
    <t xml:space="preserve">HOUNNOU Kouessi Vincent Winseslas</t>
  </si>
  <si>
    <t xml:space="preserve">HOUNTONDJI TCHEGNON Armel A.</t>
  </si>
  <si>
    <t xml:space="preserve">HOUNTONON Ferdinand</t>
  </si>
  <si>
    <t xml:space="preserve">HOUNZANDJI Sègbégnon D.Charles B.</t>
  </si>
  <si>
    <t xml:space="preserve">KAKANAKOU Fernand</t>
  </si>
  <si>
    <t xml:space="preserve">KOUDJE Constant</t>
  </si>
  <si>
    <t xml:space="preserve">KPEDJO Métogbé Mahugon Aristide</t>
  </si>
  <si>
    <t xml:space="preserve">LOKONON Vignonce</t>
  </si>
  <si>
    <t xml:space="preserve">SOUMAILA Alilou Abdel K</t>
  </si>
  <si>
    <t xml:space="preserve">OROU BATA Florentine Ganni- Gado</t>
  </si>
  <si>
    <t xml:space="preserve">QUENUM Yves Arnaud</t>
  </si>
  <si>
    <t xml:space="preserve">SODJINOU Kuessi Nestor</t>
  </si>
  <si>
    <t xml:space="preserve">SOKEGBE Janvier Ulrich</t>
  </si>
  <si>
    <t xml:space="preserve">SOLAGNI Labi Tchèkpè Thierry</t>
  </si>
  <si>
    <t xml:space="preserve">TAMADAHO Sèhou Noé Ulrich</t>
  </si>
  <si>
    <t xml:space="preserve">VODOUNOU Emery Vignon</t>
  </si>
  <si>
    <t xml:space="preserve">YESSOUF Afis</t>
  </si>
  <si>
    <t xml:space="preserve">YATAKPO O. R. Comlan G.</t>
  </si>
  <si>
    <t xml:space="preserve">AGBOSSOU S. Rmuald D.</t>
  </si>
  <si>
    <t xml:space="preserve">ASSOGBA Téglo Augustin</t>
  </si>
  <si>
    <t xml:space="preserve">BANKOLE Justin</t>
  </si>
  <si>
    <t xml:space="preserve">BOKOSSA Dossou-coco Modeste</t>
  </si>
  <si>
    <t xml:space="preserve">CHABI A. Childéric A.</t>
  </si>
  <si>
    <t xml:space="preserve">CHABI SIME Chérif nourou Dine</t>
  </si>
  <si>
    <t xml:space="preserve">DJISSOU Ahissou Théophile</t>
  </si>
  <si>
    <t xml:space="preserve">DOHOU G. N. Augustino E.</t>
  </si>
  <si>
    <t xml:space="preserve">EZIN Nestor</t>
  </si>
  <si>
    <t xml:space="preserve">FABO Romaric Mahougnon</t>
  </si>
  <si>
    <t xml:space="preserve">GBADO Kokou Alexandre</t>
  </si>
  <si>
    <t xml:space="preserve">GNANGLE D. Hébert</t>
  </si>
  <si>
    <t xml:space="preserve">GODJI Arouna Ibrahim</t>
  </si>
  <si>
    <t xml:space="preserve">HOUEDANOU Codjo Jean l'Apôtre</t>
  </si>
  <si>
    <t xml:space="preserve">HOUNGUIA Z. M. Serge</t>
  </si>
  <si>
    <t xml:space="preserve">HOUNSA Ghislain</t>
  </si>
  <si>
    <t xml:space="preserve">IBRAHIM Salyou</t>
  </si>
  <si>
    <t xml:space="preserve">YACOUBOU Moucharaf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</si>
  <si>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ANIMALE</t>
    </r>
  </si>
  <si>
    <t xml:space="preserve">ADOUKONOU Codjo Roland Baudoun</t>
  </si>
  <si>
    <t xml:space="preserve">AGOSSOU Médéssè Augustin</t>
  </si>
  <si>
    <t xml:space="preserve"> ALLADAYE Victorin</t>
  </si>
  <si>
    <t xml:space="preserve">ASSANI Farid Kolawolé</t>
  </si>
  <si>
    <t xml:space="preserve">BORO SOULE Aliou</t>
  </si>
  <si>
    <t xml:space="preserve">BOURAI José Antonio</t>
  </si>
  <si>
    <t xml:space="preserve">GBAGUIDI Vinadon Posidius</t>
  </si>
  <si>
    <t xml:space="preserve">GOUNOU LAFIA Kora Boniface</t>
  </si>
  <si>
    <t xml:space="preserve">GONGUE Abou</t>
  </si>
  <si>
    <t xml:space="preserve">HOUMBADE Comlan Emmanuel</t>
  </si>
  <si>
    <t xml:space="preserve">HOUNKPATIN Faustin Comlan</t>
  </si>
  <si>
    <t xml:space="preserve">MEDEGAN Mêtchédé Christian B.</t>
  </si>
  <si>
    <t xml:space="preserve">MONRA Séïdou</t>
  </si>
  <si>
    <t xml:space="preserve">SAGBOHAN E. H. Oméga ei Sadate</t>
  </si>
  <si>
    <t xml:space="preserve">SOGLOHOUN Pascal Yaovi</t>
  </si>
  <si>
    <t xml:space="preserve">YABI Oyédégbin Moïse</t>
  </si>
  <si>
    <t xml:space="preserve">YEHOUENOU Sèdjro Joseph</t>
  </si>
  <si>
    <t xml:space="preserve">ADJAHOUHOUE Cyriaque</t>
  </si>
  <si>
    <t xml:space="preserve">AGBODJANTO Jean</t>
  </si>
  <si>
    <t xml:space="preserve">AGBODO Michel</t>
  </si>
  <si>
    <t xml:space="preserve">ALLAVO Christelle Arnaude</t>
  </si>
  <si>
    <t xml:space="preserve">AMAVI Adakou Gratienne Viviane</t>
  </si>
  <si>
    <t xml:space="preserve">AMINOU Maziath Françoise</t>
  </si>
  <si>
    <t xml:space="preserve">BOGNINOU Gilles</t>
  </si>
  <si>
    <t xml:space="preserve">BOTON Dohèto Christian</t>
  </si>
  <si>
    <t xml:space="preserve">HOUNTONDJI Codjo Ignace</t>
  </si>
  <si>
    <t xml:space="preserve">KANTY Asséréhou Roland Bienvenu</t>
  </si>
  <si>
    <t xml:space="preserve">KASSA Tongambori Jérôme</t>
  </si>
  <si>
    <t xml:space="preserve">KOUMAGNON Lamidi</t>
  </si>
  <si>
    <t xml:space="preserve">LOVENOU Alphonsine</t>
  </si>
  <si>
    <t xml:space="preserve">GE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</si>
  <si>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ELECTRIQUE</t>
    </r>
  </si>
  <si>
    <t xml:space="preserve">ADIKPETO Kocou Luc</t>
  </si>
  <si>
    <t xml:space="preserve">ADIKPETO Cossi Crespin Basilie</t>
  </si>
  <si>
    <t xml:space="preserve">AFFOUKOU Ayéwa Morel</t>
  </si>
  <si>
    <t xml:space="preserve">AHOSSOUHE Zaïki Wilfrid Mètotongi</t>
  </si>
  <si>
    <t xml:space="preserve">AMAYO Yémalin Finagnon Patrice</t>
  </si>
  <si>
    <t xml:space="preserve">APOVO Affodoté Lionnel Patrick</t>
  </si>
  <si>
    <t xml:space="preserve">ATTISSO Koffi Mawuli</t>
  </si>
  <si>
    <t xml:space="preserve">AÏZANNON François</t>
  </si>
  <si>
    <t xml:space="preserve">CHANCOUIN Romaric Souin Sèdjro N.</t>
  </si>
  <si>
    <t xml:space="preserve">COMLAN Ayao Christian</t>
  </si>
  <si>
    <t xml:space="preserve">D'OLIVEIRA Brice</t>
  </si>
  <si>
    <t xml:space="preserve">DOSSA Vèdéssè Constantin</t>
  </si>
  <si>
    <t xml:space="preserve">HOUESSOU Adéfounsi Gildas Félicien</t>
  </si>
  <si>
    <t xml:space="preserve">YETONGBE Félix</t>
  </si>
  <si>
    <t xml:space="preserve">GE 3</t>
  </si>
  <si>
    <t xml:space="preserve">ADIKPETO Gauthier Thibaut</t>
  </si>
  <si>
    <t xml:space="preserve">AGONSANOU Houétchéou Fiacre</t>
  </si>
  <si>
    <t xml:space="preserve">BOKO Nonvité Narcisse</t>
  </si>
  <si>
    <t xml:space="preserve">DOHOU Gérard Benoit Comlan</t>
  </si>
  <si>
    <t xml:space="preserve">GBOHOUN A Armel Martial</t>
  </si>
  <si>
    <t xml:space="preserve">HOUNDIN Amédée Jonas</t>
  </si>
  <si>
    <t xml:space="preserve">KELEHOUN Adanmado Marcellin</t>
  </si>
  <si>
    <t xml:space="preserve">KOTCHOFA Seydou Arnaud</t>
  </si>
  <si>
    <t xml:space="preserve">SEDAMI Codjo Jacques</t>
  </si>
  <si>
    <t xml:space="preserve">SEGBEDJI G T Franck</t>
  </si>
  <si>
    <t xml:space="preserve">SESSOU Jérome</t>
  </si>
  <si>
    <t xml:space="preserve">ZONON Wilfrid Brice</t>
  </si>
  <si>
    <t xml:space="preserve">GE 4</t>
  </si>
  <si>
    <t xml:space="preserve">ADJAKA Franck Olivier</t>
  </si>
  <si>
    <t xml:space="preserve">ADJIBA Délé Wilfried thiburce</t>
  </si>
  <si>
    <t xml:space="preserve">ADOUKONOU Modeste Rolland Y</t>
  </si>
  <si>
    <t xml:space="preserve">AGBAMAHOU Carmel</t>
  </si>
  <si>
    <t xml:space="preserve">AVADIN Damien Roland Z</t>
  </si>
  <si>
    <t xml:space="preserve">AZONSI Auguste Joel</t>
  </si>
  <si>
    <t xml:space="preserve">ABOUBAKAR Kamilou Mora</t>
  </si>
  <si>
    <t xml:space="preserve">BOUKARI Fayçal</t>
  </si>
  <si>
    <t xml:space="preserve">BOYA Hilaire</t>
  </si>
  <si>
    <t xml:space="preserve">Do REGO Madjidi</t>
  </si>
  <si>
    <t xml:space="preserve">KPAOHOUN Yaovi Antonio</t>
  </si>
  <si>
    <t xml:space="preserve">KPOGLA Yaovi Innocent</t>
  </si>
  <si>
    <t xml:space="preserve">MENSAH AYVI Amègnizin J</t>
  </si>
  <si>
    <t xml:space="preserve">ODOU Soumaila</t>
  </si>
  <si>
    <t xml:space="preserve">SANDA SIDI M Adéyémi</t>
  </si>
  <si>
    <t xml:space="preserve">TONOUKOIN Médard A</t>
  </si>
  <si>
    <t xml:space="preserve">TOSSOU G W Serge</t>
  </si>
  <si>
    <t xml:space="preserve">ZIBO Salim</t>
  </si>
  <si>
    <t xml:space="preserve">MI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</si>
  <si>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MAINTENANCE INDUSTRIELLE</t>
    </r>
  </si>
  <si>
    <t xml:space="preserve">AHANTO Rodrigue Mahoutin</t>
  </si>
  <si>
    <t xml:space="preserve">BONI Abdoulaye</t>
  </si>
  <si>
    <t xml:space="preserve">GANYE AÏHOU Damien</t>
  </si>
  <si>
    <t xml:space="preserve">HESSOU Kokou Castro</t>
  </si>
  <si>
    <t xml:space="preserve">HOUNGBEDJI Habaouc R Vidjinangni</t>
  </si>
  <si>
    <t xml:space="preserve">QUENUM Mahutin Elisée Hervé</t>
  </si>
  <si>
    <t xml:space="preserve">SAVI Djidjoho Fructueux</t>
  </si>
  <si>
    <t xml:space="preserve">TELLA OSSE Obafèmi David</t>
  </si>
  <si>
    <t xml:space="preserve">TOSSOU Ménonma Eric</t>
  </si>
  <si>
    <t xml:space="preserve">HOUNSOU SEIVE Hermann Mahoussi</t>
  </si>
  <si>
    <t xml:space="preserve">MI 3</t>
  </si>
  <si>
    <t xml:space="preserve">AGOSSOU Désiré Honoré Y,</t>
  </si>
  <si>
    <t xml:space="preserve">ALLOGNON Innocent Yélingnan</t>
  </si>
  <si>
    <t xml:space="preserve">AMOUSSOUGA Zannou Rodolphe</t>
  </si>
  <si>
    <t xml:space="preserve">ATCHA Coffi Daniel</t>
  </si>
  <si>
    <t xml:space="preserve">CAPO CHICHI Sètondji Hermus Gildas</t>
  </si>
  <si>
    <t xml:space="preserve">FINGBE Roland</t>
  </si>
  <si>
    <t xml:space="preserve">HOUNSINOU Norbert</t>
  </si>
  <si>
    <t xml:space="preserve">LANI YONOU Adéolou Arthur Muller</t>
  </si>
  <si>
    <t xml:space="preserve">KOUMAPLE Olivié Hihéloto</t>
  </si>
  <si>
    <t xml:space="preserve">SEGBEDJI Kuassi jean</t>
  </si>
  <si>
    <t xml:space="preserve">TONOUDE Comlan Marius</t>
  </si>
  <si>
    <t xml:space="preserve">MI 4</t>
  </si>
  <si>
    <t xml:space="preserve">AFFEDJOU SENAMI GHISLAIRE</t>
  </si>
  <si>
    <t xml:space="preserve">AZONSI Hyppolite Kokou Madeane</t>
  </si>
  <si>
    <t xml:space="preserve">EHAKO  Sènami M Lucrèce</t>
  </si>
  <si>
    <t xml:space="preserve">GBAGUIDI Détognon Maxime</t>
  </si>
  <si>
    <t xml:space="preserve">GNONLONFIN D Hubert Guy</t>
  </si>
  <si>
    <t xml:space="preserve">HOUNGNANDAN Dieu Donné Nestor</t>
  </si>
  <si>
    <t xml:space="preserve">OLIVIER DE MONTAGUERE Joel Ronald</t>
  </si>
  <si>
    <t xml:space="preserve">DEDEWANOU Christian</t>
  </si>
  <si>
    <t xml:space="preserve">ZINSOU CLACO H J FRANCK</t>
  </si>
  <si>
    <t xml:space="preserve">GR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</si>
  <si>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RURAL</t>
    </r>
  </si>
  <si>
    <t xml:space="preserve">AHAMIDE Yves Tolofon</t>
  </si>
  <si>
    <t xml:space="preserve">AHOMLANTO Arthur S. Henricot Sonagnon</t>
  </si>
  <si>
    <t xml:space="preserve">BAGUIRI TAMOU Bio Guio</t>
  </si>
  <si>
    <t xml:space="preserve">BAGUIRI GOUNOU Yerima Sanwill</t>
  </si>
  <si>
    <t xml:space="preserve">DAHATO Honoré</t>
  </si>
  <si>
    <t xml:space="preserve">DANMADO Cocou Serge</t>
  </si>
  <si>
    <t xml:space="preserve">DOMINGO Mathilde Denise H.</t>
  </si>
  <si>
    <t xml:space="preserve">DOSSA Didier</t>
  </si>
  <si>
    <t xml:space="preserve">FIHOUNDE Aristide Kokou</t>
  </si>
  <si>
    <t xml:space="preserve">HOUESSIONON Iltas Johanès</t>
  </si>
  <si>
    <t xml:space="preserve">HOUNKANRIN Zéphirin</t>
  </si>
  <si>
    <t xml:space="preserve">KOUVEGLO Sourou Jean-Paul M.P.</t>
  </si>
  <si>
    <t xml:space="preserve">SASSOU Adotévi Jean-Vincent</t>
  </si>
  <si>
    <t xml:space="preserve">SEHOMI Comlanvi Gintonsou</t>
  </si>
  <si>
    <t xml:space="preserve">KASSOUIN Assana</t>
  </si>
  <si>
    <t xml:space="preserve">GR 3</t>
  </si>
  <si>
    <t xml:space="preserve">AKIYO Ichola Hubert Alain</t>
  </si>
  <si>
    <t xml:space="preserve">DAKE Dossou Romuald</t>
  </si>
  <si>
    <t xml:space="preserve">GODJI Zinsou Cosme</t>
  </si>
  <si>
    <t xml:space="preserve">OROU GONGON Mamadou</t>
  </si>
  <si>
    <t xml:space="preserve">SEKPE Gbénadé Nazaire Josias</t>
  </si>
  <si>
    <t xml:space="preserve">GR 4</t>
  </si>
  <si>
    <t xml:space="preserve">ADJINDA Iléri Suru</t>
  </si>
  <si>
    <t xml:space="preserve">ALLAGBE Fidégnon Appolinaire</t>
  </si>
  <si>
    <t xml:space="preserve">BATCHO Thibaut</t>
  </si>
  <si>
    <t xml:space="preserve">CAKPO Bénédicte</t>
  </si>
  <si>
    <t xml:space="preserve">DJEHOUNGLO Patrick Rodrigue Gabin</t>
  </si>
  <si>
    <t xml:space="preserve">DOKOTO Saka Bona Ganigui</t>
  </si>
  <si>
    <t xml:space="preserve">GANGNON René Claude</t>
  </si>
  <si>
    <t xml:space="preserve">KATA Bienvenu</t>
  </si>
  <si>
    <t xml:space="preserve">KPODONOU Hector</t>
  </si>
  <si>
    <t xml:space="preserve">GAMAVO COCOU Robert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</si>
  <si>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HYGIENE ET CONTRÔLE DE QUALITE DES DENREES ALIMENTAIRES</t>
    </r>
  </si>
  <si>
    <t xml:space="preserve">ADOVI Tonami Jean Carlos</t>
  </si>
  <si>
    <t xml:space="preserve">ALFA GAMBARI Karimatou</t>
  </si>
  <si>
    <t xml:space="preserve">AVADEME Hounsou Léopold</t>
  </si>
  <si>
    <t xml:space="preserve">AYETITON Maroufou</t>
  </si>
  <si>
    <t xml:space="preserve">BELLO Djelilatou</t>
  </si>
  <si>
    <t xml:space="preserve">DEGBO S Elodie</t>
  </si>
  <si>
    <t xml:space="preserve">GBAGUIDI Sêwanou Cesaire Gratien</t>
  </si>
  <si>
    <t xml:space="preserve">GOUNOU N'GOBI OROU Bonigui</t>
  </si>
  <si>
    <t xml:space="preserve">IBRAHIMA M. MOUF</t>
  </si>
  <si>
    <t xml:space="preserve">KAKANAKOU Orémus Christ-Marie S</t>
  </si>
  <si>
    <t xml:space="preserve">MAM SANNI Moutaïrou</t>
  </si>
  <si>
    <t xml:space="preserve">MAMA GAMBARI Malick</t>
  </si>
  <si>
    <t xml:space="preserve">MOUSSA Aboudou Djèlili</t>
  </si>
  <si>
    <t xml:space="preserve">N'VENIHOUNDE HOUANNADE Gilbert</t>
  </si>
  <si>
    <t xml:space="preserve">NACCIMENTO Paul Patrick</t>
  </si>
  <si>
    <t xml:space="preserve">SAHOSSI Baï Chantal Colomb</t>
  </si>
  <si>
    <t xml:space="preserve">SEMADEGBE Kuessi Jérôme</t>
  </si>
  <si>
    <t xml:space="preserve">SOUSSIA Joël </t>
  </si>
  <si>
    <t xml:space="preserve">TOGBE Apélété Gaspard</t>
  </si>
  <si>
    <t xml:space="preserve">TOSSA Kouessi Charbel</t>
  </si>
  <si>
    <t xml:space="preserve">ADANHO Adjouavi Hermyonne Laurinda</t>
  </si>
  <si>
    <t xml:space="preserve">AKPOVO Roméo Hospice Finagnon</t>
  </si>
  <si>
    <t xml:space="preserve">AMOU Brigitte Adjoavi</t>
  </si>
  <si>
    <t xml:space="preserve">AMOUZOU Christophe</t>
  </si>
  <si>
    <t xml:space="preserve">DANTONKA Fawaaze</t>
  </si>
  <si>
    <t xml:space="preserve">DOSSA Sétondji Paul Fançois</t>
  </si>
  <si>
    <t xml:space="preserve">DOUDJI Darius</t>
  </si>
  <si>
    <t xml:space="preserve">ERIOLA Olounto Olivier</t>
  </si>
  <si>
    <t xml:space="preserve">ESSE Damienne Zinhoué</t>
  </si>
  <si>
    <t xml:space="preserve">GBAGUIDI  Sélonhan ARMEL</t>
  </si>
  <si>
    <t xml:space="preserve">GNELE  Bai Dodji Laurenda Carmen</t>
  </si>
  <si>
    <t xml:space="preserve">IMOROU Sani</t>
  </si>
  <si>
    <t xml:space="preserve">MEHOBA BENOIT Agnès</t>
  </si>
  <si>
    <t xml:space="preserve">TOI A Epiphania B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</si>
  <si>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HYGIENE ET CONTRÔLE DE QUALITE DES DENREES ALIMENTAIRES</t>
    </r>
  </si>
  <si>
    <t xml:space="preserve">AGBOMASSOU Akotégnon Auguste</t>
  </si>
  <si>
    <t xml:space="preserve">AGOSSOU Ernestine</t>
  </si>
  <si>
    <t xml:space="preserve">AINAN O  Germaine</t>
  </si>
  <si>
    <t xml:space="preserve">AMOUYEWA Adanhodé Paul Raoul</t>
  </si>
  <si>
    <t xml:space="preserve">DJABOUTOUBOUTOU Jéminath</t>
  </si>
  <si>
    <t xml:space="preserve">DOHOU Séraphin</t>
  </si>
  <si>
    <t xml:space="preserve">GBOKPA BOCO Parfait Landry</t>
  </si>
  <si>
    <t xml:space="preserve">GNIMAVO  Eudoxie</t>
  </si>
  <si>
    <t xml:space="preserve">KPLELI Christiane Floriane</t>
  </si>
  <si>
    <t xml:space="preserve">KPENOU NASSI Bidossessi Clément</t>
  </si>
  <si>
    <t xml:space="preserve">MIKO S Raphael</t>
  </si>
  <si>
    <t xml:space="preserve">MOUSSA Mouniratou</t>
  </si>
  <si>
    <t xml:space="preserve">SOTODONOU Tobi Daniel</t>
  </si>
  <si>
    <t xml:space="preserve">TCHOKPONHOUE SENAGBE Saturnin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</si>
  <si>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HYDRAULIQUE</t>
    </r>
  </si>
  <si>
    <t xml:space="preserve">AMADOU-BAH M.Fayçal</t>
  </si>
  <si>
    <t xml:space="preserve">SEFANDE D. Benjamin</t>
  </si>
  <si>
    <t xml:space="preserve">NOUKPOWAKOU S.G. Romaric</t>
  </si>
  <si>
    <t xml:space="preserve">AHOMADIKPOHOU Sèmondji Franck</t>
  </si>
  <si>
    <t xml:space="preserve">AAKPAKI Monréti Salomon</t>
  </si>
  <si>
    <t xml:space="preserve">AROUNKO Cossi Jérôme</t>
  </si>
  <si>
    <t xml:space="preserve">BOKODAHO Coffi Etienne </t>
  </si>
  <si>
    <t xml:space="preserve">KEDJI Mègan Martial</t>
  </si>
  <si>
    <t xml:space="preserve">KPATCHIA urbain Abdel-Aziz</t>
  </si>
  <si>
    <t xml:space="preserve">SOKPE Donatien</t>
  </si>
  <si>
    <t xml:space="preserve">SOSSOU Diane</t>
  </si>
  <si>
    <t xml:space="preserve">SOSSOU-LOKO Ralph Nicodème Coovi</t>
  </si>
  <si>
    <t xml:space="preserve">YOVOGAN Cossi Pascal Eric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</si>
  <si>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GEOMETRE TOPOGRAPHE (SPECIAL BTS)</t>
    </r>
  </si>
  <si>
    <t xml:space="preserve">ABOU Sakaryaou</t>
  </si>
  <si>
    <t xml:space="preserve">DO REGO Augias Fresnel</t>
  </si>
  <si>
    <t xml:space="preserve">GARBA Fouléra</t>
  </si>
  <si>
    <t xml:space="preserve">NONFON Kossi Angélino</t>
  </si>
  <si>
    <t xml:space="preserve">YENOUSSI Silvère</t>
  </si>
  <si>
    <t xml:space="preserve">ZOUNMATOUN Yétonhou Romain</t>
  </si>
  <si>
    <t xml:space="preserve">TOTAL GENERAL</t>
  </si>
  <si>
    <t xml:space="preserve">MONT.DÛ</t>
  </si>
  <si>
    <t xml:space="preserve">INGENIEUR DE CONCEPTION  EN GENIE CIVIL 2013-2014</t>
  </si>
  <si>
    <t xml:space="preserve">                                                                            </t>
  </si>
  <si>
    <t xml:space="preserve">ADANZOUNNON S. Maxime</t>
  </si>
  <si>
    <t xml:space="preserve">AGBAHEY Mireille Evelyne</t>
  </si>
  <si>
    <t xml:space="preserve">AGON Marcos Oscar</t>
  </si>
  <si>
    <t xml:space="preserve">AGOSSADOU Koffi Ghislain</t>
  </si>
  <si>
    <t xml:space="preserve">AKOWE SARE K. Marieta</t>
  </si>
  <si>
    <t xml:space="preserve">BABALIYE Olivier</t>
  </si>
  <si>
    <t xml:space="preserve">BIO NIGAN Cherrifatou</t>
  </si>
  <si>
    <t xml:space="preserve">DJIMONNAN Paulin</t>
  </si>
  <si>
    <t xml:space="preserve">FATOMON Ange Osée</t>
  </si>
  <si>
    <t xml:space="preserve">GBEGBO Eric</t>
  </si>
  <si>
    <t xml:space="preserve">HOUNSOU A. Wenceslas</t>
  </si>
  <si>
    <t xml:space="preserve">KOUDJE Basile</t>
  </si>
  <si>
    <t xml:space="preserve">KOUKOUBOU Christian Angelo</t>
  </si>
  <si>
    <t xml:space="preserve">KPODEKON Sènami Généviève</t>
  </si>
  <si>
    <t xml:space="preserve">KPOTCHEME Coffi D. Stanislas</t>
  </si>
  <si>
    <t xml:space="preserve">MOUSTAPHA SOULE Boladji</t>
  </si>
  <si>
    <t xml:space="preserve">SESSOU Comlan Eugène</t>
  </si>
  <si>
    <t xml:space="preserve">INGENIEUR EN GENIE CIVIL 2013-2014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</si>
  <si>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</si>
  <si>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</si>
  <si>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ADOUGAN Antoine</t>
  </si>
  <si>
    <t xml:space="preserve">ADRA Virgile</t>
  </si>
  <si>
    <t xml:space="preserve">AGBAGAN N. Fermat</t>
  </si>
  <si>
    <t xml:space="preserve">AGBE Narcisse Vignon</t>
  </si>
  <si>
    <t xml:space="preserve">AGLI ADEYEMI G. Arnaud</t>
  </si>
  <si>
    <t xml:space="preserve">AGOSSOU COSSI Fabrice</t>
  </si>
  <si>
    <t xml:space="preserve">AGOSSOU Rogatien D.K.</t>
  </si>
  <si>
    <t xml:space="preserve">AGUIDISSOU Crespin</t>
  </si>
  <si>
    <t xml:space="preserve">AHOUNOU Samuel</t>
  </si>
  <si>
    <t xml:space="preserve">AILO KOSSI Laurent</t>
  </si>
  <si>
    <t xml:space="preserve">AKISSOHE Emile</t>
  </si>
  <si>
    <t xml:space="preserve">AKOUTA T. F. Virgile</t>
  </si>
  <si>
    <t xml:space="preserve">ASSANI Ibrahim</t>
  </si>
  <si>
    <t xml:space="preserve">ATTIKPA Alexis</t>
  </si>
  <si>
    <t xml:space="preserve">AVOCEVOU DOSSOU Gildas</t>
  </si>
  <si>
    <t xml:space="preserve">BALLO STANISLAS E.</t>
  </si>
  <si>
    <t xml:space="preserve">DADONOUGBO T. Mathieu</t>
  </si>
  <si>
    <t xml:space="preserve">DAMON Abdel Aziz</t>
  </si>
  <si>
    <t xml:space="preserve">DANVI Joël Fructueux</t>
  </si>
  <si>
    <t xml:space="preserve">DE SOUZA Fiacre S.</t>
  </si>
  <si>
    <t xml:space="preserve">DEGUENON M, Bienvenu</t>
  </si>
  <si>
    <t xml:space="preserve">DJESSOU G. Trinité</t>
  </si>
  <si>
    <t xml:space="preserve">DOSSA YALIKPON C. Placide A.</t>
  </si>
  <si>
    <t xml:space="preserve">FAVI Honoré</t>
  </si>
  <si>
    <t xml:space="preserve">GBEMENOU M. Gabin</t>
  </si>
  <si>
    <t xml:space="preserve">GNONHOUE Wilfrried</t>
  </si>
  <si>
    <t xml:space="preserve">GNONLONFOUN Frank Francis J. S.</t>
  </si>
  <si>
    <t xml:space="preserve">HOUMENOU Jonathan J. M.</t>
  </si>
  <si>
    <t xml:space="preserve">HOUNSOU Lorrain</t>
  </si>
  <si>
    <t xml:space="preserve">HOUNYEME Fernand</t>
  </si>
  <si>
    <t xml:space="preserve">HOUSSOU-KICHO M. Eliane</t>
  </si>
  <si>
    <t xml:space="preserve">IDRISSOU Bounouyaminou</t>
  </si>
  <si>
    <t xml:space="preserve">KOLEOCHO SALAMI Laïssi</t>
  </si>
  <si>
    <t xml:space="preserve">KOLOYITO Luc</t>
  </si>
  <si>
    <t xml:space="preserve">KOTY S. Damien</t>
  </si>
  <si>
    <t xml:space="preserve">KOUHONOU Hector A.</t>
  </si>
  <si>
    <t xml:space="preserve">KPATCHAVI Damien</t>
  </si>
  <si>
    <t xml:space="preserve">MICHOZOUNNOU N. Benoit</t>
  </si>
  <si>
    <t xml:space="preserve">MILOHIN COCOU Claude</t>
  </si>
  <si>
    <t xml:space="preserve">MOUSSA A. Kamarou Dine</t>
  </si>
  <si>
    <t xml:space="preserve">MOUTAIROU Abdel Assad</t>
  </si>
  <si>
    <t xml:space="preserve">M'PO M' BIMA Kouagou Soukou</t>
  </si>
  <si>
    <t xml:space="preserve">NANOUKON Chrisostome Elisha Fenou</t>
  </si>
  <si>
    <t xml:space="preserve">NOUNAWON S. Hervé</t>
  </si>
  <si>
    <t xml:space="preserve">OROULA S. Michel</t>
  </si>
  <si>
    <t xml:space="preserve">SAGBOHAN DODODJI Joêl</t>
  </si>
  <si>
    <t xml:space="preserve">SALIFOU Abdel Small Ifede A. K.</t>
  </si>
  <si>
    <t xml:space="preserve">SAYO Alassane</t>
  </si>
  <si>
    <t xml:space="preserve">SENOU COFFI Guillaume</t>
  </si>
  <si>
    <t xml:space="preserve">TAMEGNON Roger</t>
  </si>
  <si>
    <t xml:space="preserve">TOSSOU Sévérin</t>
  </si>
  <si>
    <t xml:space="preserve">TOUDONOU S.B.Steeve E.</t>
  </si>
  <si>
    <t xml:space="preserve">VICHEMEY Gildas</t>
  </si>
  <si>
    <t xml:space="preserve">TOKPANOUDE Diane</t>
  </si>
  <si>
    <t xml:space="preserve">ZOLA ZOSSOU M.B. Maroufou</t>
  </si>
  <si>
    <t xml:space="preserve">   RECAPITULATIF DES RECETTES PAR FILIERS 02 JANVIER AU 31 DECEMBRE 2014</t>
  </si>
  <si>
    <t xml:space="preserve">                                                                                                                     PREMIER REGROUPEMENT 2014</t>
  </si>
  <si>
    <t xml:space="preserve">FILIERES / ANNEE</t>
  </si>
  <si>
    <t xml:space="preserve">Eff.</t>
  </si>
  <si>
    <t xml:space="preserve">RECETTE ATTENDUE</t>
  </si>
  <si>
    <t xml:space="preserve">RECOUVRE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</si>
  <si>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</si>
  <si>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</si>
  <si>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</si>
  <si>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</si>
  <si>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</si>
  <si>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</si>
  <si>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</si>
  <si>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</si>
  <si>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</si>
  <si>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</si>
  <si>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HYDRAU 1</t>
  </si>
  <si>
    <t xml:space="preserve">HYDRAU 2</t>
  </si>
  <si>
    <t xml:space="preserve">HYDRAU 3</t>
  </si>
  <si>
    <t xml:space="preserve">HYDRAU 4</t>
  </si>
  <si>
    <t xml:space="preserve">HCQDA 1</t>
  </si>
  <si>
    <t xml:space="preserve">HCQDA 2</t>
  </si>
  <si>
    <t xml:space="preserve">HCQDA 3</t>
  </si>
  <si>
    <t xml:space="preserve">HCQDA 4</t>
  </si>
  <si>
    <t xml:space="preserve">G.R 1</t>
  </si>
  <si>
    <t xml:space="preserve">G.R 2</t>
  </si>
  <si>
    <t xml:space="preserve">G.R 3</t>
  </si>
  <si>
    <t xml:space="preserve">G.R 4</t>
  </si>
  <si>
    <t xml:space="preserve">P.A1</t>
  </si>
  <si>
    <t xml:space="preserve">P.A 2</t>
  </si>
  <si>
    <t xml:space="preserve">P.A 3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</si>
  <si>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</si>
  <si>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</si>
  <si>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</si>
  <si>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</si>
  <si>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</si>
  <si>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1</t>
  </si>
  <si>
    <t xml:space="preserve">Env. 2</t>
  </si>
  <si>
    <t xml:space="preserve">Env. 3</t>
  </si>
  <si>
    <t xml:space="preserve">Env. 4</t>
  </si>
  <si>
    <t xml:space="preserve">M. I 1</t>
  </si>
  <si>
    <t xml:space="preserve">M. I 2</t>
  </si>
  <si>
    <t xml:space="preserve">M. I 3</t>
  </si>
  <si>
    <t xml:space="preserve">M I.4</t>
  </si>
  <si>
    <t xml:space="preserve">GMP1</t>
  </si>
  <si>
    <t xml:space="preserve">ABM1</t>
  </si>
  <si>
    <t xml:space="preserve">GT1</t>
  </si>
  <si>
    <t xml:space="preserve">GT2</t>
  </si>
  <si>
    <t xml:space="preserve">TOTAL:  </t>
  </si>
  <si>
    <t xml:space="preserve">      RECETTES GLOBALES DE 2014</t>
  </si>
  <si>
    <t xml:space="preserve">Mois</t>
  </si>
  <si>
    <t xml:space="preserve">Formation à Distance 2014</t>
  </si>
  <si>
    <t xml:space="preserve">Formation à Distance Recouv 14</t>
  </si>
  <si>
    <t xml:space="preserve">Formation Continue Recouv 14</t>
  </si>
  <si>
    <t xml:space="preserve">TR14</t>
  </si>
  <si>
    <t xml:space="preserve">FRAIS E. D</t>
  </si>
  <si>
    <t xml:space="preserve">Autre recettes </t>
  </si>
  <si>
    <t xml:space="preserve">TOTAL</t>
  </si>
  <si>
    <t xml:space="preserve">Janvier</t>
  </si>
  <si>
    <t xml:space="preserve">Février</t>
  </si>
  <si>
    <t xml:space="preserve">Mars 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</si>
  <si>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</si>
  <si>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</si>
  <si>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</si>
  <si>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</si>
  <si>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</si>
  <si>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</si>
  <si>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</si>
  <si>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</si>
  <si>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</si>
  <si>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Formation à Distance </t>
  </si>
  <si>
    <t xml:space="preserve">Formation continue</t>
  </si>
  <si>
    <t xml:space="preserve">Autre Recettes</t>
  </si>
  <si>
    <t xml:space="preserve">MONTANT.DÛ 2014</t>
  </si>
  <si>
    <t xml:space="preserve">CREANCE ANTERI</t>
  </si>
  <si>
    <t xml:space="preserve">TOTAL DÛ</t>
  </si>
  <si>
    <t xml:space="preserve">ADJAOKE Laîfoya Bonaventure</t>
  </si>
  <si>
    <t xml:space="preserve">MONTANT</t>
  </si>
  <si>
    <t xml:space="preserve">ALINGO Comlan Cyriaque</t>
  </si>
  <si>
    <t xml:space="preserve">ALLOHOUNTADE Kinhodé Paul</t>
  </si>
  <si>
    <t xml:space="preserve">*</t>
  </si>
  <si>
    <t xml:space="preserve">DANGOU  Hafiz</t>
  </si>
  <si>
    <t xml:space="preserve">AHOUEDOKE Olouwaf7mi Emmanuel</t>
  </si>
  <si>
    <t xml:space="preserve">ALLAVO Angelos Gérard</t>
  </si>
  <si>
    <t xml:space="preserve">LOKPO Sènan Alphonse Herman</t>
  </si>
  <si>
    <t xml:space="preserve">HOUZANDJI Sègbégnon D.Charles B.</t>
  </si>
  <si>
    <t xml:space="preserve">ADOUKONOU Codjo Roland Baudoin</t>
  </si>
  <si>
    <t xml:space="preserve">HOUNKANLIN Achille</t>
  </si>
  <si>
    <t xml:space="preserve">ok</t>
  </si>
  <si>
    <t xml:space="preserve">MAM GAMBARI Malick</t>
  </si>
  <si>
    <t xml:space="preserve">DE REGO Augias Fresnel</t>
  </si>
  <si>
    <t xml:space="preserve">DODOTIN Yédéhou Hyacinthe</t>
  </si>
  <si>
    <t xml:space="preserve">UNIVERSITE D’ABOMEY - CALAVI</t>
  </si>
  <si>
    <t xml:space="preserve">------------</t>
  </si>
  <si>
    <t xml:space="preserve">ECOLE  POLYTECHNIQUE D’ABOMEY-CALAVI</t>
  </si>
  <si>
    <t xml:space="preserve">Centre Autonome de Perfectionnement</t>
  </si>
  <si>
    <t xml:space="preserve">Cycle de Formation Continue</t>
  </si>
  <si>
    <t xml:space="preserve">-----------</t>
  </si>
  <si>
    <t xml:space="preserve">                                            Releve de notes</t>
  </si>
  <si>
    <r>
      <rPr>
        <b val="true"/>
        <u val="single"/>
        <sz val="12"/>
        <color theme="1"/>
        <rFont val="Baskerville Old Face"/>
        <family val="0"/>
        <charset val="134"/>
      </rPr>
      <t xml:space="preserve">Filière</t>
    </r>
    <r>
      <rPr>
        <b val="true"/>
        <sz val="12"/>
        <color theme="1"/>
        <rFont val="Baskerville Old Face"/>
        <family val="0"/>
        <charset val="134"/>
      </rPr>
      <t xml:space="preserve">                     :  Génie Civil</t>
    </r>
  </si>
  <si>
    <t xml:space="preserve">Année d’étude </t>
  </si>
  <si>
    <t xml:space="preserve">:  Cours Préparatoires  </t>
  </si>
  <si>
    <r>
      <rPr>
        <b val="true"/>
        <u val="single"/>
        <sz val="12"/>
        <color theme="1"/>
        <rFont val="Baskerville Old Face"/>
        <family val="0"/>
        <charset val="134"/>
      </rPr>
      <t xml:space="preserve">Année Académique  </t>
    </r>
    <r>
      <rPr>
        <b val="true"/>
        <sz val="12"/>
        <color theme="1"/>
        <rFont val="Baskerville Old Face"/>
        <family val="0"/>
        <charset val="134"/>
      </rPr>
      <t xml:space="preserve">:  2014 - 2015</t>
    </r>
  </si>
  <si>
    <r>
      <rPr>
        <b val="true"/>
        <u val="single"/>
        <sz val="12"/>
        <color theme="1"/>
        <rFont val="Baskerville Old Face"/>
        <family val="0"/>
        <charset val="134"/>
      </rPr>
      <t xml:space="preserve">Matière</t>
    </r>
    <r>
      <rPr>
        <b val="true"/>
        <sz val="12"/>
        <color theme="1"/>
        <rFont val="Baskerville Old Face"/>
        <family val="0"/>
        <charset val="134"/>
      </rPr>
      <t xml:space="preserve"> : ……………………………………………………………………………………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</si>
  <si>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</si>
  <si>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NOTES
SUR 20</t>
  </si>
  <si>
    <t xml:space="preserve">MOYENNE
SUR 20</t>
  </si>
  <si>
    <t xml:space="preserve">HOUNYEME F.</t>
  </si>
  <si>
    <t xml:space="preserve">IDRISSOU B.</t>
  </si>
  <si>
    <t xml:space="preserve">TOKPANOUDE F. C. Diane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</si>
</sst>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General"/>
    <numFmt numFmtId="168" formatCode="0\ %"/>
    <numFmt numFmtId="169" formatCode="0.00\ %"/>
  </numFmts>
  <fonts count="74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2"/>
      <color rgb="FFFF0000"/>
      <name val="Arial Narrow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sz val="12"/>
      <color theme="1"/>
      <name val="Albertus"/>
      <family val="0"/>
      <charset val="134"/>
    </font>
    <font>
      <sz val="10"/>
      <color theme="1"/>
      <name val="Calibri"/>
      <family val="0"/>
      <charset val="134"/>
    </font>
    <font>
      <sz val="12"/>
      <name val="Arial Narrow"/>
      <family val="0"/>
      <charset val="134"/>
    </font>
    <font>
      <sz val="12"/>
      <name val="Calibri"/>
      <family val="0"/>
      <charset val="134"/>
    </font>
    <font>
      <sz val="12"/>
      <color rgb="FFFF0000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b val="true"/>
      <sz val="14"/>
      <color rgb="FFFFC00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b val="true"/>
      <sz val="14"/>
      <color theme="1"/>
      <name val="Calibri"/>
      <family val="0"/>
      <charset val="134"/>
    </font>
    <font>
      <b val="true"/>
      <sz val="12"/>
      <color rgb="FFFF0000"/>
      <name val="Albertus Extra Bold"/>
      <family val="0"/>
      <charset val="134"/>
    </font>
    <font>
      <b val="true"/>
      <i val="true"/>
      <sz val="12"/>
      <color theme="9"/>
      <name val="Calibri"/>
      <family val="0"/>
      <charset val="134"/>
    </font>
    <font>
      <b val="true"/>
      <i val="true"/>
      <sz val="12"/>
      <color rgb="FFFF0000"/>
      <name val="Calibri"/>
      <family val="0"/>
      <charset val="134"/>
    </font>
    <font>
      <b val="true"/>
      <i val="true"/>
      <sz val="12"/>
      <color rgb="FF00B050"/>
      <name val="Calibri"/>
      <family val="0"/>
      <charset val="134"/>
    </font>
    <font>
      <b val="true"/>
      <i val="true"/>
      <sz val="14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sz val="11"/>
      <color rgb="FFFF0000"/>
      <name val="Calibri"/>
      <family val="0"/>
      <charset val="134"/>
    </font>
    <font>
      <b val="true"/>
      <sz val="14"/>
      <color theme="1"/>
      <name val="Aharoni"/>
      <family val="0"/>
      <charset val="177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sz val="11"/>
      <color theme="1"/>
      <name val="Albertus"/>
      <family val="0"/>
      <charset val="134"/>
    </font>
    <font>
      <sz val="9"/>
      <color theme="1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sz val="11"/>
      <name val="Calibri"/>
      <family val="0"/>
      <charset val="134"/>
    </font>
    <font>
      <b val="true"/>
      <sz val="12"/>
      <color theme="1" tint="0.2499"/>
      <name val="Arial Narrow"/>
      <family val="0"/>
      <charset val="134"/>
    </font>
    <font>
      <b val="true"/>
      <sz val="13"/>
      <color rgb="FF00B050"/>
      <name val="Calibri"/>
      <family val="0"/>
      <charset val="134"/>
    </font>
    <font>
      <b val="true"/>
      <sz val="13"/>
      <color rgb="FF002060"/>
      <name val="Arial Narrow"/>
      <family val="0"/>
      <charset val="134"/>
    </font>
    <font>
      <b val="true"/>
      <sz val="13"/>
      <color rgb="FFFF0000"/>
      <name val="Calibri"/>
      <family val="0"/>
      <charset val="134"/>
    </font>
    <font>
      <sz val="10"/>
      <name val="Arial"/>
      <family val="2"/>
    </font>
    <font>
      <sz val="12"/>
      <color theme="1"/>
      <name val="Elephant"/>
      <family val="0"/>
      <charset val="134"/>
    </font>
    <font>
      <sz val="14"/>
      <color rgb="FF00B050"/>
      <name val="Calibri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2"/>
      <name val="Albertus MT Lt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7" tint="0.5999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0"/>
      <color theme="7" tint="0.3999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16"/>
      <name val="Arial"/>
      <family val="0"/>
      <charset val="134"/>
    </font>
    <font>
      <sz val="12"/>
      <name val="Arial"/>
      <family val="0"/>
      <charset val="134"/>
    </font>
    <font>
      <b val="true"/>
      <sz val="9"/>
      <color rgb="FFFF0000"/>
      <name val="Arial Narrow"/>
      <family val="0"/>
      <charset val="134"/>
    </font>
    <font>
      <b val="true"/>
      <sz val="9"/>
      <color rgb="FF002060"/>
      <name val="Arial Narrow"/>
      <family val="0"/>
      <charset val="134"/>
    </font>
    <font>
      <sz val="9"/>
      <color theme="1"/>
      <name val="Arial"/>
      <family val="0"/>
      <charset val="134"/>
    </font>
    <font>
      <b val="true"/>
      <i val="true"/>
      <sz val="12"/>
      <color theme="1"/>
      <name val="Arial"/>
      <family val="0"/>
      <charset val="134"/>
    </font>
    <font>
      <b val="true"/>
      <sz val="12"/>
      <color theme="1"/>
      <name val="Arial"/>
      <family val="0"/>
      <charset val="134"/>
    </font>
    <font>
      <b val="true"/>
      <sz val="11"/>
      <color theme="1"/>
      <name val="Century"/>
      <family val="0"/>
      <charset val="134"/>
    </font>
    <font>
      <b val="true"/>
      <sz val="16"/>
      <color theme="1"/>
      <name val="Arial Black"/>
      <family val="0"/>
      <charset val="134"/>
    </font>
    <font>
      <sz val="12"/>
      <color theme="1"/>
      <name val="Times New Roman"/>
      <family val="0"/>
      <charset val="134"/>
    </font>
    <font>
      <b val="true"/>
      <u val="single"/>
      <sz val="12"/>
      <color theme="1"/>
      <name val="Baskerville Old Face"/>
      <family val="0"/>
      <charset val="134"/>
    </font>
    <font>
      <b val="true"/>
      <sz val="12"/>
      <color theme="1"/>
      <name val="Baskerville Old Face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CCCC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double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slantDashDot"/>
      <right/>
      <top style="slantDashDot"/>
      <bottom style="slantDashDot"/>
      <diagonal/>
    </border>
    <border diagonalUp="false" diagonalDown="false">
      <left style="slantDashDot"/>
      <right style="dashed"/>
      <top style="slantDashDot"/>
      <bottom style="dashed"/>
      <diagonal/>
    </border>
    <border diagonalUp="false" diagonalDown="false">
      <left style="dashed"/>
      <right style="dashed"/>
      <top style="slantDashDot"/>
      <bottom style="dashed"/>
      <diagonal/>
    </border>
    <border diagonalUp="false" diagonalDown="false">
      <left style="dashed"/>
      <right/>
      <top style="slantDashDot"/>
      <bottom style="dashed"/>
      <diagonal/>
    </border>
    <border diagonalUp="false" diagonalDown="false">
      <left style="slantDashDot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dashed"/>
      <top/>
      <bottom style="slantDashDot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1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1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17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1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2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8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9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3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7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6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0" borderId="3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8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8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4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7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0" borderId="3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7" fillId="4" borderId="4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0" borderId="4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6" fillId="4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6" fillId="4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4" borderId="4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0" borderId="4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4" borderId="3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0" fillId="4" borderId="3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7" fillId="2" borderId="3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6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6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6" fillId="0" borderId="2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6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1" fillId="0" borderId="4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4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4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4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1" fillId="0" borderId="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5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5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63" fillId="0" borderId="5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1" fillId="0" borderId="4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1" fillId="0" borderId="4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1" fillId="0" borderId="4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0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7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8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6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TIC04/AppData/Roaming/Microsoft/Excel/Effectif%20%202010%20-%202011%20Modifi&#233;%20le%2026%20mars%202012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mAn"/>
      <sheetName val="DeuxAn"/>
      <sheetName val="TroisAn"/>
      <sheetName val="QuatrAn"/>
      <sheetName val="BtsGc"/>
      <sheetName val="Ingénieurs"/>
      <sheetName val="Récap"/>
      <sheetName val="RECTTE GLOBALE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479"/>
  <sheetViews>
    <sheetView showFormulas="false" showGridLines="true" showRowColHeaders="true" showZeros="true" rightToLeft="false" tabSelected="false" showOutlineSymbols="true" defaultGridColor="true" view="pageBreakPreview" topLeftCell="A334" colorId="64" zoomScale="100" zoomScaleNormal="100" zoomScalePageLayoutView="100" workbookViewId="0">
      <selection pane="topLeft" activeCell="B396" activeCellId="0" sqref="B39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2.57"/>
    <col collapsed="false" customWidth="true" hidden="false" outlineLevel="0" max="3" min="3" style="1" width="18.43"/>
    <col collapsed="false" customWidth="true" hidden="false" outlineLevel="0" max="4" min="4" style="1" width="14.43"/>
    <col collapsed="false" customWidth="true" hidden="false" outlineLevel="0" max="5" min="5" style="1" width="16.14"/>
    <col collapsed="false" customWidth="true" hidden="false" outlineLevel="0" max="11" min="11" style="1" width="11.43"/>
  </cols>
  <sheetData>
    <row r="2" customFormat="false" ht="17.35" hidden="false" customHeight="false" outlineLevel="0" collapsed="false">
      <c r="A2" s="2"/>
      <c r="B2" s="2" t="s">
        <v>0</v>
      </c>
    </row>
    <row r="4" customFormat="false" ht="17.25" hidden="false" customHeight="false" outlineLevel="0" collapsed="false">
      <c r="B4" s="3" t="s">
        <v>1</v>
      </c>
    </row>
    <row r="7" customFormat="false" ht="17.25" hidden="false" customHeight="false" outlineLevel="0" collapsed="false">
      <c r="B7" s="4" t="s">
        <v>2</v>
      </c>
      <c r="D7" s="5" t="s">
        <v>3</v>
      </c>
    </row>
    <row r="9" customFormat="false" ht="15" hidden="false" customHeight="false" outlineLevel="0" collapsed="false">
      <c r="A9" s="6" t="s">
        <v>4</v>
      </c>
      <c r="B9" s="7" t="s">
        <v>5</v>
      </c>
      <c r="C9" s="8" t="s">
        <v>6</v>
      </c>
      <c r="D9" s="9" t="s">
        <v>7</v>
      </c>
      <c r="E9" s="10" t="s">
        <v>8</v>
      </c>
    </row>
    <row r="10" customFormat="false" ht="15" hidden="false" customHeight="false" outlineLevel="0" collapsed="false">
      <c r="A10" s="1" t="n">
        <v>1</v>
      </c>
      <c r="B10" s="11" t="s">
        <v>9</v>
      </c>
      <c r="C10" s="12" t="n">
        <v>416500</v>
      </c>
      <c r="D10" s="12" t="n">
        <f aca="false">216500+200000</f>
        <v>416500</v>
      </c>
      <c r="E10" s="13" t="n">
        <f aca="false">C10-D10</f>
        <v>0</v>
      </c>
    </row>
    <row r="11" customFormat="false" ht="15" hidden="false" customHeight="false" outlineLevel="0" collapsed="false">
      <c r="A11" s="14" t="n">
        <v>2</v>
      </c>
      <c r="B11" s="11" t="s">
        <v>10</v>
      </c>
      <c r="C11" s="12" t="n">
        <v>416500</v>
      </c>
      <c r="D11" s="12" t="n">
        <f aca="false">66000+150000+200500</f>
        <v>416500</v>
      </c>
      <c r="E11" s="13" t="n">
        <f aca="false">C11-D11</f>
        <v>0</v>
      </c>
    </row>
    <row r="12" customFormat="false" ht="15" hidden="false" customHeight="false" outlineLevel="0" collapsed="false">
      <c r="A12" s="14" t="n">
        <v>3</v>
      </c>
      <c r="B12" s="11" t="s">
        <v>11</v>
      </c>
      <c r="C12" s="12" t="n">
        <v>416500</v>
      </c>
      <c r="D12" s="12" t="n">
        <f aca="false">200000+216500</f>
        <v>416500</v>
      </c>
      <c r="E12" s="13" t="n">
        <f aca="false">C12-D12</f>
        <v>0</v>
      </c>
    </row>
    <row r="13" customFormat="false" ht="15" hidden="false" customHeight="false" outlineLevel="0" collapsed="false">
      <c r="A13" s="14" t="n">
        <v>4</v>
      </c>
      <c r="B13" s="11" t="s">
        <v>12</v>
      </c>
      <c r="C13" s="12" t="n">
        <v>416500</v>
      </c>
      <c r="D13" s="12" t="n">
        <f aca="false">216500+200000</f>
        <v>416500</v>
      </c>
      <c r="E13" s="13" t="n">
        <f aca="false">C13-D13</f>
        <v>0</v>
      </c>
    </row>
    <row r="14" customFormat="false" ht="15" hidden="false" customHeight="false" outlineLevel="0" collapsed="false">
      <c r="A14" s="14" t="n">
        <v>5</v>
      </c>
      <c r="B14" s="11" t="s">
        <v>13</v>
      </c>
      <c r="C14" s="12" t="n">
        <v>416500</v>
      </c>
      <c r="D14" s="12" t="n">
        <f aca="false">216500+200000</f>
        <v>416500</v>
      </c>
      <c r="E14" s="13" t="n">
        <f aca="false">C14-D14</f>
        <v>0</v>
      </c>
    </row>
    <row r="15" customFormat="false" ht="15" hidden="false" customHeight="false" outlineLevel="0" collapsed="false">
      <c r="A15" s="14" t="n">
        <v>6</v>
      </c>
      <c r="B15" s="11" t="s">
        <v>14</v>
      </c>
      <c r="C15" s="12" t="n">
        <v>416500</v>
      </c>
      <c r="D15" s="12" t="n">
        <f aca="false">200000+200000+16500</f>
        <v>416500</v>
      </c>
      <c r="E15" s="13" t="n">
        <f aca="false">C15-D15</f>
        <v>0</v>
      </c>
    </row>
    <row r="16" customFormat="false" ht="15" hidden="false" customHeight="false" outlineLevel="0" collapsed="false">
      <c r="A16" s="14" t="n">
        <v>7</v>
      </c>
      <c r="B16" s="11" t="s">
        <v>15</v>
      </c>
      <c r="C16" s="12" t="n">
        <v>416500</v>
      </c>
      <c r="D16" s="12" t="n">
        <f aca="false">216000+100000+100000+500</f>
        <v>416500</v>
      </c>
      <c r="E16" s="13" t="n">
        <f aca="false">C16-D16</f>
        <v>0</v>
      </c>
    </row>
    <row r="17" customFormat="false" ht="15" hidden="false" customHeight="false" outlineLevel="0" collapsed="false">
      <c r="A17" s="14" t="n">
        <v>8</v>
      </c>
      <c r="B17" s="11" t="s">
        <v>16</v>
      </c>
      <c r="C17" s="12" t="n">
        <v>416500</v>
      </c>
      <c r="D17" s="12" t="n">
        <f aca="false">200000+16500+200000</f>
        <v>416500</v>
      </c>
      <c r="E17" s="13" t="n">
        <f aca="false">C17-D17</f>
        <v>0</v>
      </c>
    </row>
    <row r="18" customFormat="false" ht="15" hidden="false" customHeight="false" outlineLevel="0" collapsed="false">
      <c r="A18" s="14" t="n">
        <v>9</v>
      </c>
      <c r="B18" s="15" t="s">
        <v>17</v>
      </c>
      <c r="C18" s="12" t="n">
        <v>416500</v>
      </c>
      <c r="D18" s="12"/>
      <c r="E18" s="13" t="n">
        <f aca="false">C18-D18</f>
        <v>416500</v>
      </c>
    </row>
    <row r="19" customFormat="false" ht="15" hidden="false" customHeight="false" outlineLevel="0" collapsed="false">
      <c r="A19" s="14" t="n">
        <v>10</v>
      </c>
      <c r="B19" s="11" t="s">
        <v>18</v>
      </c>
      <c r="C19" s="12" t="n">
        <v>416500</v>
      </c>
      <c r="D19" s="12" t="n">
        <f aca="false">216500+200000</f>
        <v>416500</v>
      </c>
      <c r="E19" s="13" t="n">
        <f aca="false">C19-D19</f>
        <v>0</v>
      </c>
    </row>
    <row r="20" customFormat="false" ht="15" hidden="false" customHeight="false" outlineLevel="0" collapsed="false">
      <c r="A20" s="14" t="n">
        <v>11</v>
      </c>
      <c r="B20" s="11" t="s">
        <v>19</v>
      </c>
      <c r="C20" s="12" t="n">
        <v>416500</v>
      </c>
      <c r="D20" s="12" t="n">
        <f aca="false">100000+50000+66500+50000+100000+50000</f>
        <v>416500</v>
      </c>
      <c r="E20" s="13" t="n">
        <f aca="false">C20-D20</f>
        <v>0</v>
      </c>
    </row>
    <row r="21" customFormat="false" ht="15" hidden="false" customHeight="false" outlineLevel="0" collapsed="false">
      <c r="A21" s="14" t="n">
        <v>12</v>
      </c>
      <c r="B21" s="11" t="s">
        <v>20</v>
      </c>
      <c r="C21" s="12" t="n">
        <v>416500</v>
      </c>
      <c r="D21" s="12" t="n">
        <f aca="false">165000+35000+100000+116500</f>
        <v>416500</v>
      </c>
      <c r="E21" s="13" t="n">
        <f aca="false">C21-D21</f>
        <v>0</v>
      </c>
    </row>
    <row r="22" customFormat="false" ht="15" hidden="false" customHeight="false" outlineLevel="0" collapsed="false">
      <c r="A22" s="14" t="n">
        <v>13</v>
      </c>
      <c r="B22" s="11" t="s">
        <v>21</v>
      </c>
      <c r="C22" s="12" t="n">
        <v>416500</v>
      </c>
      <c r="D22" s="12" t="n">
        <f aca="false">206500+10000+200000</f>
        <v>416500</v>
      </c>
      <c r="E22" s="13" t="n">
        <f aca="false">C22-D22</f>
        <v>0</v>
      </c>
    </row>
    <row r="23" customFormat="false" ht="17.35" hidden="false" customHeight="false" outlineLevel="0" collapsed="false">
      <c r="A23" s="16"/>
      <c r="B23" s="17" t="s">
        <v>22</v>
      </c>
      <c r="C23" s="18" t="n">
        <f aca="false">SUM(C11:C22)</f>
        <v>4998000</v>
      </c>
      <c r="D23" s="19" t="n">
        <f aca="false">SUM(D11:D22)</f>
        <v>4581500</v>
      </c>
      <c r="E23" s="20" t="n">
        <f aca="false">SUM(E11:E22)</f>
        <v>416500</v>
      </c>
    </row>
    <row r="24" customFormat="false" ht="15" hidden="false" customHeight="false" outlineLevel="0" collapsed="false">
      <c r="A24" s="21"/>
      <c r="B24" s="22"/>
      <c r="C24" s="23"/>
      <c r="D24" s="23"/>
      <c r="E24" s="24"/>
    </row>
    <row r="25" customFormat="false" ht="15" hidden="false" customHeight="false" outlineLevel="0" collapsed="false">
      <c r="A25" s="21"/>
      <c r="B25" s="25"/>
      <c r="C25" s="26"/>
      <c r="D25" s="26"/>
      <c r="E25" s="27"/>
    </row>
    <row r="26" customFormat="false" ht="15" hidden="false" customHeight="false" outlineLevel="0" collapsed="false">
      <c r="A26" s="21"/>
      <c r="B26" s="1" t="s">
        <v>23</v>
      </c>
      <c r="C26" s="26"/>
      <c r="D26" s="26"/>
      <c r="E26" s="27"/>
    </row>
    <row r="27" customFormat="false" ht="15" hidden="false" customHeight="false" outlineLevel="0" collapsed="false">
      <c r="A27" s="21"/>
      <c r="B27" s="28"/>
      <c r="C27" s="26"/>
      <c r="D27" s="26"/>
      <c r="E27" s="27"/>
    </row>
    <row r="28" customFormat="false" ht="17.35" hidden="false" customHeight="false" outlineLevel="0" collapsed="false">
      <c r="A28" s="21"/>
      <c r="B28" s="2" t="s">
        <v>0</v>
      </c>
    </row>
    <row r="29" customFormat="false" ht="15" hidden="false" customHeight="false" outlineLevel="0" collapsed="false">
      <c r="A29" s="21"/>
    </row>
    <row r="30" customFormat="false" ht="15" hidden="false" customHeight="false" outlineLevel="0" collapsed="false">
      <c r="A30" s="21"/>
    </row>
    <row r="31" customFormat="false" ht="17.25" hidden="false" customHeight="false" outlineLevel="0" collapsed="false">
      <c r="A31" s="21"/>
      <c r="B31" s="4" t="s">
        <v>24</v>
      </c>
      <c r="D31" s="5" t="s">
        <v>3</v>
      </c>
    </row>
    <row r="32" customFormat="false" ht="15" hidden="false" customHeight="false" outlineLevel="0" collapsed="false">
      <c r="A32" s="21"/>
    </row>
    <row r="33" customFormat="false" ht="15" hidden="false" customHeight="false" outlineLevel="0" collapsed="false">
      <c r="A33" s="6" t="s">
        <v>4</v>
      </c>
      <c r="B33" s="7" t="s">
        <v>5</v>
      </c>
      <c r="C33" s="8" t="s">
        <v>6</v>
      </c>
      <c r="D33" s="9" t="s">
        <v>7</v>
      </c>
      <c r="E33" s="10" t="s">
        <v>8</v>
      </c>
    </row>
    <row r="34" customFormat="false" ht="15" hidden="false" customHeight="false" outlineLevel="0" collapsed="false">
      <c r="A34" s="14" t="n">
        <v>1</v>
      </c>
      <c r="B34" s="29" t="s">
        <v>25</v>
      </c>
      <c r="C34" s="12" t="n">
        <v>416500</v>
      </c>
      <c r="D34" s="12" t="n">
        <f aca="false">206000+100000+110500</f>
        <v>416500</v>
      </c>
      <c r="E34" s="13" t="n">
        <f aca="false">C34-D34</f>
        <v>0</v>
      </c>
    </row>
    <row r="35" customFormat="false" ht="15" hidden="false" customHeight="false" outlineLevel="0" collapsed="false">
      <c r="A35" s="14" t="n">
        <v>2</v>
      </c>
      <c r="B35" s="11" t="s">
        <v>26</v>
      </c>
      <c r="C35" s="12" t="n">
        <v>416500</v>
      </c>
      <c r="D35" s="12" t="n">
        <f aca="false">60000+80000+80000+20000+110000+66500</f>
        <v>416500</v>
      </c>
      <c r="E35" s="13" t="n">
        <f aca="false">C35-D35</f>
        <v>0</v>
      </c>
    </row>
    <row r="36" customFormat="false" ht="15" hidden="false" customHeight="false" outlineLevel="0" collapsed="false">
      <c r="A36" s="14" t="n">
        <v>3</v>
      </c>
      <c r="B36" s="11" t="s">
        <v>27</v>
      </c>
      <c r="C36" s="12" t="n">
        <v>416500</v>
      </c>
      <c r="D36" s="12" t="n">
        <f aca="false">60000+40000+100000+20000+196000+500</f>
        <v>416500</v>
      </c>
      <c r="E36" s="13" t="n">
        <f aca="false">C36-D36</f>
        <v>0</v>
      </c>
    </row>
    <row r="37" customFormat="false" ht="15" hidden="false" customHeight="false" outlineLevel="0" collapsed="false">
      <c r="A37" s="14" t="n">
        <v>4</v>
      </c>
      <c r="B37" s="11" t="s">
        <v>28</v>
      </c>
      <c r="C37" s="12" t="n">
        <v>416500</v>
      </c>
      <c r="D37" s="12" t="n">
        <f aca="false">200000+16500+200000</f>
        <v>416500</v>
      </c>
      <c r="E37" s="13" t="n">
        <f aca="false">C37-D37</f>
        <v>0</v>
      </c>
    </row>
    <row r="38" customFormat="false" ht="15" hidden="false" customHeight="false" outlineLevel="0" collapsed="false">
      <c r="A38" s="14" t="n">
        <v>5</v>
      </c>
      <c r="B38" s="11" t="s">
        <v>29</v>
      </c>
      <c r="C38" s="12" t="n">
        <v>416500</v>
      </c>
      <c r="D38" s="12" t="n">
        <f aca="false">216500+150000+50000</f>
        <v>416500</v>
      </c>
      <c r="E38" s="13" t="n">
        <f aca="false">C38-D38</f>
        <v>0</v>
      </c>
    </row>
    <row r="39" customFormat="false" ht="15" hidden="false" customHeight="false" outlineLevel="0" collapsed="false">
      <c r="A39" s="14" t="n">
        <v>6</v>
      </c>
      <c r="B39" s="11" t="s">
        <v>30</v>
      </c>
      <c r="C39" s="12" t="n">
        <v>416500</v>
      </c>
      <c r="D39" s="12" t="n">
        <f aca="false">200000+150000+66500</f>
        <v>416500</v>
      </c>
      <c r="E39" s="13" t="n">
        <f aca="false">C39-D39</f>
        <v>0</v>
      </c>
    </row>
    <row r="40" customFormat="false" ht="15" hidden="false" customHeight="false" outlineLevel="0" collapsed="false">
      <c r="A40" s="14" t="n">
        <v>7</v>
      </c>
      <c r="B40" s="11" t="s">
        <v>31</v>
      </c>
      <c r="C40" s="12" t="n">
        <v>416500</v>
      </c>
      <c r="D40" s="12" t="n">
        <f aca="false">200000+216500</f>
        <v>416500</v>
      </c>
      <c r="E40" s="13" t="n">
        <f aca="false">C40-D40</f>
        <v>0</v>
      </c>
    </row>
    <row r="41" customFormat="false" ht="15" hidden="false" customHeight="false" outlineLevel="0" collapsed="false">
      <c r="A41" s="14" t="n">
        <v>8</v>
      </c>
      <c r="B41" s="11" t="s">
        <v>32</v>
      </c>
      <c r="C41" s="12" t="n">
        <v>416500</v>
      </c>
      <c r="D41" s="12" t="n">
        <f aca="false">100000+50000+100000</f>
        <v>250000</v>
      </c>
      <c r="E41" s="13" t="n">
        <f aca="false">C41-D41</f>
        <v>166500</v>
      </c>
    </row>
    <row r="42" customFormat="false" ht="15" hidden="false" customHeight="false" outlineLevel="0" collapsed="false">
      <c r="A42" s="14" t="n">
        <v>9</v>
      </c>
      <c r="B42" s="11" t="s">
        <v>33</v>
      </c>
      <c r="C42" s="12" t="n">
        <v>416500</v>
      </c>
      <c r="D42" s="12" t="n">
        <f aca="false">216500+200000</f>
        <v>416500</v>
      </c>
      <c r="E42" s="13" t="n">
        <f aca="false">C42-D42</f>
        <v>0</v>
      </c>
    </row>
    <row r="43" customFormat="false" ht="15" hidden="false" customHeight="false" outlineLevel="0" collapsed="false">
      <c r="A43" s="14" t="n">
        <v>10</v>
      </c>
      <c r="B43" s="11" t="s">
        <v>34</v>
      </c>
      <c r="C43" s="12" t="n">
        <v>416500</v>
      </c>
      <c r="D43" s="12" t="n">
        <f aca="false">400000+16500</f>
        <v>416500</v>
      </c>
      <c r="E43" s="13" t="n">
        <f aca="false">C43-D43</f>
        <v>0</v>
      </c>
    </row>
    <row r="44" customFormat="false" ht="15" hidden="false" customHeight="false" outlineLevel="0" collapsed="false">
      <c r="A44" s="14" t="n">
        <v>11</v>
      </c>
      <c r="B44" s="11" t="s">
        <v>35</v>
      </c>
      <c r="C44" s="12" t="n">
        <v>416500</v>
      </c>
      <c r="D44" s="12" t="n">
        <f aca="false">150000+266500</f>
        <v>416500</v>
      </c>
      <c r="E44" s="13" t="n">
        <f aca="false">C44-D44</f>
        <v>0</v>
      </c>
    </row>
    <row r="45" customFormat="false" ht="15" hidden="false" customHeight="false" outlineLevel="0" collapsed="false">
      <c r="A45" s="14" t="n">
        <v>12</v>
      </c>
      <c r="B45" s="11" t="s">
        <v>36</v>
      </c>
      <c r="C45" s="12" t="n">
        <v>416500</v>
      </c>
      <c r="D45" s="12" t="n">
        <f aca="false">216500+200000</f>
        <v>416500</v>
      </c>
      <c r="E45" s="13" t="n">
        <f aca="false">C45-D45</f>
        <v>0</v>
      </c>
    </row>
    <row r="46" customFormat="false" ht="15" hidden="false" customHeight="false" outlineLevel="0" collapsed="false">
      <c r="A46" s="14" t="n">
        <v>13</v>
      </c>
      <c r="B46" s="11" t="s">
        <v>37</v>
      </c>
      <c r="C46" s="12" t="n">
        <v>416500</v>
      </c>
      <c r="D46" s="12" t="n">
        <f aca="false">67000+150000+120000+79500</f>
        <v>416500</v>
      </c>
      <c r="E46" s="13" t="n">
        <f aca="false">C46-D46</f>
        <v>0</v>
      </c>
    </row>
    <row r="47" customFormat="false" ht="15" hidden="false" customHeight="false" outlineLevel="0" collapsed="false">
      <c r="A47" s="14" t="n">
        <v>14</v>
      </c>
      <c r="B47" s="11" t="s">
        <v>38</v>
      </c>
      <c r="C47" s="12" t="n">
        <v>416500</v>
      </c>
      <c r="D47" s="12" t="n">
        <f aca="false">216500+150000+50000</f>
        <v>416500</v>
      </c>
      <c r="E47" s="13" t="n">
        <f aca="false">C47-D47</f>
        <v>0</v>
      </c>
    </row>
    <row r="48" customFormat="false" ht="15" hidden="false" customHeight="false" outlineLevel="0" collapsed="false">
      <c r="A48" s="14" t="n">
        <v>15</v>
      </c>
      <c r="B48" s="11" t="s">
        <v>39</v>
      </c>
      <c r="C48" s="12" t="n">
        <v>416500</v>
      </c>
      <c r="D48" s="12" t="n">
        <f aca="false">200000+216500</f>
        <v>416500</v>
      </c>
      <c r="E48" s="13" t="n">
        <f aca="false">C48-D48</f>
        <v>0</v>
      </c>
    </row>
    <row r="49" customFormat="false" ht="15" hidden="false" customHeight="false" outlineLevel="0" collapsed="false">
      <c r="A49" s="14" t="n">
        <v>16</v>
      </c>
      <c r="B49" s="11" t="s">
        <v>40</v>
      </c>
      <c r="C49" s="12" t="n">
        <v>416500</v>
      </c>
      <c r="D49" s="12" t="n">
        <f aca="false">100000</f>
        <v>100000</v>
      </c>
      <c r="E49" s="13" t="n">
        <f aca="false">C49-D49</f>
        <v>316500</v>
      </c>
    </row>
    <row r="50" customFormat="false" ht="15" hidden="false" customHeight="false" outlineLevel="0" collapsed="false">
      <c r="A50" s="14" t="n">
        <v>17</v>
      </c>
      <c r="B50" s="11" t="s">
        <v>41</v>
      </c>
      <c r="C50" s="12" t="n">
        <v>416500</v>
      </c>
      <c r="D50" s="12" t="n">
        <f aca="false">216500+150000+50000</f>
        <v>416500</v>
      </c>
      <c r="E50" s="13" t="n">
        <f aca="false">C50-D50</f>
        <v>0</v>
      </c>
    </row>
    <row r="51" customFormat="false" ht="15" hidden="false" customHeight="false" outlineLevel="0" collapsed="false">
      <c r="A51" s="14" t="n">
        <v>18</v>
      </c>
      <c r="B51" s="11" t="s">
        <v>42</v>
      </c>
      <c r="C51" s="12" t="n">
        <v>416500</v>
      </c>
      <c r="D51" s="12" t="n">
        <f aca="false">216500+200000</f>
        <v>416500</v>
      </c>
      <c r="E51" s="13" t="n">
        <f aca="false">C51-D51</f>
        <v>0</v>
      </c>
    </row>
    <row r="52" customFormat="false" ht="15" hidden="false" customHeight="false" outlineLevel="0" collapsed="false">
      <c r="A52" s="14" t="n">
        <v>19</v>
      </c>
      <c r="B52" s="15" t="s">
        <v>43</v>
      </c>
      <c r="C52" s="12" t="n">
        <v>416500</v>
      </c>
      <c r="D52" s="12"/>
      <c r="E52" s="13" t="n">
        <f aca="false">C52-D52</f>
        <v>416500</v>
      </c>
    </row>
    <row r="53" customFormat="false" ht="17.35" hidden="false" customHeight="false" outlineLevel="0" collapsed="false">
      <c r="A53" s="16"/>
      <c r="B53" s="17" t="s">
        <v>22</v>
      </c>
      <c r="C53" s="18" t="n">
        <f aca="false">SUM(C35:C52)</f>
        <v>7497000</v>
      </c>
      <c r="D53" s="19" t="n">
        <f aca="false">SUM(D35:D52)</f>
        <v>6597500</v>
      </c>
      <c r="E53" s="20" t="n">
        <f aca="false">SUM(E35:E52)</f>
        <v>899500</v>
      </c>
    </row>
    <row r="54" customFormat="false" ht="17.35" hidden="false" customHeight="false" outlineLevel="0" collapsed="false">
      <c r="B54" s="30"/>
      <c r="C54" s="31"/>
      <c r="D54" s="32"/>
      <c r="E54" s="33"/>
    </row>
    <row r="55" customFormat="false" ht="17.35" hidden="false" customHeight="false" outlineLevel="0" collapsed="false">
      <c r="B55" s="30"/>
      <c r="C55" s="31"/>
      <c r="D55" s="32"/>
      <c r="E55" s="33"/>
    </row>
    <row r="56" customFormat="false" ht="17.35" hidden="false" customHeight="false" outlineLevel="0" collapsed="false">
      <c r="B56" s="30"/>
      <c r="C56" s="31"/>
      <c r="D56" s="32"/>
      <c r="E56" s="33"/>
    </row>
    <row r="57" customFormat="false" ht="17.35" hidden="false" customHeight="false" outlineLevel="0" collapsed="false">
      <c r="B57" s="30"/>
      <c r="C57" s="31"/>
      <c r="D57" s="32"/>
      <c r="E57" s="33"/>
    </row>
    <row r="58" customFormat="false" ht="15" hidden="false" customHeight="false" outlineLevel="0" collapsed="false">
      <c r="A58" s="21"/>
      <c r="C58" s="26"/>
      <c r="D58" s="26"/>
      <c r="E58" s="27"/>
    </row>
    <row r="59" customFormat="false" ht="17.35" hidden="false" customHeight="false" outlineLevel="0" collapsed="false">
      <c r="A59" s="34"/>
      <c r="B59" s="2" t="s">
        <v>0</v>
      </c>
      <c r="C59" s="2"/>
    </row>
    <row r="60" customFormat="false" ht="15" hidden="false" customHeight="false" outlineLevel="0" collapsed="false">
      <c r="A60" s="21"/>
    </row>
    <row r="61" customFormat="false" ht="15" hidden="false" customHeight="false" outlineLevel="0" collapsed="false">
      <c r="A61" s="21"/>
    </row>
    <row r="62" customFormat="false" ht="17.25" hidden="false" customHeight="false" outlineLevel="0" collapsed="false">
      <c r="A62" s="21"/>
      <c r="B62" s="4" t="s">
        <v>44</v>
      </c>
      <c r="D62" s="5" t="s">
        <v>3</v>
      </c>
    </row>
    <row r="63" customFormat="false" ht="15" hidden="false" customHeight="false" outlineLevel="0" collapsed="false">
      <c r="A63" s="21"/>
    </row>
    <row r="64" customFormat="false" ht="15" hidden="false" customHeight="false" outlineLevel="0" collapsed="false">
      <c r="A64" s="6" t="s">
        <v>4</v>
      </c>
      <c r="B64" s="7" t="s">
        <v>5</v>
      </c>
      <c r="C64" s="8" t="s">
        <v>6</v>
      </c>
      <c r="D64" s="9" t="s">
        <v>7</v>
      </c>
      <c r="E64" s="10" t="s">
        <v>8</v>
      </c>
    </row>
    <row r="65" customFormat="false" ht="15" hidden="false" customHeight="false" outlineLevel="0" collapsed="false">
      <c r="A65" s="14" t="n">
        <v>1</v>
      </c>
      <c r="B65" s="35" t="s">
        <v>45</v>
      </c>
      <c r="C65" s="36" t="n">
        <v>416500</v>
      </c>
      <c r="D65" s="36" t="n">
        <f aca="false">150000</f>
        <v>150000</v>
      </c>
      <c r="E65" s="37" t="n">
        <f aca="false">C65-D65</f>
        <v>266500</v>
      </c>
      <c r="F65" s="38"/>
      <c r="G65" s="1"/>
    </row>
    <row r="66" customFormat="false" ht="15" hidden="false" customHeight="false" outlineLevel="0" collapsed="false">
      <c r="A66" s="14" t="n">
        <v>2</v>
      </c>
      <c r="B66" s="11" t="s">
        <v>46</v>
      </c>
      <c r="C66" s="39" t="n">
        <v>416500</v>
      </c>
      <c r="D66" s="39" t="n">
        <f aca="false">216000</f>
        <v>216000</v>
      </c>
      <c r="E66" s="40" t="n">
        <f aca="false">C66-D66</f>
        <v>200500</v>
      </c>
    </row>
    <row r="67" customFormat="false" ht="15" hidden="false" customHeight="false" outlineLevel="0" collapsed="false">
      <c r="A67" s="14" t="n">
        <v>3</v>
      </c>
      <c r="B67" s="11" t="s">
        <v>47</v>
      </c>
      <c r="C67" s="39" t="n">
        <v>416500</v>
      </c>
      <c r="D67" s="39" t="n">
        <f aca="false">150000+60500+206000</f>
        <v>416500</v>
      </c>
      <c r="E67" s="40" t="n">
        <f aca="false">C67-D67</f>
        <v>0</v>
      </c>
    </row>
    <row r="68" customFormat="false" ht="15" hidden="false" customHeight="false" outlineLevel="0" collapsed="false">
      <c r="A68" s="14" t="n">
        <v>4</v>
      </c>
      <c r="B68" s="11" t="s">
        <v>48</v>
      </c>
      <c r="C68" s="39" t="n">
        <v>416500</v>
      </c>
      <c r="D68" s="39" t="n">
        <f aca="false">220500</f>
        <v>220500</v>
      </c>
      <c r="E68" s="40" t="n">
        <f aca="false">C68-D68</f>
        <v>196000</v>
      </c>
    </row>
    <row r="69" customFormat="false" ht="15" hidden="false" customHeight="false" outlineLevel="0" collapsed="false">
      <c r="A69" s="14" t="n">
        <v>5</v>
      </c>
      <c r="B69" s="11" t="s">
        <v>49</v>
      </c>
      <c r="C69" s="39" t="n">
        <v>416500</v>
      </c>
      <c r="D69" s="39" t="n">
        <f aca="false">216500+200000</f>
        <v>416500</v>
      </c>
      <c r="E69" s="40" t="n">
        <f aca="false">C69-D69</f>
        <v>0</v>
      </c>
    </row>
    <row r="70" customFormat="false" ht="15" hidden="false" customHeight="false" outlineLevel="0" collapsed="false">
      <c r="A70" s="14" t="n">
        <v>6</v>
      </c>
      <c r="B70" s="11" t="s">
        <v>50</v>
      </c>
      <c r="C70" s="39" t="n">
        <v>416500</v>
      </c>
      <c r="D70" s="39" t="n">
        <f aca="false">216000</f>
        <v>216000</v>
      </c>
      <c r="E70" s="40" t="n">
        <f aca="false">C70-D70</f>
        <v>200500</v>
      </c>
    </row>
    <row r="71" customFormat="false" ht="15" hidden="false" customHeight="false" outlineLevel="0" collapsed="false">
      <c r="A71" s="14" t="n">
        <v>7</v>
      </c>
      <c r="B71" s="11" t="s">
        <v>51</v>
      </c>
      <c r="C71" s="39" t="n">
        <v>416500</v>
      </c>
      <c r="D71" s="39" t="n">
        <f aca="false">216500+80000+120000</f>
        <v>416500</v>
      </c>
      <c r="E71" s="40" t="n">
        <f aca="false">C71-D71</f>
        <v>0</v>
      </c>
    </row>
    <row r="72" customFormat="false" ht="17.35" hidden="false" customHeight="false" outlineLevel="0" collapsed="false">
      <c r="A72" s="16"/>
      <c r="B72" s="17" t="s">
        <v>22</v>
      </c>
      <c r="C72" s="18" t="n">
        <f aca="false">SUM(C65:C71)</f>
        <v>2915500</v>
      </c>
      <c r="D72" s="19" t="n">
        <f aca="false">SUM(D65:D71)</f>
        <v>2052000</v>
      </c>
      <c r="E72" s="20" t="n">
        <f aca="false">SUM(E65:E71)</f>
        <v>863500</v>
      </c>
    </row>
    <row r="73" customFormat="false" ht="17.35" hidden="false" customHeight="false" outlineLevel="0" collapsed="false">
      <c r="B73" s="30"/>
      <c r="C73" s="31"/>
      <c r="D73" s="32"/>
      <c r="E73" s="33"/>
    </row>
    <row r="74" customFormat="false" ht="17.35" hidden="false" customHeight="false" outlineLevel="0" collapsed="false">
      <c r="B74" s="30"/>
      <c r="C74" s="31"/>
      <c r="D74" s="32"/>
      <c r="E74" s="33"/>
      <c r="G74" s="41"/>
    </row>
    <row r="75" customFormat="false" ht="17.35" hidden="false" customHeight="false" outlineLevel="0" collapsed="false">
      <c r="B75" s="30"/>
      <c r="C75" s="31"/>
      <c r="D75" s="32"/>
      <c r="E75" s="33"/>
    </row>
    <row r="76" customFormat="false" ht="17.35" hidden="false" customHeight="false" outlineLevel="0" collapsed="false">
      <c r="B76" s="30"/>
      <c r="C76" s="31"/>
      <c r="D76" s="32"/>
      <c r="E76" s="33"/>
    </row>
    <row r="79" customFormat="false" ht="17.35" hidden="false" customHeight="false" outlineLevel="0" collapsed="false">
      <c r="B79" s="2" t="s">
        <v>0</v>
      </c>
      <c r="C79" s="2"/>
    </row>
    <row r="81" customFormat="false" ht="15" hidden="false" customHeight="false" outlineLevel="0" collapsed="false">
      <c r="A81" s="21"/>
    </row>
    <row r="82" customFormat="false" ht="17.25" hidden="false" customHeight="false" outlineLevel="0" collapsed="false">
      <c r="A82" s="21"/>
      <c r="B82" s="4" t="s">
        <v>52</v>
      </c>
      <c r="D82" s="5" t="s">
        <v>3</v>
      </c>
    </row>
    <row r="83" customFormat="false" ht="15" hidden="false" customHeight="false" outlineLevel="0" collapsed="false">
      <c r="A83" s="21"/>
    </row>
    <row r="84" customFormat="false" ht="15" hidden="false" customHeight="false" outlineLevel="0" collapsed="false">
      <c r="A84" s="6" t="s">
        <v>4</v>
      </c>
      <c r="B84" s="7" t="s">
        <v>5</v>
      </c>
      <c r="C84" s="8" t="s">
        <v>6</v>
      </c>
      <c r="D84" s="9" t="s">
        <v>7</v>
      </c>
      <c r="E84" s="10" t="s">
        <v>8</v>
      </c>
    </row>
    <row r="85" customFormat="false" ht="15" hidden="false" customHeight="false" outlineLevel="0" collapsed="false">
      <c r="A85" s="42" t="n">
        <v>1</v>
      </c>
      <c r="B85" s="43" t="s">
        <v>53</v>
      </c>
      <c r="C85" s="12" t="n">
        <v>416500</v>
      </c>
      <c r="D85" s="44" t="n">
        <f aca="false">216500+200000</f>
        <v>416500</v>
      </c>
      <c r="E85" s="13" t="n">
        <f aca="false">C85-D85</f>
        <v>0</v>
      </c>
    </row>
    <row r="86" customFormat="false" ht="15" hidden="false" customHeight="false" outlineLevel="0" collapsed="false">
      <c r="A86" s="14" t="n">
        <v>2</v>
      </c>
      <c r="B86" s="43" t="s">
        <v>54</v>
      </c>
      <c r="C86" s="12" t="n">
        <v>416500</v>
      </c>
      <c r="D86" s="44" t="n">
        <f aca="false">116000</f>
        <v>116000</v>
      </c>
      <c r="E86" s="13" t="n">
        <f aca="false">C86-D86</f>
        <v>300500</v>
      </c>
    </row>
    <row r="87" customFormat="false" ht="15" hidden="false" customHeight="false" outlineLevel="0" collapsed="false">
      <c r="A87" s="14" t="n">
        <v>3</v>
      </c>
      <c r="B87" s="43" t="s">
        <v>55</v>
      </c>
      <c r="C87" s="12" t="n">
        <v>416500</v>
      </c>
      <c r="D87" s="44" t="n">
        <f aca="false">250000+166500</f>
        <v>416500</v>
      </c>
      <c r="E87" s="13" t="n">
        <f aca="false">C87-D87</f>
        <v>0</v>
      </c>
    </row>
    <row r="88" customFormat="false" ht="15" hidden="false" customHeight="false" outlineLevel="0" collapsed="false">
      <c r="A88" s="42" t="n">
        <v>4</v>
      </c>
      <c r="B88" s="43" t="s">
        <v>56</v>
      </c>
      <c r="C88" s="12" t="n">
        <v>416500</v>
      </c>
      <c r="D88" s="44" t="n">
        <f aca="false">216500+100000+15000+85000</f>
        <v>416500</v>
      </c>
      <c r="E88" s="13" t="n">
        <f aca="false">C88-D88</f>
        <v>0</v>
      </c>
    </row>
    <row r="89" customFormat="false" ht="15" hidden="false" customHeight="false" outlineLevel="0" collapsed="false">
      <c r="A89" s="42" t="n">
        <v>5</v>
      </c>
      <c r="B89" s="43" t="s">
        <v>57</v>
      </c>
      <c r="C89" s="12" t="n">
        <v>416500</v>
      </c>
      <c r="D89" s="44" t="n">
        <f aca="false">100000+116000+200000+500</f>
        <v>416500</v>
      </c>
      <c r="E89" s="13" t="n">
        <f aca="false">C89-D89</f>
        <v>0</v>
      </c>
    </row>
    <row r="90" customFormat="false" ht="15" hidden="false" customHeight="false" outlineLevel="0" collapsed="false">
      <c r="A90" s="42" t="n">
        <v>6</v>
      </c>
      <c r="B90" s="43" t="s">
        <v>58</v>
      </c>
      <c r="C90" s="12" t="n">
        <v>416500</v>
      </c>
      <c r="D90" s="44" t="n">
        <f aca="false">216500+200000</f>
        <v>416500</v>
      </c>
      <c r="E90" s="13" t="n">
        <f aca="false">C90-D90</f>
        <v>0</v>
      </c>
    </row>
    <row r="91" customFormat="false" ht="15" hidden="false" customHeight="false" outlineLevel="0" collapsed="false">
      <c r="A91" s="14" t="n">
        <v>7</v>
      </c>
      <c r="B91" s="43" t="s">
        <v>59</v>
      </c>
      <c r="C91" s="12" t="n">
        <v>416500</v>
      </c>
      <c r="D91" s="44" t="n">
        <f aca="false">50000+50000</f>
        <v>100000</v>
      </c>
      <c r="E91" s="13" t="n">
        <f aca="false">C91-D91</f>
        <v>316500</v>
      </c>
    </row>
    <row r="92" customFormat="false" ht="15" hidden="false" customHeight="false" outlineLevel="0" collapsed="false">
      <c r="A92" s="14" t="n">
        <v>8</v>
      </c>
      <c r="B92" s="43" t="s">
        <v>60</v>
      </c>
      <c r="C92" s="12" t="n">
        <v>416500</v>
      </c>
      <c r="D92" s="44" t="n">
        <f aca="false">416500</f>
        <v>416500</v>
      </c>
      <c r="E92" s="13" t="n">
        <f aca="false">C92-D92</f>
        <v>0</v>
      </c>
    </row>
    <row r="93" customFormat="false" ht="15" hidden="false" customHeight="false" outlineLevel="0" collapsed="false">
      <c r="A93" s="14" t="n">
        <v>9</v>
      </c>
      <c r="B93" s="43" t="s">
        <v>61</v>
      </c>
      <c r="C93" s="12" t="n">
        <v>416500</v>
      </c>
      <c r="D93" s="44" t="n">
        <f aca="false">390000</f>
        <v>390000</v>
      </c>
      <c r="E93" s="13" t="n">
        <f aca="false">C93-D93</f>
        <v>26500</v>
      </c>
    </row>
    <row r="94" customFormat="false" ht="15" hidden="false" customHeight="false" outlineLevel="0" collapsed="false">
      <c r="A94" s="14" t="n">
        <v>10</v>
      </c>
      <c r="B94" s="43" t="s">
        <v>62</v>
      </c>
      <c r="C94" s="12" t="n">
        <v>416500</v>
      </c>
      <c r="D94" s="44" t="n">
        <f aca="false">70000+30000+30000+50000+70000+60000+36000+25000+30000+15500</f>
        <v>416500</v>
      </c>
      <c r="E94" s="13" t="n">
        <f aca="false">C94-D94</f>
        <v>0</v>
      </c>
    </row>
    <row r="95" customFormat="false" ht="15" hidden="false" customHeight="false" outlineLevel="0" collapsed="false">
      <c r="A95" s="14" t="n">
        <v>11</v>
      </c>
      <c r="B95" s="43" t="s">
        <v>63</v>
      </c>
      <c r="C95" s="12" t="n">
        <v>416500</v>
      </c>
      <c r="D95" s="44" t="n">
        <f aca="false">250000+66500+60000+40000</f>
        <v>416500</v>
      </c>
      <c r="E95" s="13" t="n">
        <f aca="false">C95-D95</f>
        <v>0</v>
      </c>
    </row>
    <row r="96" customFormat="false" ht="15" hidden="false" customHeight="false" outlineLevel="0" collapsed="false">
      <c r="A96" s="14" t="n">
        <v>12</v>
      </c>
      <c r="B96" s="43" t="s">
        <v>64</v>
      </c>
      <c r="C96" s="12" t="n">
        <v>416500</v>
      </c>
      <c r="D96" s="44"/>
      <c r="E96" s="13" t="n">
        <f aca="false">C96-D96</f>
        <v>416500</v>
      </c>
    </row>
    <row r="97" customFormat="false" ht="15" hidden="false" customHeight="false" outlineLevel="0" collapsed="false">
      <c r="A97" s="14" t="n">
        <v>13</v>
      </c>
      <c r="B97" s="43" t="s">
        <v>65</v>
      </c>
      <c r="C97" s="12" t="n">
        <v>416500</v>
      </c>
      <c r="D97" s="44" t="n">
        <f aca="false">220000+196500</f>
        <v>416500</v>
      </c>
      <c r="E97" s="13" t="n">
        <f aca="false">C97-D97</f>
        <v>0</v>
      </c>
    </row>
    <row r="98" customFormat="false" ht="15" hidden="false" customHeight="false" outlineLevel="0" collapsed="false">
      <c r="A98" s="14" t="n">
        <v>14</v>
      </c>
      <c r="B98" s="43" t="s">
        <v>66</v>
      </c>
      <c r="C98" s="12" t="n">
        <v>416500</v>
      </c>
      <c r="D98" s="44" t="n">
        <f aca="false">250000+100000+66500</f>
        <v>416500</v>
      </c>
      <c r="E98" s="13" t="n">
        <f aca="false">C98-D98</f>
        <v>0</v>
      </c>
    </row>
    <row r="99" customFormat="false" ht="15" hidden="false" customHeight="false" outlineLevel="0" collapsed="false">
      <c r="A99" s="14" t="n">
        <v>15</v>
      </c>
      <c r="B99" s="43" t="s">
        <v>67</v>
      </c>
      <c r="C99" s="12" t="n">
        <v>416500</v>
      </c>
      <c r="D99" s="44" t="n">
        <f aca="false">116500+100000+50000+50000+100000</f>
        <v>416500</v>
      </c>
      <c r="E99" s="13" t="n">
        <f aca="false">C99-D99</f>
        <v>0</v>
      </c>
    </row>
    <row r="100" customFormat="false" ht="15" hidden="false" customHeight="false" outlineLevel="0" collapsed="false">
      <c r="A100" s="14" t="n">
        <v>16</v>
      </c>
      <c r="B100" s="43" t="s">
        <v>68</v>
      </c>
      <c r="C100" s="12" t="n">
        <v>416500</v>
      </c>
      <c r="D100" s="44" t="n">
        <f aca="false">216500+150000+50000</f>
        <v>416500</v>
      </c>
      <c r="E100" s="13" t="n">
        <f aca="false">C100-D100</f>
        <v>0</v>
      </c>
    </row>
    <row r="101" customFormat="false" ht="15" hidden="false" customHeight="false" outlineLevel="0" collapsed="false">
      <c r="A101" s="14" t="n">
        <v>17</v>
      </c>
      <c r="B101" s="43" t="s">
        <v>69</v>
      </c>
      <c r="C101" s="12" t="n">
        <v>416500</v>
      </c>
      <c r="D101" s="44" t="n">
        <f aca="false">216000+200000+500</f>
        <v>416500</v>
      </c>
      <c r="E101" s="13" t="n">
        <f aca="false">C101-D101</f>
        <v>0</v>
      </c>
    </row>
    <row r="102" customFormat="false" ht="15" hidden="false" customHeight="false" outlineLevel="0" collapsed="false">
      <c r="A102" s="14" t="n">
        <v>18</v>
      </c>
      <c r="B102" s="43" t="s">
        <v>70</v>
      </c>
      <c r="C102" s="12" t="n">
        <v>416500</v>
      </c>
      <c r="D102" s="44" t="n">
        <f aca="false">216500+200000</f>
        <v>416500</v>
      </c>
      <c r="E102" s="13" t="n">
        <f aca="false">C102-D102</f>
        <v>0</v>
      </c>
    </row>
    <row r="103" customFormat="false" ht="15" hidden="false" customHeight="false" outlineLevel="0" collapsed="false">
      <c r="A103" s="14" t="n">
        <v>19</v>
      </c>
      <c r="B103" s="43" t="s">
        <v>71</v>
      </c>
      <c r="C103" s="12" t="n">
        <v>416500</v>
      </c>
      <c r="D103" s="44" t="n">
        <v>100000</v>
      </c>
      <c r="E103" s="13" t="n">
        <f aca="false">C103-D103</f>
        <v>316500</v>
      </c>
    </row>
    <row r="104" customFormat="false" ht="15" hidden="false" customHeight="false" outlineLevel="0" collapsed="false">
      <c r="A104" s="14" t="n">
        <v>20</v>
      </c>
      <c r="B104" s="43" t="s">
        <v>72</v>
      </c>
      <c r="C104" s="12" t="n">
        <v>416500</v>
      </c>
      <c r="D104" s="45"/>
      <c r="E104" s="13" t="n">
        <f aca="false">C104-D104</f>
        <v>416500</v>
      </c>
    </row>
    <row r="105" customFormat="false" ht="15" hidden="false" customHeight="false" outlineLevel="0" collapsed="false">
      <c r="A105" s="14" t="n">
        <v>21</v>
      </c>
      <c r="B105" s="43" t="s">
        <v>73</v>
      </c>
      <c r="C105" s="12" t="n">
        <v>416500</v>
      </c>
      <c r="D105" s="44" t="n">
        <f aca="false">200500+216000</f>
        <v>416500</v>
      </c>
      <c r="E105" s="13" t="n">
        <f aca="false">C105-D105</f>
        <v>0</v>
      </c>
    </row>
    <row r="106" customFormat="false" ht="15" hidden="false" customHeight="false" outlineLevel="0" collapsed="false">
      <c r="A106" s="14" t="n">
        <v>22</v>
      </c>
      <c r="B106" s="43" t="s">
        <v>74</v>
      </c>
      <c r="C106" s="12" t="n">
        <v>416500</v>
      </c>
      <c r="D106" s="44" t="n">
        <f aca="false">216500+100000+100000</f>
        <v>416500</v>
      </c>
      <c r="E106" s="13" t="n">
        <f aca="false">C106-D106</f>
        <v>0</v>
      </c>
    </row>
    <row r="107" customFormat="false" ht="15" hidden="false" customHeight="false" outlineLevel="0" collapsed="false">
      <c r="A107" s="14" t="n">
        <v>23</v>
      </c>
      <c r="B107" s="43" t="s">
        <v>75</v>
      </c>
      <c r="C107" s="12" t="n">
        <v>416500</v>
      </c>
      <c r="D107" s="44" t="n">
        <f aca="false">140000+50000+110000+66500+50000</f>
        <v>416500</v>
      </c>
      <c r="E107" s="13" t="n">
        <f aca="false">C107-D107</f>
        <v>0</v>
      </c>
    </row>
    <row r="108" customFormat="false" ht="15" hidden="false" customHeight="false" outlineLevel="0" collapsed="false">
      <c r="A108" s="14" t="n">
        <v>24</v>
      </c>
      <c r="B108" s="43" t="s">
        <v>76</v>
      </c>
      <c r="C108" s="12" t="n">
        <v>416500</v>
      </c>
      <c r="D108" s="44" t="n">
        <f aca="false">216500+10000+170000+30000</f>
        <v>426500</v>
      </c>
      <c r="E108" s="13" t="n">
        <f aca="false">C108-D108</f>
        <v>-10000</v>
      </c>
    </row>
    <row r="109" customFormat="false" ht="15" hidden="false" customHeight="false" outlineLevel="0" collapsed="false">
      <c r="A109" s="14" t="n">
        <v>25</v>
      </c>
      <c r="B109" s="43" t="s">
        <v>77</v>
      </c>
      <c r="C109" s="12" t="n">
        <v>416500</v>
      </c>
      <c r="D109" s="44" t="n">
        <f aca="false">216500+100000+100000</f>
        <v>416500</v>
      </c>
      <c r="E109" s="13" t="n">
        <f aca="false">C109-D109</f>
        <v>0</v>
      </c>
    </row>
    <row r="110" customFormat="false" ht="15" hidden="false" customHeight="false" outlineLevel="0" collapsed="false">
      <c r="A110" s="14" t="n">
        <v>26</v>
      </c>
      <c r="B110" s="43" t="s">
        <v>78</v>
      </c>
      <c r="C110" s="12" t="n">
        <v>416500</v>
      </c>
      <c r="D110" s="44" t="n">
        <f aca="false">216600+200000</f>
        <v>416600</v>
      </c>
      <c r="E110" s="13" t="n">
        <f aca="false">C110-D110</f>
        <v>-100</v>
      </c>
    </row>
    <row r="111" customFormat="false" ht="15" hidden="false" customHeight="false" outlineLevel="0" collapsed="false">
      <c r="A111" s="14" t="n">
        <v>27</v>
      </c>
      <c r="B111" s="43" t="s">
        <v>79</v>
      </c>
      <c r="C111" s="12" t="n">
        <v>416500</v>
      </c>
      <c r="D111" s="44" t="n">
        <f aca="false">50000+100000+216500+50000</f>
        <v>416500</v>
      </c>
      <c r="E111" s="13" t="n">
        <f aca="false">C111-D111</f>
        <v>0</v>
      </c>
    </row>
    <row r="112" customFormat="false" ht="17.35" hidden="false" customHeight="false" outlineLevel="0" collapsed="false">
      <c r="A112" s="14"/>
      <c r="B112" s="17" t="s">
        <v>22</v>
      </c>
      <c r="C112" s="18" t="n">
        <f aca="false">SUM(C85:C111)</f>
        <v>11245500</v>
      </c>
      <c r="D112" s="19" t="n">
        <f aca="false">SUM(D85:D111)</f>
        <v>9462600</v>
      </c>
      <c r="E112" s="20" t="n">
        <f aca="false">SUM(E85:E111)</f>
        <v>1782900</v>
      </c>
    </row>
    <row r="113" customFormat="false" ht="15" hidden="false" customHeight="false" outlineLevel="0" collapsed="false">
      <c r="A113" s="46"/>
      <c r="C113" s="23"/>
      <c r="D113" s="23"/>
      <c r="E113" s="24"/>
    </row>
    <row r="114" customFormat="false" ht="15" hidden="false" customHeight="false" outlineLevel="0" collapsed="false">
      <c r="A114" s="21"/>
      <c r="C114" s="26"/>
      <c r="D114" s="26"/>
      <c r="E114" s="27"/>
    </row>
    <row r="115" customFormat="false" ht="15" hidden="false" customHeight="false" outlineLevel="0" collapsed="false">
      <c r="A115" s="21"/>
    </row>
    <row r="116" customFormat="false" ht="17.35" hidden="false" customHeight="false" outlineLevel="0" collapsed="false">
      <c r="A116" s="21"/>
      <c r="B116" s="2" t="s">
        <v>0</v>
      </c>
    </row>
    <row r="117" customFormat="false" ht="17.35" hidden="false" customHeight="false" outlineLevel="0" collapsed="false">
      <c r="A117" s="34"/>
    </row>
    <row r="118" customFormat="false" ht="15" hidden="false" customHeight="false" outlineLevel="0" collapsed="false">
      <c r="A118" s="21"/>
    </row>
    <row r="119" customFormat="false" ht="17.25" hidden="false" customHeight="false" outlineLevel="0" collapsed="false">
      <c r="A119" s="21"/>
      <c r="B119" s="4" t="s">
        <v>80</v>
      </c>
    </row>
    <row r="120" customFormat="false" ht="15" hidden="false" customHeight="false" outlineLevel="0" collapsed="false">
      <c r="A120" s="21"/>
      <c r="D120" s="5" t="s">
        <v>3</v>
      </c>
    </row>
    <row r="121" customFormat="false" ht="15" hidden="false" customHeight="false" outlineLevel="0" collapsed="false">
      <c r="A121" s="21"/>
    </row>
    <row r="122" customFormat="false" ht="15" hidden="false" customHeight="false" outlineLevel="0" collapsed="false">
      <c r="A122" s="6" t="s">
        <v>4</v>
      </c>
      <c r="B122" s="7" t="s">
        <v>5</v>
      </c>
      <c r="C122" s="8" t="s">
        <v>6</v>
      </c>
      <c r="D122" s="9" t="s">
        <v>7</v>
      </c>
      <c r="E122" s="10" t="s">
        <v>8</v>
      </c>
    </row>
    <row r="123" customFormat="false" ht="15" hidden="false" customHeight="false" outlineLevel="0" collapsed="false">
      <c r="A123" s="42" t="n">
        <v>1</v>
      </c>
      <c r="B123" s="11" t="s">
        <v>81</v>
      </c>
      <c r="C123" s="12" t="n">
        <v>416500</v>
      </c>
      <c r="D123" s="12" t="n">
        <f aca="false">60000+130000+50000+50000+126500</f>
        <v>416500</v>
      </c>
      <c r="E123" s="13" t="n">
        <f aca="false">C123-D123</f>
        <v>0</v>
      </c>
      <c r="F123" s="1"/>
    </row>
    <row r="124" customFormat="false" ht="15" hidden="false" customHeight="false" outlineLevel="0" collapsed="false">
      <c r="A124" s="14" t="n">
        <v>2</v>
      </c>
      <c r="B124" s="11" t="s">
        <v>82</v>
      </c>
      <c r="C124" s="12" t="n">
        <v>416500</v>
      </c>
      <c r="D124" s="12" t="n">
        <f aca="false">50000+150000+216500</f>
        <v>416500</v>
      </c>
      <c r="E124" s="13" t="n">
        <f aca="false">C124-D124</f>
        <v>0</v>
      </c>
    </row>
    <row r="125" customFormat="false" ht="15" hidden="false" customHeight="false" outlineLevel="0" collapsed="false">
      <c r="A125" s="14" t="n">
        <v>3</v>
      </c>
      <c r="B125" s="11" t="s">
        <v>83</v>
      </c>
      <c r="C125" s="12" t="n">
        <v>416500</v>
      </c>
      <c r="D125" s="12"/>
      <c r="E125" s="13" t="n">
        <f aca="false">C125-D125</f>
        <v>416500</v>
      </c>
    </row>
    <row r="126" customFormat="false" ht="15" hidden="false" customHeight="false" outlineLevel="0" collapsed="false">
      <c r="A126" s="42" t="n">
        <v>4</v>
      </c>
      <c r="B126" s="11" t="s">
        <v>84</v>
      </c>
      <c r="C126" s="12" t="n">
        <v>416500</v>
      </c>
      <c r="D126" s="12" t="n">
        <f aca="false">116500+30000+70000+70000+100000+30000</f>
        <v>416500</v>
      </c>
      <c r="E126" s="13" t="n">
        <f aca="false">C126-D126</f>
        <v>0</v>
      </c>
    </row>
    <row r="127" customFormat="false" ht="15" hidden="false" customHeight="false" outlineLevel="0" collapsed="false">
      <c r="A127" s="14" t="n">
        <v>5</v>
      </c>
      <c r="B127" s="11" t="s">
        <v>85</v>
      </c>
      <c r="C127" s="12" t="n">
        <v>416500</v>
      </c>
      <c r="D127" s="12" t="n">
        <f aca="false">215000+135000+66500</f>
        <v>416500</v>
      </c>
      <c r="E127" s="13" t="n">
        <f aca="false">C127-D127</f>
        <v>0</v>
      </c>
    </row>
    <row r="128" customFormat="false" ht="15" hidden="false" customHeight="false" outlineLevel="0" collapsed="false">
      <c r="A128" s="42" t="n">
        <v>6</v>
      </c>
      <c r="B128" s="11" t="s">
        <v>86</v>
      </c>
      <c r="C128" s="12" t="n">
        <v>416500</v>
      </c>
      <c r="D128" s="12" t="n">
        <f aca="false">106000+110000+12000+23500+60000+105500</f>
        <v>417000</v>
      </c>
      <c r="E128" s="13" t="n">
        <f aca="false">C128-D128</f>
        <v>-500</v>
      </c>
    </row>
    <row r="129" customFormat="false" ht="15" hidden="false" customHeight="false" outlineLevel="0" collapsed="false">
      <c r="A129" s="14" t="n">
        <v>7</v>
      </c>
      <c r="B129" s="11" t="s">
        <v>87</v>
      </c>
      <c r="C129" s="12" t="n">
        <v>416500</v>
      </c>
      <c r="D129" s="12"/>
      <c r="E129" s="13" t="n">
        <f aca="false">C129-D129</f>
        <v>416500</v>
      </c>
    </row>
    <row r="130" customFormat="false" ht="15" hidden="false" customHeight="false" outlineLevel="0" collapsed="false">
      <c r="A130" s="42" t="n">
        <v>8</v>
      </c>
      <c r="B130" s="11" t="s">
        <v>88</v>
      </c>
      <c r="C130" s="12" t="n">
        <v>416500</v>
      </c>
      <c r="D130" s="12" t="n">
        <f aca="false">216500+200000</f>
        <v>416500</v>
      </c>
      <c r="E130" s="13" t="n">
        <f aca="false">C130-D130</f>
        <v>0</v>
      </c>
    </row>
    <row r="131" customFormat="false" ht="15" hidden="false" customHeight="false" outlineLevel="0" collapsed="false">
      <c r="A131" s="14" t="n">
        <v>9</v>
      </c>
      <c r="B131" s="11" t="s">
        <v>89</v>
      </c>
      <c r="C131" s="12" t="n">
        <v>416500</v>
      </c>
      <c r="D131" s="12" t="n">
        <f aca="false">150000+266500</f>
        <v>416500</v>
      </c>
      <c r="E131" s="13" t="n">
        <f aca="false">C131-D131</f>
        <v>0</v>
      </c>
    </row>
    <row r="132" customFormat="false" ht="15" hidden="false" customHeight="false" outlineLevel="0" collapsed="false">
      <c r="A132" s="42" t="n">
        <v>10</v>
      </c>
      <c r="B132" s="11" t="s">
        <v>90</v>
      </c>
      <c r="C132" s="12" t="n">
        <v>416500</v>
      </c>
      <c r="D132" s="12" t="n">
        <f aca="false">21500+195000+35000+20000+145000</f>
        <v>416500</v>
      </c>
      <c r="E132" s="13" t="n">
        <f aca="false">C132-D132</f>
        <v>0</v>
      </c>
    </row>
    <row r="133" customFormat="false" ht="15" hidden="false" customHeight="false" outlineLevel="0" collapsed="false">
      <c r="A133" s="14" t="n">
        <v>11</v>
      </c>
      <c r="B133" s="11" t="s">
        <v>91</v>
      </c>
      <c r="C133" s="12" t="n">
        <v>416500</v>
      </c>
      <c r="D133" s="12" t="n">
        <f aca="false">216500+200000</f>
        <v>416500</v>
      </c>
      <c r="E133" s="13" t="n">
        <f aca="false">C133-D133</f>
        <v>0</v>
      </c>
    </row>
    <row r="134" customFormat="false" ht="15" hidden="false" customHeight="false" outlineLevel="0" collapsed="false">
      <c r="A134" s="47" t="n">
        <v>12</v>
      </c>
      <c r="B134" s="11" t="s">
        <v>92</v>
      </c>
      <c r="C134" s="12" t="n">
        <v>416500</v>
      </c>
      <c r="D134" s="12" t="n">
        <f aca="false">216500+200000</f>
        <v>416500</v>
      </c>
      <c r="E134" s="13" t="n">
        <f aca="false">C134-D134</f>
        <v>0</v>
      </c>
    </row>
    <row r="135" customFormat="false" ht="15" hidden="false" customHeight="false" outlineLevel="0" collapsed="false">
      <c r="A135" s="42" t="n">
        <v>13</v>
      </c>
      <c r="B135" s="11" t="s">
        <v>93</v>
      </c>
      <c r="C135" s="12" t="n">
        <v>416500</v>
      </c>
      <c r="D135" s="12" t="n">
        <f aca="false">216500+200000</f>
        <v>416500</v>
      </c>
      <c r="E135" s="13" t="n">
        <f aca="false">C135-D135</f>
        <v>0</v>
      </c>
    </row>
    <row r="136" customFormat="false" ht="15" hidden="false" customHeight="false" outlineLevel="0" collapsed="false">
      <c r="A136" s="14" t="n">
        <v>14</v>
      </c>
      <c r="B136" s="11" t="s">
        <v>94</v>
      </c>
      <c r="C136" s="12" t="n">
        <v>416500</v>
      </c>
      <c r="D136" s="12" t="n">
        <f aca="false">100000+160000+156500</f>
        <v>416500</v>
      </c>
      <c r="E136" s="13" t="n">
        <f aca="false">C136-D136</f>
        <v>0</v>
      </c>
    </row>
    <row r="137" customFormat="false" ht="15" hidden="false" customHeight="false" outlineLevel="0" collapsed="false">
      <c r="A137" s="47" t="n">
        <v>15</v>
      </c>
      <c r="B137" s="11" t="s">
        <v>95</v>
      </c>
      <c r="C137" s="12" t="n">
        <v>416500</v>
      </c>
      <c r="D137" s="12" t="n">
        <f aca="false">216500+200000</f>
        <v>416500</v>
      </c>
      <c r="E137" s="13" t="n">
        <f aca="false">C137-D137</f>
        <v>0</v>
      </c>
    </row>
    <row r="138" customFormat="false" ht="15" hidden="false" customHeight="false" outlineLevel="0" collapsed="false">
      <c r="A138" s="47" t="n">
        <v>16</v>
      </c>
      <c r="B138" s="11" t="s">
        <v>96</v>
      </c>
      <c r="C138" s="12" t="n">
        <v>416500</v>
      </c>
      <c r="D138" s="12"/>
      <c r="E138" s="13" t="n">
        <v>416500</v>
      </c>
      <c r="F138" s="1"/>
    </row>
    <row r="139" customFormat="false" ht="15" hidden="false" customHeight="false" outlineLevel="0" collapsed="false">
      <c r="A139" s="14" t="n">
        <v>17</v>
      </c>
      <c r="B139" s="48" t="s">
        <v>97</v>
      </c>
      <c r="C139" s="12" t="n">
        <v>416500</v>
      </c>
      <c r="D139" s="12" t="n">
        <f aca="false">216500</f>
        <v>216500</v>
      </c>
      <c r="E139" s="13" t="n">
        <f aca="false">C139-D139</f>
        <v>200000</v>
      </c>
      <c r="F139" s="1"/>
    </row>
    <row r="140" customFormat="false" ht="15" hidden="false" customHeight="false" outlineLevel="0" collapsed="false">
      <c r="A140" s="14" t="n">
        <v>18</v>
      </c>
      <c r="B140" s="11" t="s">
        <v>98</v>
      </c>
      <c r="C140" s="12" t="n">
        <v>416500</v>
      </c>
      <c r="D140" s="12" t="n">
        <f aca="false">416500</f>
        <v>416500</v>
      </c>
      <c r="E140" s="13" t="n">
        <f aca="false">C140-D140</f>
        <v>0</v>
      </c>
    </row>
    <row r="141" customFormat="false" ht="17.35" hidden="false" customHeight="false" outlineLevel="0" collapsed="false">
      <c r="A141" s="16"/>
      <c r="B141" s="17" t="s">
        <v>22</v>
      </c>
      <c r="C141" s="18" t="n">
        <f aca="false">SUM(C123:C140)</f>
        <v>7497000</v>
      </c>
      <c r="D141" s="19" t="n">
        <f aca="false">SUM(D123:D140)</f>
        <v>6048000</v>
      </c>
      <c r="E141" s="20" t="n">
        <f aca="false">SUM(E123:E140)</f>
        <v>1449000</v>
      </c>
    </row>
    <row r="142" customFormat="false" ht="17.35" hidden="false" customHeight="false" outlineLevel="0" collapsed="false">
      <c r="B142" s="30"/>
      <c r="C142" s="31"/>
      <c r="D142" s="32"/>
      <c r="E142" s="33"/>
    </row>
    <row r="143" customFormat="false" ht="15" hidden="false" customHeight="false" outlineLevel="0" collapsed="false">
      <c r="C143" s="31"/>
      <c r="D143" s="32"/>
      <c r="E143" s="33"/>
    </row>
    <row r="145" customFormat="false" ht="17.35" hidden="false" customHeight="false" outlineLevel="0" collapsed="false">
      <c r="A145" s="21"/>
      <c r="B145" s="2" t="s">
        <v>0</v>
      </c>
      <c r="C145" s="26"/>
      <c r="D145" s="26"/>
      <c r="E145" s="27"/>
    </row>
    <row r="146" customFormat="false" ht="17.35" hidden="false" customHeight="false" outlineLevel="0" collapsed="false">
      <c r="A146" s="34"/>
    </row>
    <row r="147" customFormat="false" ht="15" hidden="false" customHeight="false" outlineLevel="0" collapsed="false">
      <c r="A147" s="21"/>
    </row>
    <row r="148" customFormat="false" ht="17.25" hidden="false" customHeight="false" outlineLevel="0" collapsed="false">
      <c r="A148" s="21"/>
      <c r="B148" s="4" t="s">
        <v>99</v>
      </c>
    </row>
    <row r="149" customFormat="false" ht="15" hidden="false" customHeight="false" outlineLevel="0" collapsed="false">
      <c r="A149" s="21"/>
      <c r="D149" s="5" t="s">
        <v>3</v>
      </c>
    </row>
    <row r="150" customFormat="false" ht="15" hidden="false" customHeight="false" outlineLevel="0" collapsed="false">
      <c r="A150" s="21"/>
    </row>
    <row r="151" customFormat="false" ht="15" hidden="false" customHeight="false" outlineLevel="0" collapsed="false">
      <c r="A151" s="6" t="s">
        <v>4</v>
      </c>
      <c r="B151" s="7" t="s">
        <v>5</v>
      </c>
      <c r="C151" s="8" t="s">
        <v>6</v>
      </c>
      <c r="D151" s="9" t="s">
        <v>7</v>
      </c>
      <c r="E151" s="10" t="s">
        <v>8</v>
      </c>
    </row>
    <row r="152" customFormat="false" ht="15" hidden="false" customHeight="false" outlineLevel="0" collapsed="false">
      <c r="A152" s="42" t="n">
        <v>1</v>
      </c>
      <c r="B152" s="49" t="s">
        <v>100</v>
      </c>
      <c r="C152" s="12" t="n">
        <v>416500</v>
      </c>
      <c r="D152" s="12" t="n">
        <f aca="false">200000</f>
        <v>200000</v>
      </c>
      <c r="E152" s="13" t="n">
        <f aca="false">C152-D152</f>
        <v>216500</v>
      </c>
      <c r="F152" s="1"/>
    </row>
    <row r="153" customFormat="false" ht="15" hidden="false" customHeight="false" outlineLevel="0" collapsed="false">
      <c r="A153" s="14" t="n">
        <v>2</v>
      </c>
      <c r="B153" s="35" t="s">
        <v>101</v>
      </c>
      <c r="C153" s="12" t="n">
        <v>416500</v>
      </c>
      <c r="D153" s="12"/>
      <c r="E153" s="13" t="n">
        <f aca="false">C153-D153</f>
        <v>416500</v>
      </c>
      <c r="F153" s="1"/>
    </row>
    <row r="154" customFormat="false" ht="15" hidden="false" customHeight="false" outlineLevel="0" collapsed="false">
      <c r="A154" s="14" t="n">
        <v>4</v>
      </c>
      <c r="B154" s="41" t="s">
        <v>102</v>
      </c>
      <c r="C154" s="12" t="n">
        <v>416500</v>
      </c>
      <c r="D154" s="12"/>
      <c r="E154" s="13" t="n">
        <f aca="false">C154-D154</f>
        <v>416500</v>
      </c>
    </row>
    <row r="155" customFormat="false" ht="15" hidden="false" customHeight="false" outlineLevel="0" collapsed="false">
      <c r="A155" s="42" t="n">
        <v>5</v>
      </c>
      <c r="B155" s="41" t="s">
        <v>103</v>
      </c>
      <c r="C155" s="12" t="n">
        <v>416500</v>
      </c>
      <c r="D155" s="12"/>
      <c r="E155" s="13" t="n">
        <f aca="false">C155-D155</f>
        <v>416500</v>
      </c>
    </row>
    <row r="156" customFormat="false" ht="15" hidden="false" customHeight="false" outlineLevel="0" collapsed="false">
      <c r="A156" s="14" t="n">
        <v>6</v>
      </c>
      <c r="B156" s="41" t="s">
        <v>104</v>
      </c>
      <c r="C156" s="12" t="n">
        <v>416500</v>
      </c>
      <c r="D156" s="12"/>
      <c r="E156" s="13" t="n">
        <f aca="false">C156-D156</f>
        <v>416500</v>
      </c>
    </row>
    <row r="157" customFormat="false" ht="15" hidden="false" customHeight="false" outlineLevel="0" collapsed="false">
      <c r="A157" s="42" t="n">
        <v>7</v>
      </c>
      <c r="B157" s="41" t="s">
        <v>105</v>
      </c>
      <c r="C157" s="12" t="n">
        <v>416500</v>
      </c>
      <c r="D157" s="12"/>
      <c r="E157" s="13" t="n">
        <f aca="false">C157-D157</f>
        <v>416500</v>
      </c>
      <c r="F157" s="1"/>
    </row>
    <row r="158" customFormat="false" ht="15" hidden="false" customHeight="false" outlineLevel="0" collapsed="false">
      <c r="A158" s="42" t="n">
        <v>8</v>
      </c>
      <c r="B158" s="41" t="s">
        <v>106</v>
      </c>
      <c r="C158" s="12" t="n">
        <v>416500</v>
      </c>
      <c r="D158" s="12"/>
      <c r="E158" s="13" t="n">
        <f aca="false">C158-D158</f>
        <v>416500</v>
      </c>
      <c r="F158" s="1"/>
    </row>
    <row r="159" customFormat="false" ht="17.35" hidden="false" customHeight="false" outlineLevel="0" collapsed="false">
      <c r="A159" s="16"/>
      <c r="B159" s="17" t="s">
        <v>22</v>
      </c>
      <c r="C159" s="50" t="n">
        <f aca="false">SUM(C153:C158)</f>
        <v>2499000</v>
      </c>
      <c r="D159" s="51" t="n">
        <f aca="false">SUM(D152:D158)</f>
        <v>200000</v>
      </c>
      <c r="E159" s="52" t="n">
        <f aca="false">SUM(E153:E158)</f>
        <v>2499000</v>
      </c>
    </row>
    <row r="160" customFormat="false" ht="15" hidden="false" customHeight="false" outlineLevel="0" collapsed="false">
      <c r="A160" s="46"/>
      <c r="C160" s="23"/>
      <c r="D160" s="23"/>
      <c r="E160" s="24"/>
    </row>
    <row r="163" customFormat="false" ht="17.35" hidden="false" customHeight="false" outlineLevel="0" collapsed="false">
      <c r="B163" s="2" t="s">
        <v>0</v>
      </c>
    </row>
    <row r="164" customFormat="false" ht="15" hidden="false" customHeight="false" outlineLevel="0" collapsed="false">
      <c r="A164" s="21"/>
    </row>
    <row r="165" customFormat="false" ht="15" hidden="false" customHeight="false" outlineLevel="0" collapsed="false">
      <c r="A165" s="21"/>
    </row>
    <row r="166" customFormat="false" ht="17.25" hidden="false" customHeight="false" outlineLevel="0" collapsed="false">
      <c r="A166" s="21"/>
      <c r="B166" s="4" t="s">
        <v>107</v>
      </c>
    </row>
    <row r="167" customFormat="false" ht="15" hidden="false" customHeight="false" outlineLevel="0" collapsed="false">
      <c r="A167" s="21"/>
      <c r="E167" s="5" t="s">
        <v>3</v>
      </c>
    </row>
    <row r="168" customFormat="false" ht="15" hidden="false" customHeight="false" outlineLevel="0" collapsed="false">
      <c r="A168" s="21"/>
    </row>
    <row r="169" customFormat="false" ht="15" hidden="false" customHeight="false" outlineLevel="0" collapsed="false">
      <c r="A169" s="6" t="s">
        <v>4</v>
      </c>
      <c r="B169" s="7" t="s">
        <v>5</v>
      </c>
      <c r="C169" s="8" t="s">
        <v>6</v>
      </c>
      <c r="D169" s="9" t="s">
        <v>7</v>
      </c>
      <c r="E169" s="10" t="s">
        <v>8</v>
      </c>
    </row>
    <row r="170" customFormat="false" ht="15" hidden="false" customHeight="false" outlineLevel="0" collapsed="false">
      <c r="A170" s="14" t="n">
        <v>1</v>
      </c>
      <c r="B170" s="11" t="s">
        <v>108</v>
      </c>
      <c r="C170" s="12" t="n">
        <v>416500</v>
      </c>
      <c r="D170" s="12" t="n">
        <f aca="false">100000+116000+200500</f>
        <v>416500</v>
      </c>
      <c r="E170" s="13" t="n">
        <f aca="false">C170-D170</f>
        <v>0</v>
      </c>
    </row>
    <row r="171" customFormat="false" ht="15" hidden="false" customHeight="false" outlineLevel="0" collapsed="false">
      <c r="A171" s="14" t="n">
        <v>2</v>
      </c>
      <c r="B171" s="11" t="s">
        <v>109</v>
      </c>
      <c r="C171" s="12" t="n">
        <v>416500</v>
      </c>
      <c r="D171" s="12" t="n">
        <f aca="false">216500+120000+80000</f>
        <v>416500</v>
      </c>
      <c r="E171" s="13" t="n">
        <f aca="false">C171-D171</f>
        <v>0</v>
      </c>
    </row>
    <row r="172" customFormat="false" ht="15" hidden="false" customHeight="false" outlineLevel="0" collapsed="false">
      <c r="A172" s="14" t="n">
        <v>3</v>
      </c>
      <c r="B172" s="11" t="s">
        <v>110</v>
      </c>
      <c r="C172" s="12" t="n">
        <v>416500</v>
      </c>
      <c r="D172" s="12" t="n">
        <f aca="false">100000+100000+50000+166000+500</f>
        <v>416500</v>
      </c>
      <c r="E172" s="13" t="n">
        <f aca="false">C172-D172</f>
        <v>0</v>
      </c>
    </row>
    <row r="173" customFormat="false" ht="15" hidden="false" customHeight="false" outlineLevel="0" collapsed="false">
      <c r="A173" s="14" t="n">
        <v>4</v>
      </c>
      <c r="B173" s="48" t="s">
        <v>111</v>
      </c>
      <c r="C173" s="12" t="n">
        <v>416500</v>
      </c>
      <c r="D173" s="12" t="n">
        <f aca="false">216000</f>
        <v>216000</v>
      </c>
      <c r="E173" s="13" t="n">
        <f aca="false">C173-D173</f>
        <v>200500</v>
      </c>
    </row>
    <row r="174" customFormat="false" ht="15" hidden="false" customHeight="false" outlineLevel="0" collapsed="false">
      <c r="A174" s="14" t="n">
        <v>5</v>
      </c>
      <c r="B174" s="11" t="s">
        <v>112</v>
      </c>
      <c r="C174" s="12" t="n">
        <v>416500</v>
      </c>
      <c r="D174" s="12" t="n">
        <f aca="false">150000+68000+198500</f>
        <v>416500</v>
      </c>
      <c r="E174" s="13" t="n">
        <f aca="false">C174-D174</f>
        <v>0</v>
      </c>
    </row>
    <row r="175" customFormat="false" ht="15" hidden="false" customHeight="false" outlineLevel="0" collapsed="false">
      <c r="A175" s="14" t="n">
        <v>6</v>
      </c>
      <c r="B175" s="11" t="s">
        <v>113</v>
      </c>
      <c r="C175" s="12" t="n">
        <v>416500</v>
      </c>
      <c r="D175" s="12" t="n">
        <f aca="false">216500+100000+50000+50000</f>
        <v>416500</v>
      </c>
      <c r="E175" s="13" t="n">
        <f aca="false">C175-D175</f>
        <v>0</v>
      </c>
    </row>
    <row r="176" customFormat="false" ht="15" hidden="false" customHeight="false" outlineLevel="0" collapsed="false">
      <c r="A176" s="14" t="n">
        <v>7</v>
      </c>
      <c r="B176" s="11" t="s">
        <v>114</v>
      </c>
      <c r="C176" s="12" t="n">
        <v>416500</v>
      </c>
      <c r="D176" s="12" t="n">
        <f aca="false">100000+150000+166500</f>
        <v>416500</v>
      </c>
      <c r="E176" s="13" t="n">
        <f aca="false">C176-D176</f>
        <v>0</v>
      </c>
      <c r="H176" s="1"/>
    </row>
    <row r="177" customFormat="false" ht="15" hidden="false" customHeight="false" outlineLevel="0" collapsed="false">
      <c r="A177" s="14" t="n">
        <v>8</v>
      </c>
      <c r="B177" s="11" t="s">
        <v>115</v>
      </c>
      <c r="C177" s="12" t="n">
        <v>416500</v>
      </c>
      <c r="D177" s="12" t="n">
        <f aca="false">220000+196500</f>
        <v>416500</v>
      </c>
      <c r="E177" s="13" t="n">
        <f aca="false">C177-D177</f>
        <v>0</v>
      </c>
    </row>
    <row r="178" customFormat="false" ht="15" hidden="false" customHeight="false" outlineLevel="0" collapsed="false">
      <c r="A178" s="14" t="n">
        <v>9</v>
      </c>
      <c r="B178" s="11" t="s">
        <v>116</v>
      </c>
      <c r="C178" s="12" t="n">
        <v>416500</v>
      </c>
      <c r="D178" s="12" t="n">
        <f aca="false">216500+200000</f>
        <v>416500</v>
      </c>
      <c r="E178" s="13" t="n">
        <f aca="false">C178-D178</f>
        <v>0</v>
      </c>
    </row>
    <row r="179" customFormat="false" ht="15" hidden="false" customHeight="false" outlineLevel="0" collapsed="false">
      <c r="A179" s="14" t="n">
        <v>10</v>
      </c>
      <c r="B179" s="53" t="s">
        <v>117</v>
      </c>
      <c r="C179" s="12" t="n">
        <v>416500</v>
      </c>
      <c r="D179" s="12"/>
      <c r="E179" s="13" t="n">
        <f aca="false">C179-D179</f>
        <v>416500</v>
      </c>
    </row>
    <row r="180" customFormat="false" ht="15" hidden="false" customHeight="false" outlineLevel="0" collapsed="false">
      <c r="A180" s="14" t="n">
        <v>11</v>
      </c>
      <c r="B180" s="11" t="s">
        <v>118</v>
      </c>
      <c r="C180" s="12" t="n">
        <v>416500</v>
      </c>
      <c r="D180" s="12" t="n">
        <f aca="false">216500+200000</f>
        <v>416500</v>
      </c>
      <c r="E180" s="13" t="n">
        <f aca="false">C180-D180</f>
        <v>0</v>
      </c>
    </row>
    <row r="181" customFormat="false" ht="15" hidden="false" customHeight="false" outlineLevel="0" collapsed="false">
      <c r="A181" s="14" t="n">
        <v>12</v>
      </c>
      <c r="B181" s="43" t="s">
        <v>119</v>
      </c>
      <c r="C181" s="12" t="n">
        <v>416550</v>
      </c>
      <c r="D181" s="12" t="n">
        <f aca="false">100000+100000+150000+66000+500</f>
        <v>416500</v>
      </c>
      <c r="E181" s="13" t="n">
        <f aca="false">C181-D181</f>
        <v>50</v>
      </c>
    </row>
    <row r="182" customFormat="false" ht="15" hidden="false" customHeight="false" outlineLevel="0" collapsed="false">
      <c r="A182" s="14" t="n">
        <v>13</v>
      </c>
      <c r="B182" s="41" t="s">
        <v>120</v>
      </c>
      <c r="C182" s="12" t="n">
        <v>416500</v>
      </c>
      <c r="D182" s="12" t="n">
        <f aca="false">165000+50500+201000</f>
        <v>416500</v>
      </c>
      <c r="E182" s="13" t="n">
        <f aca="false">C182-D182</f>
        <v>0</v>
      </c>
    </row>
    <row r="183" customFormat="false" ht="15" hidden="false" customHeight="false" outlineLevel="0" collapsed="false">
      <c r="A183" s="14" t="n">
        <v>14</v>
      </c>
      <c r="B183" s="11" t="s">
        <v>121</v>
      </c>
      <c r="C183" s="12" t="n">
        <v>416500</v>
      </c>
      <c r="D183" s="12" t="n">
        <f aca="false">416500</f>
        <v>416500</v>
      </c>
      <c r="E183" s="13" t="n">
        <f aca="false">C183-D183</f>
        <v>0</v>
      </c>
    </row>
    <row r="184" customFormat="false" ht="15" hidden="false" customHeight="false" outlineLevel="0" collapsed="false">
      <c r="A184" s="14" t="n">
        <v>15</v>
      </c>
      <c r="B184" s="11" t="s">
        <v>122</v>
      </c>
      <c r="C184" s="12" t="n">
        <v>416500</v>
      </c>
      <c r="D184" s="12" t="n">
        <f aca="false">220000+100000+96500</f>
        <v>416500</v>
      </c>
      <c r="E184" s="13" t="n">
        <f aca="false">C184-D184</f>
        <v>0</v>
      </c>
    </row>
    <row r="185" customFormat="false" ht="15" hidden="false" customHeight="false" outlineLevel="0" collapsed="false">
      <c r="A185" s="14" t="n">
        <v>16</v>
      </c>
      <c r="B185" s="11" t="s">
        <v>123</v>
      </c>
      <c r="C185" s="12" t="n">
        <v>416500</v>
      </c>
      <c r="D185" s="12" t="n">
        <f aca="false">216000+140000+60500</f>
        <v>416500</v>
      </c>
      <c r="E185" s="13" t="n">
        <f aca="false">C185-D185</f>
        <v>0</v>
      </c>
    </row>
    <row r="186" customFormat="false" ht="15" hidden="false" customHeight="false" outlineLevel="0" collapsed="false">
      <c r="A186" s="14" t="n">
        <v>17</v>
      </c>
      <c r="B186" s="11" t="s">
        <v>124</v>
      </c>
      <c r="C186" s="12" t="n">
        <v>416500</v>
      </c>
      <c r="D186" s="12" t="n">
        <f aca="false">216000+200500</f>
        <v>416500</v>
      </c>
      <c r="E186" s="13" t="n">
        <f aca="false">C186-D186</f>
        <v>0</v>
      </c>
    </row>
    <row r="187" customFormat="false" ht="15" hidden="false" customHeight="false" outlineLevel="0" collapsed="false">
      <c r="A187" s="14" t="n">
        <v>18</v>
      </c>
      <c r="B187" s="11" t="s">
        <v>125</v>
      </c>
      <c r="C187" s="12" t="n">
        <v>416500</v>
      </c>
      <c r="D187" s="12" t="n">
        <f aca="false">100000+116000+200500</f>
        <v>416500</v>
      </c>
      <c r="E187" s="13" t="n">
        <f aca="false">C187-D187</f>
        <v>0</v>
      </c>
    </row>
    <row r="188" customFormat="false" ht="15" hidden="false" customHeight="false" outlineLevel="0" collapsed="false">
      <c r="A188" s="14" t="n">
        <v>19</v>
      </c>
      <c r="B188" s="54" t="s">
        <v>126</v>
      </c>
      <c r="C188" s="12" t="n">
        <v>416500</v>
      </c>
      <c r="D188" s="55" t="n">
        <f aca="false">200000</f>
        <v>200000</v>
      </c>
      <c r="E188" s="13" t="n">
        <f aca="false">C188-D188</f>
        <v>216500</v>
      </c>
    </row>
    <row r="189" customFormat="false" ht="15" hidden="false" customHeight="false" outlineLevel="0" collapsed="false">
      <c r="A189" s="14" t="n">
        <v>20</v>
      </c>
      <c r="B189" s="54" t="s">
        <v>127</v>
      </c>
      <c r="C189" s="12" t="n">
        <v>416500</v>
      </c>
      <c r="D189" s="55" t="n">
        <f aca="false">216500+200000</f>
        <v>416500</v>
      </c>
      <c r="E189" s="13" t="n">
        <f aca="false">C189-D189</f>
        <v>0</v>
      </c>
    </row>
    <row r="190" customFormat="false" ht="15" hidden="false" customHeight="false" outlineLevel="0" collapsed="false">
      <c r="A190" s="14" t="n">
        <v>21</v>
      </c>
      <c r="B190" s="56" t="s">
        <v>128</v>
      </c>
      <c r="C190" s="12" t="n">
        <v>416500</v>
      </c>
      <c r="D190" s="55" t="n">
        <f aca="false">216500+150000+40000+10000</f>
        <v>416500</v>
      </c>
      <c r="E190" s="13" t="n">
        <f aca="false">C190-D190</f>
        <v>0</v>
      </c>
    </row>
    <row r="191" customFormat="false" ht="15" hidden="false" customHeight="false" outlineLevel="0" collapsed="false">
      <c r="A191" s="14" t="n">
        <v>22</v>
      </c>
      <c r="B191" s="54" t="s">
        <v>129</v>
      </c>
      <c r="C191" s="12" t="n">
        <v>416500</v>
      </c>
      <c r="D191" s="55" t="n">
        <f aca="false">215000+201500</f>
        <v>416500</v>
      </c>
      <c r="E191" s="13" t="n">
        <f aca="false">C191-D191</f>
        <v>0</v>
      </c>
    </row>
    <row r="192" customFormat="false" ht="15" hidden="false" customHeight="false" outlineLevel="0" collapsed="false">
      <c r="A192" s="14" t="n">
        <v>23</v>
      </c>
      <c r="B192" s="54" t="s">
        <v>130</v>
      </c>
      <c r="C192" s="12" t="n">
        <v>416500</v>
      </c>
      <c r="D192" s="55" t="n">
        <f aca="false">216500+150000+50000</f>
        <v>416500</v>
      </c>
      <c r="E192" s="13" t="n">
        <f aca="false">C192-D192</f>
        <v>0</v>
      </c>
    </row>
    <row r="193" customFormat="false" ht="15" hidden="false" customHeight="false" outlineLevel="0" collapsed="false">
      <c r="A193" s="57" t="n">
        <v>24</v>
      </c>
      <c r="B193" s="11" t="s">
        <v>131</v>
      </c>
      <c r="C193" s="12" t="n">
        <v>416500</v>
      </c>
      <c r="D193" s="12" t="n">
        <f aca="false">216500+100000+100000</f>
        <v>416500</v>
      </c>
      <c r="E193" s="13" t="n">
        <f aca="false">C193-D193</f>
        <v>0</v>
      </c>
    </row>
    <row r="194" customFormat="false" ht="15" hidden="false" customHeight="false" outlineLevel="0" collapsed="false">
      <c r="A194" s="57" t="n">
        <v>25</v>
      </c>
      <c r="B194" s="54" t="s">
        <v>132</v>
      </c>
      <c r="C194" s="12" t="n">
        <v>416500</v>
      </c>
      <c r="D194" s="55" t="n">
        <f aca="false">216500+200000</f>
        <v>416500</v>
      </c>
      <c r="E194" s="13" t="n">
        <f aca="false">C194-D194</f>
        <v>0</v>
      </c>
    </row>
    <row r="195" customFormat="false" ht="17.35" hidden="false" customHeight="false" outlineLevel="0" collapsed="false">
      <c r="A195" s="14"/>
      <c r="B195" s="17" t="s">
        <v>22</v>
      </c>
      <c r="C195" s="18" t="n">
        <f aca="false">SUM(C170:C194)</f>
        <v>10412550</v>
      </c>
      <c r="D195" s="19" t="n">
        <f aca="false">SUM(D170:D194)</f>
        <v>9579000</v>
      </c>
      <c r="E195" s="20" t="n">
        <f aca="false">SUM(E170:E194)</f>
        <v>833550</v>
      </c>
    </row>
    <row r="196" customFormat="false" ht="15" hidden="false" customHeight="false" outlineLevel="0" collapsed="false">
      <c r="A196" s="21"/>
    </row>
    <row r="197" customFormat="false" ht="17.35" hidden="false" customHeight="false" outlineLevel="0" collapsed="false">
      <c r="B197" s="2" t="s">
        <v>0</v>
      </c>
    </row>
    <row r="198" customFormat="false" ht="15" hidden="false" customHeight="false" outlineLevel="0" collapsed="false">
      <c r="A198" s="21"/>
    </row>
    <row r="199" customFormat="false" ht="15" hidden="false" customHeight="false" outlineLevel="0" collapsed="false">
      <c r="A199" s="21"/>
    </row>
    <row r="200" customFormat="false" ht="17.25" hidden="false" customHeight="false" outlineLevel="0" collapsed="false">
      <c r="A200" s="21"/>
      <c r="B200" s="4" t="s">
        <v>133</v>
      </c>
    </row>
    <row r="201" customFormat="false" ht="15" hidden="false" customHeight="false" outlineLevel="0" collapsed="false">
      <c r="A201" s="21"/>
      <c r="D201" s="5" t="s">
        <v>3</v>
      </c>
    </row>
    <row r="202" customFormat="false" ht="15" hidden="false" customHeight="false" outlineLevel="0" collapsed="false">
      <c r="A202" s="21"/>
    </row>
    <row r="203" customFormat="false" ht="15" hidden="false" customHeight="false" outlineLevel="0" collapsed="false">
      <c r="A203" s="6" t="s">
        <v>4</v>
      </c>
      <c r="B203" s="7" t="s">
        <v>5</v>
      </c>
      <c r="C203" s="8" t="s">
        <v>6</v>
      </c>
      <c r="D203" s="9" t="s">
        <v>7</v>
      </c>
      <c r="E203" s="10" t="s">
        <v>8</v>
      </c>
    </row>
    <row r="204" customFormat="false" ht="15" hidden="false" customHeight="false" outlineLevel="0" collapsed="false">
      <c r="A204" s="42" t="n">
        <v>1</v>
      </c>
      <c r="B204" s="58" t="s">
        <v>134</v>
      </c>
      <c r="C204" s="12" t="n">
        <v>416500</v>
      </c>
      <c r="D204" s="12" t="n">
        <f aca="false">216500+200000</f>
        <v>416500</v>
      </c>
      <c r="E204" s="13" t="n">
        <f aca="false">C204-D204</f>
        <v>0</v>
      </c>
    </row>
    <row r="205" customFormat="false" ht="15" hidden="false" customHeight="false" outlineLevel="0" collapsed="false">
      <c r="A205" s="14" t="n">
        <v>2</v>
      </c>
      <c r="B205" s="59" t="s">
        <v>135</v>
      </c>
      <c r="C205" s="12" t="n">
        <v>416500</v>
      </c>
      <c r="D205" s="12" t="n">
        <f aca="false">216000+200500</f>
        <v>416500</v>
      </c>
      <c r="E205" s="13" t="n">
        <f aca="false">C205-D205</f>
        <v>0</v>
      </c>
    </row>
    <row r="206" customFormat="false" ht="15" hidden="false" customHeight="false" outlineLevel="0" collapsed="false">
      <c r="A206" s="42" t="n">
        <v>3</v>
      </c>
      <c r="B206" s="59" t="s">
        <v>136</v>
      </c>
      <c r="C206" s="12" t="n">
        <v>416500</v>
      </c>
      <c r="D206" s="12" t="n">
        <f aca="false">220000+100000+96500</f>
        <v>416500</v>
      </c>
      <c r="E206" s="13" t="n">
        <f aca="false">C206-D206</f>
        <v>0</v>
      </c>
    </row>
    <row r="207" customFormat="false" ht="15" hidden="false" customHeight="false" outlineLevel="0" collapsed="false">
      <c r="A207" s="14" t="n">
        <v>4</v>
      </c>
      <c r="B207" s="59" t="s">
        <v>137</v>
      </c>
      <c r="C207" s="12" t="n">
        <v>416500</v>
      </c>
      <c r="D207" s="12" t="n">
        <f aca="false">216000+140000+60500</f>
        <v>416500</v>
      </c>
      <c r="E207" s="13" t="n">
        <f aca="false">C207-D207</f>
        <v>0</v>
      </c>
    </row>
    <row r="208" customFormat="false" ht="15" hidden="false" customHeight="false" outlineLevel="0" collapsed="false">
      <c r="A208" s="42" t="n">
        <v>5</v>
      </c>
      <c r="B208" s="59" t="s">
        <v>138</v>
      </c>
      <c r="C208" s="12" t="n">
        <v>416500</v>
      </c>
      <c r="D208" s="12" t="n">
        <f aca="false">216000+200000+500</f>
        <v>416500</v>
      </c>
      <c r="E208" s="13" t="n">
        <f aca="false">C208-D208</f>
        <v>0</v>
      </c>
    </row>
    <row r="209" customFormat="false" ht="15" hidden="false" customHeight="false" outlineLevel="0" collapsed="false">
      <c r="A209" s="14" t="n">
        <v>6</v>
      </c>
      <c r="B209" s="59" t="s">
        <v>139</v>
      </c>
      <c r="C209" s="12" t="n">
        <v>416500</v>
      </c>
      <c r="D209" s="12" t="n">
        <f aca="false">216500+100000+100000</f>
        <v>416500</v>
      </c>
      <c r="E209" s="13" t="n">
        <f aca="false">C209-D209</f>
        <v>0</v>
      </c>
    </row>
    <row r="210" customFormat="false" ht="15" hidden="false" customHeight="false" outlineLevel="0" collapsed="false">
      <c r="A210" s="42" t="n">
        <v>7</v>
      </c>
      <c r="B210" s="59" t="s">
        <v>140</v>
      </c>
      <c r="C210" s="12" t="n">
        <v>416500</v>
      </c>
      <c r="D210" s="12" t="n">
        <f aca="false">216500+200000</f>
        <v>416500</v>
      </c>
      <c r="E210" s="13" t="n">
        <f aca="false">C210-D210</f>
        <v>0</v>
      </c>
    </row>
    <row r="211" customFormat="false" ht="15" hidden="false" customHeight="false" outlineLevel="0" collapsed="false">
      <c r="A211" s="14" t="n">
        <v>8</v>
      </c>
      <c r="B211" s="59" t="s">
        <v>141</v>
      </c>
      <c r="C211" s="12" t="n">
        <v>416500</v>
      </c>
      <c r="D211" s="12" t="n">
        <f aca="false">216500+200000</f>
        <v>416500</v>
      </c>
      <c r="E211" s="13" t="n">
        <f aca="false">C211-D211</f>
        <v>0</v>
      </c>
    </row>
    <row r="212" customFormat="false" ht="15" hidden="false" customHeight="false" outlineLevel="0" collapsed="false">
      <c r="A212" s="42" t="n">
        <v>9</v>
      </c>
      <c r="B212" s="59" t="s">
        <v>142</v>
      </c>
      <c r="C212" s="12" t="n">
        <v>416500</v>
      </c>
      <c r="D212" s="12" t="n">
        <f aca="false">216450+200000</f>
        <v>416450</v>
      </c>
      <c r="E212" s="13" t="n">
        <f aca="false">C212-D212</f>
        <v>50</v>
      </c>
    </row>
    <row r="213" customFormat="false" ht="15" hidden="false" customHeight="false" outlineLevel="0" collapsed="false">
      <c r="A213" s="14" t="n">
        <v>10</v>
      </c>
      <c r="B213" s="59" t="s">
        <v>143</v>
      </c>
      <c r="C213" s="12" t="n">
        <v>416500</v>
      </c>
      <c r="D213" s="12" t="n">
        <f aca="false">216500+200000</f>
        <v>416500</v>
      </c>
      <c r="E213" s="13" t="n">
        <f aca="false">C213-D213</f>
        <v>0</v>
      </c>
    </row>
    <row r="214" customFormat="false" ht="15" hidden="false" customHeight="false" outlineLevel="0" collapsed="false">
      <c r="A214" s="14" t="n">
        <v>11</v>
      </c>
      <c r="B214" s="59" t="s">
        <v>144</v>
      </c>
      <c r="C214" s="12" t="n">
        <v>416500</v>
      </c>
      <c r="D214" s="12" t="n">
        <f aca="false">200000+216500</f>
        <v>416500</v>
      </c>
      <c r="E214" s="13" t="n">
        <f aca="false">C214-D214</f>
        <v>0</v>
      </c>
    </row>
    <row r="215" customFormat="false" ht="15" hidden="false" customHeight="false" outlineLevel="0" collapsed="false">
      <c r="A215" s="14" t="n">
        <v>12</v>
      </c>
      <c r="B215" s="59" t="s">
        <v>145</v>
      </c>
      <c r="C215" s="12" t="n">
        <v>416500</v>
      </c>
      <c r="D215" s="12" t="n">
        <f aca="false">416000+500</f>
        <v>416500</v>
      </c>
      <c r="E215" s="13" t="n">
        <f aca="false">C215-D215</f>
        <v>0</v>
      </c>
    </row>
    <row r="216" customFormat="false" ht="15" hidden="false" customHeight="false" outlineLevel="0" collapsed="false">
      <c r="A216" s="14" t="n">
        <v>13</v>
      </c>
      <c r="B216" s="59" t="s">
        <v>146</v>
      </c>
      <c r="C216" s="12" t="n">
        <v>416500</v>
      </c>
      <c r="D216" s="12" t="n">
        <f aca="false">216000+200000</f>
        <v>416000</v>
      </c>
      <c r="E216" s="13" t="n">
        <f aca="false">C216-D216</f>
        <v>500</v>
      </c>
    </row>
    <row r="217" customFormat="false" ht="15" hidden="false" customHeight="false" outlineLevel="0" collapsed="false">
      <c r="A217" s="14" t="n">
        <v>14</v>
      </c>
      <c r="B217" s="59" t="s">
        <v>147</v>
      </c>
      <c r="C217" s="12" t="n">
        <v>416500</v>
      </c>
      <c r="D217" s="12" t="n">
        <f aca="false">416500</f>
        <v>416500</v>
      </c>
      <c r="E217" s="13" t="n">
        <f aca="false">C217-D217</f>
        <v>0</v>
      </c>
    </row>
    <row r="218" customFormat="false" ht="15" hidden="false" customHeight="false" outlineLevel="0" collapsed="false">
      <c r="A218" s="14" t="n">
        <v>15</v>
      </c>
      <c r="B218" s="59" t="s">
        <v>148</v>
      </c>
      <c r="C218" s="12" t="n">
        <v>416500</v>
      </c>
      <c r="D218" s="12" t="n">
        <f aca="false">15000+200000+1500+200000</f>
        <v>416500</v>
      </c>
      <c r="E218" s="13" t="n">
        <f aca="false">C218-D218</f>
        <v>0</v>
      </c>
    </row>
    <row r="219" customFormat="false" ht="15" hidden="false" customHeight="false" outlineLevel="0" collapsed="false">
      <c r="A219" s="14" t="n">
        <v>16</v>
      </c>
      <c r="B219" s="59" t="s">
        <v>149</v>
      </c>
      <c r="C219" s="12" t="n">
        <v>416500</v>
      </c>
      <c r="D219" s="12" t="n">
        <f aca="false">192000+15000+10000+200000</f>
        <v>417000</v>
      </c>
      <c r="E219" s="13" t="n">
        <f aca="false">C219-D219</f>
        <v>-500</v>
      </c>
    </row>
    <row r="220" customFormat="false" ht="15" hidden="false" customHeight="false" outlineLevel="0" collapsed="false">
      <c r="A220" s="14" t="n">
        <v>17</v>
      </c>
      <c r="B220" s="59" t="s">
        <v>150</v>
      </c>
      <c r="C220" s="12" t="n">
        <v>416500</v>
      </c>
      <c r="D220" s="12" t="n">
        <f aca="false">216500+100000+100000</f>
        <v>416500</v>
      </c>
      <c r="E220" s="13" t="n">
        <f aca="false">C220-D220</f>
        <v>0</v>
      </c>
    </row>
    <row r="221" customFormat="false" ht="15" hidden="false" customHeight="false" outlineLevel="0" collapsed="false">
      <c r="A221" s="14" t="n">
        <v>18</v>
      </c>
      <c r="B221" s="59" t="s">
        <v>151</v>
      </c>
      <c r="C221" s="12" t="n">
        <v>416500</v>
      </c>
      <c r="D221" s="12" t="n">
        <f aca="false">216000+200500</f>
        <v>416500</v>
      </c>
      <c r="E221" s="13" t="n">
        <f aca="false">C221-D221</f>
        <v>0</v>
      </c>
    </row>
    <row r="222" customFormat="false" ht="15" hidden="false" customHeight="false" outlineLevel="0" collapsed="false">
      <c r="A222" s="14" t="n">
        <v>19</v>
      </c>
      <c r="B222" s="59" t="s">
        <v>152</v>
      </c>
      <c r="C222" s="12" t="n">
        <v>416500</v>
      </c>
      <c r="D222" s="12" t="n">
        <f aca="false">216500+200000</f>
        <v>416500</v>
      </c>
      <c r="E222" s="13" t="n">
        <f aca="false">C222-D222</f>
        <v>0</v>
      </c>
    </row>
    <row r="223" customFormat="false" ht="15" hidden="false" customHeight="false" outlineLevel="0" collapsed="false">
      <c r="A223" s="14" t="n">
        <v>20</v>
      </c>
      <c r="B223" s="59" t="s">
        <v>153</v>
      </c>
      <c r="C223" s="12" t="n">
        <v>416500</v>
      </c>
      <c r="D223" s="12" t="n">
        <f aca="false">216500+200000</f>
        <v>416500</v>
      </c>
      <c r="E223" s="13" t="n">
        <f aca="false">C223-D223</f>
        <v>0</v>
      </c>
    </row>
    <row r="224" customFormat="false" ht="15" hidden="false" customHeight="false" outlineLevel="0" collapsed="false">
      <c r="A224" s="14" t="n">
        <v>21</v>
      </c>
      <c r="B224" s="59" t="s">
        <v>154</v>
      </c>
      <c r="C224" s="12" t="n">
        <v>416500</v>
      </c>
      <c r="D224" s="12" t="n">
        <f aca="false">216500+200000</f>
        <v>416500</v>
      </c>
      <c r="E224" s="13" t="n">
        <f aca="false">C224-D224</f>
        <v>0</v>
      </c>
    </row>
    <row r="225" customFormat="false" ht="15" hidden="false" customHeight="false" outlineLevel="0" collapsed="false">
      <c r="A225" s="14" t="n">
        <v>22</v>
      </c>
      <c r="B225" s="59" t="s">
        <v>155</v>
      </c>
      <c r="C225" s="12" t="n">
        <v>416500</v>
      </c>
      <c r="D225" s="12" t="n">
        <f aca="false">216000+200000+500</f>
        <v>416500</v>
      </c>
      <c r="E225" s="13" t="n">
        <f aca="false">C225-D225</f>
        <v>0</v>
      </c>
    </row>
    <row r="226" customFormat="false" ht="15" hidden="false" customHeight="false" outlineLevel="0" collapsed="false">
      <c r="A226" s="14" t="n">
        <v>23</v>
      </c>
      <c r="B226" s="59" t="s">
        <v>156</v>
      </c>
      <c r="C226" s="12" t="n">
        <v>416500</v>
      </c>
      <c r="D226" s="12" t="n">
        <f aca="false">216500+200000</f>
        <v>416500</v>
      </c>
      <c r="E226" s="13" t="n">
        <f aca="false">C226-D226</f>
        <v>0</v>
      </c>
    </row>
    <row r="227" customFormat="false" ht="15" hidden="false" customHeight="false" outlineLevel="0" collapsed="false">
      <c r="A227" s="14" t="n">
        <v>24</v>
      </c>
      <c r="B227" s="59" t="s">
        <v>157</v>
      </c>
      <c r="C227" s="12" t="n">
        <v>416500</v>
      </c>
      <c r="D227" s="12" t="n">
        <f aca="false">216500+200000</f>
        <v>416500</v>
      </c>
      <c r="E227" s="13" t="n">
        <f aca="false">C227-D227</f>
        <v>0</v>
      </c>
    </row>
    <row r="228" customFormat="false" ht="15" hidden="false" customHeight="false" outlineLevel="0" collapsed="false">
      <c r="A228" s="14" t="n">
        <v>25</v>
      </c>
      <c r="B228" s="59" t="s">
        <v>158</v>
      </c>
      <c r="C228" s="12" t="n">
        <v>416500</v>
      </c>
      <c r="D228" s="12" t="n">
        <f aca="false">216000+200500</f>
        <v>416500</v>
      </c>
      <c r="E228" s="13" t="n">
        <f aca="false">C228-D228</f>
        <v>0</v>
      </c>
    </row>
    <row r="229" customFormat="false" ht="15" hidden="false" customHeight="false" outlineLevel="0" collapsed="false">
      <c r="A229" s="14" t="n">
        <v>26</v>
      </c>
      <c r="B229" s="59" t="s">
        <v>159</v>
      </c>
      <c r="C229" s="12" t="n">
        <v>416500</v>
      </c>
      <c r="D229" s="12" t="n">
        <f aca="false">416500</f>
        <v>416500</v>
      </c>
      <c r="E229" s="13" t="n">
        <f aca="false">C229-D229</f>
        <v>0</v>
      </c>
    </row>
    <row r="230" customFormat="false" ht="15" hidden="false" customHeight="false" outlineLevel="0" collapsed="false">
      <c r="A230" s="14" t="n">
        <v>27</v>
      </c>
      <c r="B230" s="59" t="s">
        <v>160</v>
      </c>
      <c r="C230" s="12" t="n">
        <v>416500</v>
      </c>
      <c r="D230" s="12" t="n">
        <f aca="false">216500+200000</f>
        <v>416500</v>
      </c>
      <c r="E230" s="13" t="n">
        <f aca="false">C230-D230</f>
        <v>0</v>
      </c>
    </row>
    <row r="231" customFormat="false" ht="15" hidden="false" customHeight="false" outlineLevel="0" collapsed="false">
      <c r="A231" s="14" t="n">
        <v>28</v>
      </c>
      <c r="B231" s="59" t="s">
        <v>161</v>
      </c>
      <c r="C231" s="12" t="n">
        <v>416500</v>
      </c>
      <c r="D231" s="12" t="n">
        <f aca="false">216500+200000</f>
        <v>416500</v>
      </c>
      <c r="E231" s="13" t="n">
        <f aca="false">C231-D231</f>
        <v>0</v>
      </c>
    </row>
    <row r="232" customFormat="false" ht="15" hidden="false" customHeight="false" outlineLevel="0" collapsed="false">
      <c r="A232" s="14" t="n">
        <v>29</v>
      </c>
      <c r="B232" s="59" t="s">
        <v>162</v>
      </c>
      <c r="C232" s="12" t="n">
        <v>416500</v>
      </c>
      <c r="D232" s="12" t="n">
        <f aca="false">216000+200500</f>
        <v>416500</v>
      </c>
      <c r="E232" s="13" t="n">
        <f aca="false">C232-D232</f>
        <v>0</v>
      </c>
    </row>
    <row r="233" customFormat="false" ht="15" hidden="false" customHeight="false" outlineLevel="0" collapsed="false">
      <c r="A233" s="14" t="n">
        <v>30</v>
      </c>
      <c r="B233" s="59" t="s">
        <v>163</v>
      </c>
      <c r="C233" s="12" t="n">
        <v>416500</v>
      </c>
      <c r="D233" s="12" t="n">
        <f aca="false">216000+200500</f>
        <v>416500</v>
      </c>
      <c r="E233" s="13" t="n">
        <f aca="false">C233-D233</f>
        <v>0</v>
      </c>
    </row>
    <row r="234" customFormat="false" ht="15" hidden="false" customHeight="false" outlineLevel="0" collapsed="false">
      <c r="A234" s="14" t="n">
        <v>31</v>
      </c>
      <c r="B234" s="59" t="s">
        <v>164</v>
      </c>
      <c r="C234" s="12" t="n">
        <v>416500</v>
      </c>
      <c r="D234" s="12" t="n">
        <f aca="false">216500+200000</f>
        <v>416500</v>
      </c>
      <c r="E234" s="13" t="n">
        <f aca="false">C234-D234</f>
        <v>0</v>
      </c>
    </row>
    <row r="235" customFormat="false" ht="15" hidden="false" customHeight="false" outlineLevel="0" collapsed="false">
      <c r="A235" s="14" t="n">
        <v>32</v>
      </c>
      <c r="B235" s="59" t="s">
        <v>165</v>
      </c>
      <c r="C235" s="12" t="n">
        <v>416500</v>
      </c>
      <c r="D235" s="12" t="n">
        <f aca="false">216500+200000</f>
        <v>416500</v>
      </c>
      <c r="E235" s="13" t="n">
        <f aca="false">C235-D235</f>
        <v>0</v>
      </c>
    </row>
    <row r="236" customFormat="false" ht="15" hidden="false" customHeight="false" outlineLevel="0" collapsed="false">
      <c r="A236" s="14" t="n">
        <v>33</v>
      </c>
      <c r="B236" s="59" t="s">
        <v>166</v>
      </c>
      <c r="C236" s="12" t="n">
        <v>416500</v>
      </c>
      <c r="D236" s="12" t="n">
        <f aca="false">216000+200500</f>
        <v>416500</v>
      </c>
      <c r="E236" s="13" t="n">
        <f aca="false">C236-D236</f>
        <v>0</v>
      </c>
    </row>
    <row r="237" customFormat="false" ht="15" hidden="false" customHeight="false" outlineLevel="0" collapsed="false">
      <c r="A237" s="14" t="n">
        <v>34</v>
      </c>
      <c r="B237" s="59" t="s">
        <v>167</v>
      </c>
      <c r="C237" s="12" t="n">
        <v>416500</v>
      </c>
      <c r="D237" s="12" t="n">
        <f aca="false">216500+100000+100000</f>
        <v>416500</v>
      </c>
      <c r="E237" s="13" t="n">
        <f aca="false">C237-D237</f>
        <v>0</v>
      </c>
    </row>
    <row r="238" customFormat="false" ht="15" hidden="false" customHeight="false" outlineLevel="0" collapsed="false">
      <c r="A238" s="14" t="n">
        <v>35</v>
      </c>
      <c r="B238" s="59" t="s">
        <v>168</v>
      </c>
      <c r="C238" s="12" t="n">
        <v>416500</v>
      </c>
      <c r="D238" s="12" t="n">
        <f aca="false">216500+200000</f>
        <v>416500</v>
      </c>
      <c r="E238" s="13" t="n">
        <f aca="false">C238-D238</f>
        <v>0</v>
      </c>
    </row>
    <row r="239" customFormat="false" ht="15" hidden="false" customHeight="false" outlineLevel="0" collapsed="false">
      <c r="A239" s="14" t="n">
        <v>36</v>
      </c>
      <c r="B239" s="59" t="s">
        <v>169</v>
      </c>
      <c r="C239" s="12" t="n">
        <v>416500</v>
      </c>
      <c r="D239" s="12" t="n">
        <f aca="false">215950+200000+550</f>
        <v>416500</v>
      </c>
      <c r="E239" s="13" t="n">
        <f aca="false">C239-D239</f>
        <v>0</v>
      </c>
    </row>
    <row r="240" customFormat="false" ht="15" hidden="false" customHeight="false" outlineLevel="0" collapsed="false">
      <c r="A240" s="14" t="n">
        <v>37</v>
      </c>
      <c r="B240" s="59" t="s">
        <v>170</v>
      </c>
      <c r="C240" s="12" t="n">
        <v>416500</v>
      </c>
      <c r="D240" s="12" t="n">
        <f aca="false">216000+200000+500</f>
        <v>416500</v>
      </c>
      <c r="E240" s="13" t="n">
        <f aca="false">C240-D240</f>
        <v>0</v>
      </c>
    </row>
    <row r="241" customFormat="false" ht="15" hidden="false" customHeight="false" outlineLevel="0" collapsed="false">
      <c r="A241" s="14" t="n">
        <v>38</v>
      </c>
      <c r="B241" s="59" t="s">
        <v>171</v>
      </c>
      <c r="C241" s="12" t="n">
        <v>416500</v>
      </c>
      <c r="D241" s="12" t="n">
        <f aca="false">216000</f>
        <v>216000</v>
      </c>
      <c r="E241" s="13" t="n">
        <f aca="false">C241-D241</f>
        <v>200500</v>
      </c>
    </row>
    <row r="242" customFormat="false" ht="15" hidden="false" customHeight="false" outlineLevel="0" collapsed="false">
      <c r="A242" s="14" t="n">
        <v>39</v>
      </c>
      <c r="B242" s="59" t="s">
        <v>172</v>
      </c>
      <c r="C242" s="12" t="n">
        <v>416500</v>
      </c>
      <c r="D242" s="12" t="n">
        <f aca="false">216500+200000</f>
        <v>416500</v>
      </c>
      <c r="E242" s="13" t="n">
        <f aca="false">C242-D242</f>
        <v>0</v>
      </c>
    </row>
    <row r="243" customFormat="false" ht="15" hidden="false" customHeight="false" outlineLevel="0" collapsed="false">
      <c r="A243" s="14" t="n">
        <v>40</v>
      </c>
      <c r="B243" s="59" t="s">
        <v>173</v>
      </c>
      <c r="C243" s="12" t="n">
        <v>416500</v>
      </c>
      <c r="D243" s="12" t="n">
        <f aca="false">216500+100000+100000</f>
        <v>416500</v>
      </c>
      <c r="E243" s="13" t="n">
        <f aca="false">C243-D243</f>
        <v>0</v>
      </c>
    </row>
    <row r="244" customFormat="false" ht="15" hidden="false" customHeight="false" outlineLevel="0" collapsed="false">
      <c r="A244" s="14" t="n">
        <v>41</v>
      </c>
      <c r="B244" s="59" t="s">
        <v>174</v>
      </c>
      <c r="C244" s="12" t="n">
        <v>416500</v>
      </c>
      <c r="D244" s="12" t="n">
        <f aca="false">416500</f>
        <v>416500</v>
      </c>
      <c r="E244" s="13" t="n">
        <f aca="false">C244-D244</f>
        <v>0</v>
      </c>
    </row>
    <row r="245" customFormat="false" ht="15" hidden="false" customHeight="false" outlineLevel="0" collapsed="false">
      <c r="A245" s="14" t="n">
        <v>42</v>
      </c>
      <c r="B245" s="60" t="s">
        <v>175</v>
      </c>
      <c r="C245" s="61" t="n">
        <v>316500</v>
      </c>
      <c r="D245" s="61" t="n">
        <f aca="false">316550</f>
        <v>316550</v>
      </c>
      <c r="E245" s="62" t="n">
        <f aca="false">C245-D245</f>
        <v>-50</v>
      </c>
      <c r="F245" s="38"/>
      <c r="G245" s="38"/>
    </row>
    <row r="246" customFormat="false" ht="15" hidden="false" customHeight="false" outlineLevel="0" collapsed="false">
      <c r="A246" s="14" t="n">
        <v>43</v>
      </c>
      <c r="B246" s="59" t="s">
        <v>176</v>
      </c>
      <c r="C246" s="12" t="n">
        <v>416500</v>
      </c>
      <c r="D246" s="12" t="n">
        <f aca="false">216500+200000</f>
        <v>416500</v>
      </c>
      <c r="E246" s="13" t="n">
        <f aca="false">C246-D246</f>
        <v>0</v>
      </c>
    </row>
    <row r="247" customFormat="false" ht="15" hidden="false" customHeight="false" outlineLevel="0" collapsed="false">
      <c r="A247" s="14" t="n">
        <v>44</v>
      </c>
      <c r="B247" s="59" t="s">
        <v>177</v>
      </c>
      <c r="C247" s="12" t="n">
        <v>416500</v>
      </c>
      <c r="D247" s="12" t="n">
        <f aca="false">200000+1500+16000+200000</f>
        <v>417500</v>
      </c>
      <c r="E247" s="13" t="n">
        <f aca="false">C247-D247</f>
        <v>-1000</v>
      </c>
    </row>
    <row r="248" customFormat="false" ht="15" hidden="false" customHeight="false" outlineLevel="0" collapsed="false">
      <c r="A248" s="42" t="n">
        <v>45</v>
      </c>
      <c r="B248" s="59" t="s">
        <v>178</v>
      </c>
      <c r="C248" s="12" t="n">
        <v>416500</v>
      </c>
      <c r="D248" s="12" t="n">
        <f aca="false">216000+200500</f>
        <v>416500</v>
      </c>
      <c r="E248" s="13" t="n">
        <f aca="false">C248-D248</f>
        <v>0</v>
      </c>
    </row>
    <row r="249" customFormat="false" ht="15" hidden="false" customHeight="false" outlineLevel="0" collapsed="false">
      <c r="A249" s="42" t="n">
        <v>46</v>
      </c>
      <c r="B249" s="59" t="s">
        <v>179</v>
      </c>
      <c r="C249" s="12" t="n">
        <v>416500</v>
      </c>
      <c r="D249" s="12" t="n">
        <f aca="false">216500+200000</f>
        <v>416500</v>
      </c>
      <c r="E249" s="13" t="n">
        <f aca="false">C249-D249</f>
        <v>0</v>
      </c>
    </row>
    <row r="250" customFormat="false" ht="15" hidden="false" customHeight="false" outlineLevel="0" collapsed="false">
      <c r="A250" s="42" t="n">
        <v>47</v>
      </c>
      <c r="B250" s="59" t="s">
        <v>180</v>
      </c>
      <c r="C250" s="12" t="n">
        <v>416500</v>
      </c>
      <c r="D250" s="12" t="n">
        <f aca="false">216500+170000+30000</f>
        <v>416500</v>
      </c>
      <c r="E250" s="13" t="n">
        <f aca="false">C250-D250</f>
        <v>0</v>
      </c>
    </row>
    <row r="251" customFormat="false" ht="15" hidden="false" customHeight="false" outlineLevel="0" collapsed="false">
      <c r="A251" s="14" t="n">
        <v>48</v>
      </c>
      <c r="B251" s="59" t="s">
        <v>181</v>
      </c>
      <c r="C251" s="12" t="n">
        <v>416500</v>
      </c>
      <c r="D251" s="12" t="n">
        <f aca="false">216000+200000</f>
        <v>416000</v>
      </c>
      <c r="E251" s="13" t="n">
        <f aca="false">C251-D251</f>
        <v>500</v>
      </c>
    </row>
    <row r="252" customFormat="false" ht="15" hidden="false" customHeight="false" outlineLevel="0" collapsed="false">
      <c r="A252" s="14" t="n">
        <v>49</v>
      </c>
      <c r="B252" s="59" t="s">
        <v>182</v>
      </c>
      <c r="C252" s="12" t="n">
        <v>416500</v>
      </c>
      <c r="D252" s="12" t="n">
        <f aca="false">216500+200000</f>
        <v>416500</v>
      </c>
      <c r="E252" s="13" t="n">
        <f aca="false">C252-D252</f>
        <v>0</v>
      </c>
    </row>
    <row r="253" customFormat="false" ht="15" hidden="false" customHeight="false" outlineLevel="0" collapsed="false">
      <c r="A253" s="14" t="n">
        <v>50</v>
      </c>
      <c r="B253" s="59" t="s">
        <v>183</v>
      </c>
      <c r="C253" s="12" t="n">
        <v>416500</v>
      </c>
      <c r="D253" s="12" t="n">
        <f aca="false">216500+200000</f>
        <v>416500</v>
      </c>
      <c r="E253" s="13" t="n">
        <f aca="false">C253-D253</f>
        <v>0</v>
      </c>
    </row>
    <row r="254" customFormat="false" ht="15" hidden="false" customHeight="false" outlineLevel="0" collapsed="false">
      <c r="A254" s="42" t="n">
        <v>51</v>
      </c>
      <c r="B254" s="63" t="s">
        <v>184</v>
      </c>
      <c r="C254" s="12" t="n">
        <v>416500</v>
      </c>
      <c r="D254" s="12" t="n">
        <v>150000</v>
      </c>
      <c r="E254" s="13" t="n">
        <f aca="false">C254-D254</f>
        <v>266500</v>
      </c>
    </row>
    <row r="255" customFormat="false" ht="15" hidden="false" customHeight="false" outlineLevel="0" collapsed="false">
      <c r="A255" s="14" t="n">
        <v>52</v>
      </c>
      <c r="B255" s="59" t="s">
        <v>185</v>
      </c>
      <c r="C255" s="12" t="n">
        <v>416500</v>
      </c>
      <c r="D255" s="12" t="n">
        <f aca="false">216000+200500</f>
        <v>416500</v>
      </c>
      <c r="E255" s="13" t="n">
        <f aca="false">C255-D255</f>
        <v>0</v>
      </c>
    </row>
    <row r="256" customFormat="false" ht="15" hidden="false" customHeight="false" outlineLevel="0" collapsed="false">
      <c r="A256" s="42" t="n">
        <v>53</v>
      </c>
      <c r="B256" s="59" t="s">
        <v>186</v>
      </c>
      <c r="C256" s="12" t="n">
        <v>416500</v>
      </c>
      <c r="D256" s="12" t="n">
        <f aca="false">216500+170000+30000</f>
        <v>416500</v>
      </c>
      <c r="E256" s="13" t="n">
        <f aca="false">C256-D256</f>
        <v>0</v>
      </c>
    </row>
    <row r="257" customFormat="false" ht="15" hidden="false" customHeight="false" outlineLevel="0" collapsed="false">
      <c r="A257" s="14" t="n">
        <v>54</v>
      </c>
      <c r="B257" s="59" t="s">
        <v>187</v>
      </c>
      <c r="C257" s="12" t="n">
        <v>416500</v>
      </c>
      <c r="D257" s="12" t="n">
        <f aca="false">216500+200000</f>
        <v>416500</v>
      </c>
      <c r="E257" s="13" t="n">
        <f aca="false">C257-D257</f>
        <v>0</v>
      </c>
    </row>
    <row r="258" customFormat="false" ht="15" hidden="false" customHeight="false" outlineLevel="0" collapsed="false">
      <c r="A258" s="47" t="n">
        <v>55</v>
      </c>
      <c r="B258" s="59" t="s">
        <v>188</v>
      </c>
      <c r="C258" s="12" t="n">
        <v>416500</v>
      </c>
      <c r="D258" s="12" t="n">
        <f aca="false">200000+216000</f>
        <v>416000</v>
      </c>
      <c r="E258" s="13" t="n">
        <f aca="false">C258-D258</f>
        <v>500</v>
      </c>
    </row>
    <row r="259" customFormat="false" ht="15" hidden="false" customHeight="false" outlineLevel="0" collapsed="false">
      <c r="A259" s="47" t="n">
        <v>56</v>
      </c>
      <c r="B259" s="59" t="s">
        <v>189</v>
      </c>
      <c r="C259" s="12" t="n">
        <v>416500</v>
      </c>
      <c r="D259" s="12" t="n">
        <f aca="false">216500+200500</f>
        <v>417000</v>
      </c>
      <c r="E259" s="13" t="n">
        <f aca="false">C259-D259</f>
        <v>-500</v>
      </c>
    </row>
    <row r="260" customFormat="false" ht="15" hidden="false" customHeight="false" outlineLevel="0" collapsed="false">
      <c r="A260" s="42" t="n">
        <v>57</v>
      </c>
      <c r="B260" s="59" t="s">
        <v>190</v>
      </c>
      <c r="C260" s="12" t="n">
        <v>416500</v>
      </c>
      <c r="D260" s="12" t="n">
        <f aca="false">216000+200000+500</f>
        <v>416500</v>
      </c>
      <c r="E260" s="13" t="n">
        <f aca="false">C260-D260</f>
        <v>0</v>
      </c>
    </row>
    <row r="261" customFormat="false" ht="15" hidden="false" customHeight="false" outlineLevel="0" collapsed="false">
      <c r="A261" s="14" t="n">
        <v>58</v>
      </c>
      <c r="B261" s="64" t="s">
        <v>191</v>
      </c>
      <c r="C261" s="12" t="n">
        <v>416500</v>
      </c>
      <c r="D261" s="12" t="n">
        <f aca="false">216500+200000</f>
        <v>416500</v>
      </c>
      <c r="E261" s="13" t="n">
        <f aca="false">C261-D261</f>
        <v>0</v>
      </c>
    </row>
    <row r="262" customFormat="false" ht="15" hidden="false" customHeight="false" outlineLevel="0" collapsed="false">
      <c r="A262" s="65" t="n">
        <v>59</v>
      </c>
      <c r="B262" s="66" t="s">
        <v>192</v>
      </c>
      <c r="C262" s="67" t="n">
        <v>416500</v>
      </c>
      <c r="D262" s="12" t="n">
        <f aca="false">216000+200500</f>
        <v>416500</v>
      </c>
      <c r="E262" s="13" t="n">
        <f aca="false">C262-D262</f>
        <v>0</v>
      </c>
    </row>
    <row r="263" customFormat="false" ht="15" hidden="false" customHeight="false" outlineLevel="0" collapsed="false">
      <c r="A263" s="14" t="n">
        <v>60</v>
      </c>
      <c r="B263" s="58" t="s">
        <v>193</v>
      </c>
      <c r="C263" s="12" t="n">
        <v>416500</v>
      </c>
      <c r="D263" s="12" t="n">
        <f aca="false">216000+200500</f>
        <v>416500</v>
      </c>
      <c r="E263" s="13" t="n">
        <f aca="false">C263-D263</f>
        <v>0</v>
      </c>
    </row>
    <row r="264" customFormat="false" ht="15" hidden="false" customHeight="false" outlineLevel="0" collapsed="false">
      <c r="A264" s="42" t="n">
        <v>61</v>
      </c>
      <c r="B264" s="59" t="s">
        <v>194</v>
      </c>
      <c r="C264" s="12" t="n">
        <v>416500</v>
      </c>
      <c r="D264" s="12" t="n">
        <f aca="false">300000+116500</f>
        <v>416500</v>
      </c>
      <c r="E264" s="13" t="n">
        <f aca="false">C264-D264</f>
        <v>0</v>
      </c>
    </row>
    <row r="265" customFormat="false" ht="15" hidden="false" customHeight="false" outlineLevel="0" collapsed="false">
      <c r="A265" s="14" t="n">
        <v>62</v>
      </c>
      <c r="B265" s="59" t="s">
        <v>195</v>
      </c>
      <c r="C265" s="12" t="n">
        <v>416500</v>
      </c>
      <c r="D265" s="12" t="n">
        <f aca="false">215950+200000+550</f>
        <v>416500</v>
      </c>
      <c r="E265" s="13" t="n">
        <f aca="false">C265-D265</f>
        <v>0</v>
      </c>
    </row>
    <row r="266" customFormat="false" ht="15" hidden="false" customHeight="false" outlineLevel="0" collapsed="false">
      <c r="A266" s="42" t="n">
        <v>63</v>
      </c>
      <c r="B266" s="59" t="s">
        <v>196</v>
      </c>
      <c r="C266" s="12" t="n">
        <v>416500</v>
      </c>
      <c r="D266" s="12" t="n">
        <f aca="false">216500+200500</f>
        <v>417000</v>
      </c>
      <c r="E266" s="13" t="n">
        <f aca="false">C266-D266</f>
        <v>-500</v>
      </c>
    </row>
    <row r="267" customFormat="false" ht="15" hidden="false" customHeight="false" outlineLevel="0" collapsed="false">
      <c r="A267" s="14" t="n">
        <v>64</v>
      </c>
      <c r="B267" s="59" t="s">
        <v>197</v>
      </c>
      <c r="C267" s="12" t="n">
        <v>416500</v>
      </c>
      <c r="D267" s="12" t="n">
        <f aca="false">266500+30000+110000+10000</f>
        <v>416500</v>
      </c>
      <c r="E267" s="13" t="n">
        <f aca="false">C267-D267</f>
        <v>0</v>
      </c>
    </row>
    <row r="268" customFormat="false" ht="15" hidden="false" customHeight="false" outlineLevel="0" collapsed="false">
      <c r="A268" s="42" t="n">
        <v>65</v>
      </c>
      <c r="B268" s="59" t="s">
        <v>198</v>
      </c>
      <c r="C268" s="12" t="n">
        <v>416500</v>
      </c>
      <c r="D268" s="12" t="n">
        <f aca="false">216000+200500</f>
        <v>416500</v>
      </c>
      <c r="E268" s="13" t="n">
        <f aca="false">C268-D268</f>
        <v>0</v>
      </c>
    </row>
    <row r="269" customFormat="false" ht="15" hidden="false" customHeight="false" outlineLevel="0" collapsed="false">
      <c r="A269" s="42" t="n">
        <v>66</v>
      </c>
      <c r="B269" s="59" t="s">
        <v>199</v>
      </c>
      <c r="C269" s="12" t="n">
        <v>416500</v>
      </c>
      <c r="D269" s="12" t="n">
        <f aca="false">216000+100000+100500</f>
        <v>416500</v>
      </c>
      <c r="E269" s="13" t="n">
        <f aca="false">C269-D269</f>
        <v>0</v>
      </c>
    </row>
    <row r="270" customFormat="false" ht="15" hidden="false" customHeight="false" outlineLevel="0" collapsed="false">
      <c r="A270" s="42" t="n">
        <v>67</v>
      </c>
      <c r="B270" s="59" t="s">
        <v>200</v>
      </c>
      <c r="C270" s="12" t="n">
        <v>416500</v>
      </c>
      <c r="D270" s="12" t="n">
        <f aca="false">216000+200550</f>
        <v>416550</v>
      </c>
      <c r="E270" s="13" t="n">
        <f aca="false">C270-D270</f>
        <v>-50</v>
      </c>
    </row>
    <row r="271" customFormat="false" ht="15.75" hidden="false" customHeight="true" outlineLevel="0" collapsed="false">
      <c r="A271" s="42" t="n">
        <v>68</v>
      </c>
      <c r="B271" s="59" t="s">
        <v>201</v>
      </c>
      <c r="C271" s="12" t="n">
        <v>416500</v>
      </c>
      <c r="D271" s="12" t="n">
        <f aca="false">216500+200000</f>
        <v>416500</v>
      </c>
      <c r="E271" s="13" t="n">
        <f aca="false">C271-D271</f>
        <v>0</v>
      </c>
    </row>
    <row r="272" customFormat="false" ht="15.75" hidden="false" customHeight="true" outlineLevel="0" collapsed="false">
      <c r="A272" s="42" t="n">
        <v>69</v>
      </c>
      <c r="B272" s="59" t="s">
        <v>202</v>
      </c>
      <c r="C272" s="12" t="n">
        <v>416500</v>
      </c>
      <c r="D272" s="12" t="n">
        <f aca="false">216500+200000</f>
        <v>416500</v>
      </c>
      <c r="E272" s="13" t="n">
        <f aca="false">C272-D272</f>
        <v>0</v>
      </c>
    </row>
    <row r="273" customFormat="false" ht="15.75" hidden="false" customHeight="true" outlineLevel="0" collapsed="false">
      <c r="A273" s="42" t="n">
        <v>70</v>
      </c>
      <c r="B273" s="59" t="s">
        <v>203</v>
      </c>
      <c r="C273" s="12" t="n">
        <v>416500</v>
      </c>
      <c r="D273" s="12" t="n">
        <f aca="false">216000+100000+50000+50500</f>
        <v>416500</v>
      </c>
      <c r="E273" s="13" t="n">
        <f aca="false">C273-D273</f>
        <v>0</v>
      </c>
    </row>
    <row r="274" customFormat="false" ht="15.75" hidden="false" customHeight="true" outlineLevel="0" collapsed="false">
      <c r="A274" s="42" t="n">
        <v>71</v>
      </c>
      <c r="B274" s="59" t="s">
        <v>204</v>
      </c>
      <c r="C274" s="12" t="n">
        <v>416500</v>
      </c>
      <c r="D274" s="12" t="n">
        <f aca="false">216000+200000+500</f>
        <v>416500</v>
      </c>
      <c r="E274" s="13" t="n">
        <f aca="false">C274-D274</f>
        <v>0</v>
      </c>
    </row>
    <row r="275" customFormat="false" ht="15.75" hidden="false" customHeight="true" outlineLevel="0" collapsed="false">
      <c r="A275" s="42" t="n">
        <v>72</v>
      </c>
      <c r="B275" s="59" t="s">
        <v>205</v>
      </c>
      <c r="C275" s="12" t="n">
        <v>416500</v>
      </c>
      <c r="D275" s="12" t="n">
        <f aca="false">216000+200500</f>
        <v>416500</v>
      </c>
      <c r="E275" s="13" t="n">
        <f aca="false">C275-D275</f>
        <v>0</v>
      </c>
    </row>
    <row r="276" customFormat="false" ht="15.75" hidden="false" customHeight="true" outlineLevel="0" collapsed="false">
      <c r="A276" s="42" t="n">
        <v>73</v>
      </c>
      <c r="B276" s="59" t="s">
        <v>206</v>
      </c>
      <c r="C276" s="12" t="n">
        <v>416500</v>
      </c>
      <c r="D276" s="12" t="n">
        <f aca="false">216000+200000+500</f>
        <v>416500</v>
      </c>
      <c r="E276" s="13" t="n">
        <f aca="false">C276-D276</f>
        <v>0</v>
      </c>
    </row>
    <row r="277" customFormat="false" ht="15.75" hidden="false" customHeight="true" outlineLevel="0" collapsed="false">
      <c r="A277" s="42" t="n">
        <v>74</v>
      </c>
      <c r="B277" s="59" t="s">
        <v>207</v>
      </c>
      <c r="C277" s="12" t="n">
        <v>416500</v>
      </c>
      <c r="D277" s="12" t="n">
        <f aca="false">217000+200000</f>
        <v>417000</v>
      </c>
      <c r="E277" s="13" t="n">
        <f aca="false">C277-D277</f>
        <v>-500</v>
      </c>
    </row>
    <row r="278" customFormat="false" ht="15.75" hidden="false" customHeight="true" outlineLevel="0" collapsed="false">
      <c r="A278" s="42" t="n">
        <v>75</v>
      </c>
      <c r="B278" s="59" t="s">
        <v>208</v>
      </c>
      <c r="C278" s="12" t="n">
        <v>416500</v>
      </c>
      <c r="D278" s="12" t="n">
        <f aca="false">216500+200000</f>
        <v>416500</v>
      </c>
      <c r="E278" s="13" t="n">
        <f aca="false">C278-D278</f>
        <v>0</v>
      </c>
    </row>
    <row r="279" customFormat="false" ht="15.75" hidden="false" customHeight="true" outlineLevel="0" collapsed="false">
      <c r="A279" s="42" t="n">
        <v>76</v>
      </c>
      <c r="B279" s="59" t="s">
        <v>209</v>
      </c>
      <c r="C279" s="12" t="n">
        <v>416500</v>
      </c>
      <c r="D279" s="12" t="n">
        <f aca="false">216000+200500</f>
        <v>416500</v>
      </c>
      <c r="E279" s="13" t="n">
        <f aca="false">C279-D279</f>
        <v>0</v>
      </c>
    </row>
    <row r="280" customFormat="false" ht="15.75" hidden="false" customHeight="true" outlineLevel="0" collapsed="false">
      <c r="A280" s="42" t="n">
        <v>77</v>
      </c>
      <c r="B280" s="59" t="s">
        <v>210</v>
      </c>
      <c r="C280" s="12" t="n">
        <v>416500</v>
      </c>
      <c r="D280" s="12" t="n">
        <f aca="false">216500+200000</f>
        <v>416500</v>
      </c>
      <c r="E280" s="13" t="n">
        <f aca="false">C280-D280</f>
        <v>0</v>
      </c>
    </row>
    <row r="281" customFormat="false" ht="15.75" hidden="false" customHeight="true" outlineLevel="0" collapsed="false">
      <c r="A281" s="42" t="n">
        <v>78</v>
      </c>
      <c r="B281" s="59" t="s">
        <v>211</v>
      </c>
      <c r="C281" s="12" t="n">
        <v>416500</v>
      </c>
      <c r="D281" s="12" t="n">
        <f aca="false">249950+166000+550</f>
        <v>416500</v>
      </c>
      <c r="E281" s="13" t="n">
        <f aca="false">C281-D281</f>
        <v>0</v>
      </c>
    </row>
    <row r="282" customFormat="false" ht="15.75" hidden="false" customHeight="true" outlineLevel="0" collapsed="false">
      <c r="A282" s="42" t="n">
        <v>79</v>
      </c>
      <c r="B282" s="59" t="s">
        <v>212</v>
      </c>
      <c r="C282" s="12" t="n">
        <v>416500</v>
      </c>
      <c r="D282" s="12" t="n">
        <f aca="false">15000+1500+200000+200000</f>
        <v>416500</v>
      </c>
      <c r="E282" s="13" t="n">
        <f aca="false">C282-D282</f>
        <v>0</v>
      </c>
    </row>
    <row r="283" customFormat="false" ht="15.75" hidden="false" customHeight="true" outlineLevel="0" collapsed="false">
      <c r="A283" s="42" t="n">
        <v>80</v>
      </c>
      <c r="B283" s="59" t="s">
        <v>213</v>
      </c>
      <c r="C283" s="12" t="n">
        <v>416500</v>
      </c>
      <c r="D283" s="12" t="n">
        <f aca="false">216500+200000</f>
        <v>416500</v>
      </c>
      <c r="E283" s="13" t="n">
        <f aca="false">C283-D283</f>
        <v>0</v>
      </c>
    </row>
    <row r="284" customFormat="false" ht="15.75" hidden="false" customHeight="true" outlineLevel="0" collapsed="false">
      <c r="A284" s="42" t="n">
        <v>81</v>
      </c>
      <c r="B284" s="59" t="s">
        <v>214</v>
      </c>
      <c r="C284" s="12" t="n">
        <v>416500</v>
      </c>
      <c r="D284" s="12" t="n">
        <f aca="false">216500+150000+50000</f>
        <v>416500</v>
      </c>
      <c r="E284" s="13" t="n">
        <f aca="false">C284-D284</f>
        <v>0</v>
      </c>
    </row>
    <row r="285" customFormat="false" ht="15.75" hidden="false" customHeight="true" outlineLevel="0" collapsed="false">
      <c r="A285" s="42" t="n">
        <v>82</v>
      </c>
      <c r="B285" s="59" t="s">
        <v>215</v>
      </c>
      <c r="C285" s="12" t="n">
        <v>416500</v>
      </c>
      <c r="D285" s="12" t="n">
        <f aca="false">216000+200500</f>
        <v>416500</v>
      </c>
      <c r="E285" s="13" t="n">
        <f aca="false">C285-D285</f>
        <v>0</v>
      </c>
    </row>
    <row r="286" customFormat="false" ht="15.75" hidden="false" customHeight="true" outlineLevel="0" collapsed="false">
      <c r="A286" s="42" t="n">
        <v>83</v>
      </c>
      <c r="B286" s="59" t="s">
        <v>216</v>
      </c>
      <c r="C286" s="12" t="n">
        <v>416500</v>
      </c>
      <c r="D286" s="12" t="n">
        <f aca="false">216000+200500</f>
        <v>416500</v>
      </c>
      <c r="E286" s="13" t="n">
        <f aca="false">C286-D286</f>
        <v>0</v>
      </c>
    </row>
    <row r="287" customFormat="false" ht="15.75" hidden="false" customHeight="true" outlineLevel="0" collapsed="false">
      <c r="A287" s="42" t="n">
        <v>84</v>
      </c>
      <c r="B287" s="59" t="s">
        <v>217</v>
      </c>
      <c r="C287" s="12" t="n">
        <v>416500</v>
      </c>
      <c r="D287" s="12" t="n">
        <f aca="false">216000+200500</f>
        <v>416500</v>
      </c>
      <c r="E287" s="13" t="n">
        <f aca="false">C287-D287</f>
        <v>0</v>
      </c>
    </row>
    <row r="288" customFormat="false" ht="15.75" hidden="false" customHeight="true" outlineLevel="0" collapsed="false">
      <c r="A288" s="42" t="n">
        <v>85</v>
      </c>
      <c r="B288" s="59" t="s">
        <v>218</v>
      </c>
      <c r="C288" s="12" t="n">
        <v>416500</v>
      </c>
      <c r="D288" s="12" t="n">
        <f aca="false">251500+165000</f>
        <v>416500</v>
      </c>
      <c r="E288" s="13" t="n">
        <f aca="false">C288-D288</f>
        <v>0</v>
      </c>
    </row>
    <row r="289" customFormat="false" ht="15.75" hidden="false" customHeight="true" outlineLevel="0" collapsed="false">
      <c r="A289" s="42" t="n">
        <v>86</v>
      </c>
      <c r="B289" s="59" t="s">
        <v>219</v>
      </c>
      <c r="C289" s="12" t="n">
        <v>416500</v>
      </c>
      <c r="D289" s="12" t="n">
        <f aca="false">216000+200000+500</f>
        <v>416500</v>
      </c>
      <c r="E289" s="13" t="n">
        <f aca="false">C289-D289</f>
        <v>0</v>
      </c>
    </row>
    <row r="290" customFormat="false" ht="15.75" hidden="false" customHeight="true" outlineLevel="0" collapsed="false">
      <c r="A290" s="42" t="n">
        <v>87</v>
      </c>
      <c r="B290" s="59" t="s">
        <v>220</v>
      </c>
      <c r="C290" s="12" t="n">
        <v>416500</v>
      </c>
      <c r="D290" s="12" t="n">
        <f aca="false">216000+100000+100500</f>
        <v>416500</v>
      </c>
      <c r="E290" s="13" t="n">
        <f aca="false">C290-D290</f>
        <v>0</v>
      </c>
    </row>
    <row r="291" customFormat="false" ht="15.75" hidden="false" customHeight="true" outlineLevel="0" collapsed="false">
      <c r="A291" s="42" t="n">
        <v>88</v>
      </c>
      <c r="B291" s="59" t="s">
        <v>221</v>
      </c>
      <c r="C291" s="12" t="n">
        <v>416500</v>
      </c>
      <c r="D291" s="12" t="n">
        <f aca="false">216500+200000</f>
        <v>416500</v>
      </c>
      <c r="E291" s="13" t="n">
        <f aca="false">C291-D291</f>
        <v>0</v>
      </c>
    </row>
    <row r="292" customFormat="false" ht="15.75" hidden="false" customHeight="true" outlineLevel="0" collapsed="false">
      <c r="A292" s="42" t="n">
        <v>89</v>
      </c>
      <c r="B292" s="59" t="s">
        <v>222</v>
      </c>
      <c r="C292" s="12" t="n">
        <v>416500</v>
      </c>
      <c r="D292" s="12" t="n">
        <f aca="false">216000+200500</f>
        <v>416500</v>
      </c>
      <c r="E292" s="13" t="n">
        <f aca="false">C292-D292</f>
        <v>0</v>
      </c>
    </row>
    <row r="293" customFormat="false" ht="15.75" hidden="false" customHeight="true" outlineLevel="0" collapsed="false">
      <c r="A293" s="42" t="n">
        <v>90</v>
      </c>
      <c r="B293" s="59" t="s">
        <v>223</v>
      </c>
      <c r="C293" s="12" t="n">
        <v>416500</v>
      </c>
      <c r="D293" s="12" t="n">
        <f aca="false">216500+200000</f>
        <v>416500</v>
      </c>
      <c r="E293" s="13" t="n">
        <f aca="false">C293-D293</f>
        <v>0</v>
      </c>
    </row>
    <row r="294" customFormat="false" ht="15.75" hidden="false" customHeight="true" outlineLevel="0" collapsed="false">
      <c r="A294" s="42" t="n">
        <v>91</v>
      </c>
      <c r="B294" s="59" t="s">
        <v>224</v>
      </c>
      <c r="C294" s="12" t="n">
        <v>416500</v>
      </c>
      <c r="D294" s="12" t="n">
        <f aca="false">180000+100000+136500</f>
        <v>416500</v>
      </c>
      <c r="E294" s="13" t="n">
        <f aca="false">C294-D294</f>
        <v>0</v>
      </c>
    </row>
    <row r="295" customFormat="false" ht="15.75" hidden="false" customHeight="true" outlineLevel="0" collapsed="false">
      <c r="A295" s="42" t="n">
        <v>92</v>
      </c>
      <c r="B295" s="59" t="s">
        <v>225</v>
      </c>
      <c r="C295" s="12" t="n">
        <v>416500</v>
      </c>
      <c r="D295" s="12" t="n">
        <f aca="false">216500+200000</f>
        <v>416500</v>
      </c>
      <c r="E295" s="13" t="n">
        <f aca="false">C295-D295</f>
        <v>0</v>
      </c>
    </row>
    <row r="296" customFormat="false" ht="15.75" hidden="false" customHeight="true" outlineLevel="0" collapsed="false">
      <c r="A296" s="42" t="n">
        <v>93</v>
      </c>
      <c r="B296" s="59" t="s">
        <v>226</v>
      </c>
      <c r="C296" s="12" t="n">
        <v>416500</v>
      </c>
      <c r="D296" s="12" t="n">
        <f aca="false">216000+200500</f>
        <v>416500</v>
      </c>
      <c r="E296" s="13" t="n">
        <f aca="false">C296-D296</f>
        <v>0</v>
      </c>
    </row>
    <row r="297" customFormat="false" ht="15.75" hidden="false" customHeight="true" outlineLevel="0" collapsed="false">
      <c r="A297" s="42" t="n">
        <v>94</v>
      </c>
      <c r="B297" s="59" t="s">
        <v>227</v>
      </c>
      <c r="C297" s="12" t="n">
        <v>416500</v>
      </c>
      <c r="D297" s="12" t="n">
        <f aca="false">216500+200000</f>
        <v>416500</v>
      </c>
      <c r="E297" s="13" t="n">
        <f aca="false">C297-D297</f>
        <v>0</v>
      </c>
    </row>
    <row r="298" customFormat="false" ht="15.75" hidden="false" customHeight="true" outlineLevel="0" collapsed="false">
      <c r="A298" s="42" t="n">
        <v>95</v>
      </c>
      <c r="B298" s="59" t="s">
        <v>228</v>
      </c>
      <c r="C298" s="12" t="n">
        <v>416500</v>
      </c>
      <c r="D298" s="12" t="n">
        <f aca="false">216000+200000+500</f>
        <v>416500</v>
      </c>
      <c r="E298" s="13" t="n">
        <f aca="false">C298-D298</f>
        <v>0</v>
      </c>
    </row>
    <row r="299" customFormat="false" ht="15.75" hidden="false" customHeight="true" outlineLevel="0" collapsed="false">
      <c r="A299" s="42" t="n">
        <v>96</v>
      </c>
      <c r="B299" s="59" t="s">
        <v>229</v>
      </c>
      <c r="C299" s="12" t="n">
        <v>416500</v>
      </c>
      <c r="D299" s="12" t="n">
        <f aca="false">200000+1500+15000+200000+500</f>
        <v>417000</v>
      </c>
      <c r="E299" s="13" t="n">
        <f aca="false">C299-D299</f>
        <v>-500</v>
      </c>
    </row>
    <row r="300" customFormat="false" ht="15.75" hidden="false" customHeight="true" outlineLevel="0" collapsed="false">
      <c r="A300" s="42" t="n">
        <v>97</v>
      </c>
      <c r="B300" s="59" t="s">
        <v>230</v>
      </c>
      <c r="C300" s="12" t="n">
        <v>416500</v>
      </c>
      <c r="D300" s="12" t="n">
        <f aca="false">216500+200000</f>
        <v>416500</v>
      </c>
      <c r="E300" s="13" t="n">
        <f aca="false">C300-D300</f>
        <v>0</v>
      </c>
    </row>
    <row r="301" customFormat="false" ht="15.75" hidden="false" customHeight="true" outlineLevel="0" collapsed="false">
      <c r="A301" s="42" t="n">
        <v>98</v>
      </c>
      <c r="B301" s="59" t="s">
        <v>231</v>
      </c>
      <c r="C301" s="12" t="n">
        <v>416500</v>
      </c>
      <c r="D301" s="12" t="n">
        <f aca="false">216500+200000</f>
        <v>416500</v>
      </c>
      <c r="E301" s="13" t="n">
        <f aca="false">C301-D301</f>
        <v>0</v>
      </c>
    </row>
    <row r="302" customFormat="false" ht="15.75" hidden="false" customHeight="true" outlineLevel="0" collapsed="false">
      <c r="A302" s="42" t="n">
        <v>99</v>
      </c>
      <c r="B302" s="59" t="s">
        <v>232</v>
      </c>
      <c r="C302" s="12" t="n">
        <v>416500</v>
      </c>
      <c r="D302" s="12" t="n">
        <f aca="false">300000+116500</f>
        <v>416500</v>
      </c>
      <c r="E302" s="13" t="n">
        <f aca="false">C302-D302</f>
        <v>0</v>
      </c>
    </row>
    <row r="303" customFormat="false" ht="15.75" hidden="false" customHeight="true" outlineLevel="0" collapsed="false">
      <c r="A303" s="42" t="n">
        <v>100</v>
      </c>
      <c r="B303" s="64" t="s">
        <v>233</v>
      </c>
      <c r="C303" s="55" t="n">
        <v>416500</v>
      </c>
      <c r="D303" s="55" t="n">
        <f aca="false">216500+206500</f>
        <v>423000</v>
      </c>
      <c r="E303" s="13" t="n">
        <f aca="false">C303-D303</f>
        <v>-6500</v>
      </c>
    </row>
    <row r="304" customFormat="false" ht="15.75" hidden="false" customHeight="true" outlineLevel="0" collapsed="false">
      <c r="A304" s="42" t="n">
        <v>101</v>
      </c>
      <c r="B304" s="64" t="s">
        <v>234</v>
      </c>
      <c r="C304" s="55" t="n">
        <v>416500</v>
      </c>
      <c r="D304" s="55" t="n">
        <f aca="false">216000+200000+500</f>
        <v>416500</v>
      </c>
      <c r="E304" s="13" t="n">
        <f aca="false">C304-D304</f>
        <v>0</v>
      </c>
    </row>
    <row r="305" customFormat="false" ht="17.35" hidden="false" customHeight="false" outlineLevel="0" collapsed="false">
      <c r="A305" s="68"/>
      <c r="B305" s="17" t="s">
        <v>22</v>
      </c>
      <c r="C305" s="18" t="n">
        <f aca="false">SUM(C205:C302)</f>
        <v>40717000</v>
      </c>
      <c r="D305" s="19" t="n">
        <f aca="false">SUM(D205:D302)</f>
        <v>40252050</v>
      </c>
      <c r="E305" s="20" t="n">
        <f aca="false">SUM(E205:E302)</f>
        <v>464950</v>
      </c>
    </row>
    <row r="308" customFormat="false" ht="17.35" hidden="false" customHeight="false" outlineLevel="0" collapsed="false">
      <c r="B308" s="2" t="s">
        <v>0</v>
      </c>
    </row>
    <row r="309" customFormat="false" ht="17.35" hidden="false" customHeight="false" outlineLevel="0" collapsed="false">
      <c r="A309" s="34"/>
    </row>
    <row r="310" customFormat="false" ht="15" hidden="false" customHeight="false" outlineLevel="0" collapsed="false">
      <c r="A310" s="21"/>
    </row>
    <row r="311" customFormat="false" ht="17.25" hidden="false" customHeight="false" outlineLevel="0" collapsed="false">
      <c r="A311" s="21"/>
      <c r="B311" s="4" t="s">
        <v>235</v>
      </c>
    </row>
    <row r="312" customFormat="false" ht="15" hidden="false" customHeight="false" outlineLevel="0" collapsed="false">
      <c r="A312" s="21"/>
      <c r="D312" s="5" t="s">
        <v>3</v>
      </c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6" t="s">
        <v>4</v>
      </c>
      <c r="B314" s="7" t="s">
        <v>5</v>
      </c>
      <c r="C314" s="8" t="s">
        <v>6</v>
      </c>
      <c r="D314" s="9" t="s">
        <v>7</v>
      </c>
      <c r="E314" s="10" t="s">
        <v>8</v>
      </c>
    </row>
    <row r="315" customFormat="false" ht="15" hidden="false" customHeight="false" outlineLevel="0" collapsed="false">
      <c r="A315" s="14" t="n">
        <v>1</v>
      </c>
      <c r="B315" s="11" t="s">
        <v>236</v>
      </c>
      <c r="C315" s="12" t="n">
        <v>416500</v>
      </c>
      <c r="D315" s="12" t="n">
        <f aca="false">210000+206500</f>
        <v>416500</v>
      </c>
      <c r="E315" s="13" t="n">
        <f aca="false">C315-D315</f>
        <v>0</v>
      </c>
    </row>
    <row r="316" customFormat="false" ht="15" hidden="false" customHeight="false" outlineLevel="0" collapsed="false">
      <c r="A316" s="14" t="n">
        <v>2</v>
      </c>
      <c r="B316" s="43" t="s">
        <v>237</v>
      </c>
      <c r="C316" s="12" t="n">
        <v>416500</v>
      </c>
      <c r="D316" s="12" t="n">
        <f aca="false">216500+200000</f>
        <v>416500</v>
      </c>
      <c r="E316" s="13" t="n">
        <f aca="false">C316-D316</f>
        <v>0</v>
      </c>
    </row>
    <row r="317" customFormat="false" ht="15" hidden="false" customHeight="false" outlineLevel="0" collapsed="false">
      <c r="A317" s="14" t="n">
        <v>3</v>
      </c>
      <c r="B317" s="11" t="s">
        <v>238</v>
      </c>
      <c r="C317" s="12" t="n">
        <v>416500</v>
      </c>
      <c r="D317" s="12" t="n">
        <f aca="false">200000+216500</f>
        <v>416500</v>
      </c>
      <c r="E317" s="13" t="n">
        <f aca="false">C317-D317</f>
        <v>0</v>
      </c>
    </row>
    <row r="318" customFormat="false" ht="15" hidden="false" customHeight="false" outlineLevel="0" collapsed="false">
      <c r="A318" s="14" t="n">
        <v>4</v>
      </c>
      <c r="B318" s="11" t="s">
        <v>239</v>
      </c>
      <c r="C318" s="12" t="n">
        <v>416500</v>
      </c>
      <c r="D318" s="12" t="n">
        <f aca="false">100000+110000+206500</f>
        <v>416500</v>
      </c>
      <c r="E318" s="13" t="n">
        <f aca="false">C318-D318</f>
        <v>0</v>
      </c>
    </row>
    <row r="319" customFormat="false" ht="15" hidden="false" customHeight="false" outlineLevel="0" collapsed="false">
      <c r="A319" s="14" t="n">
        <v>5</v>
      </c>
      <c r="B319" s="11" t="s">
        <v>240</v>
      </c>
      <c r="C319" s="12" t="n">
        <v>416500</v>
      </c>
      <c r="D319" s="12" t="n">
        <f aca="false">216500+200000</f>
        <v>416500</v>
      </c>
      <c r="E319" s="13" t="n">
        <f aca="false">C319-D319</f>
        <v>0</v>
      </c>
    </row>
    <row r="320" customFormat="false" ht="15" hidden="false" customHeight="false" outlineLevel="0" collapsed="false">
      <c r="A320" s="14" t="n">
        <v>6</v>
      </c>
      <c r="B320" s="11" t="s">
        <v>241</v>
      </c>
      <c r="C320" s="12" t="n">
        <v>416500</v>
      </c>
      <c r="D320" s="12" t="n">
        <f aca="false">216500+190000+10000</f>
        <v>416500</v>
      </c>
      <c r="E320" s="13" t="n">
        <f aca="false">C320-D320</f>
        <v>0</v>
      </c>
    </row>
    <row r="321" customFormat="false" ht="15" hidden="false" customHeight="false" outlineLevel="0" collapsed="false">
      <c r="A321" s="57" t="n">
        <v>7</v>
      </c>
      <c r="B321" s="11" t="s">
        <v>242</v>
      </c>
      <c r="C321" s="12" t="n">
        <v>416500</v>
      </c>
      <c r="D321" s="12" t="n">
        <f aca="false">216500+200000</f>
        <v>416500</v>
      </c>
      <c r="E321" s="13" t="n">
        <f aca="false">C321-D321</f>
        <v>0</v>
      </c>
    </row>
    <row r="322" customFormat="false" ht="15" hidden="false" customHeight="false" outlineLevel="0" collapsed="false">
      <c r="A322" s="14" t="n">
        <v>8</v>
      </c>
      <c r="B322" s="11" t="s">
        <v>243</v>
      </c>
      <c r="C322" s="12" t="n">
        <f aca="false">316500+100000</f>
        <v>416500</v>
      </c>
      <c r="D322" s="12" t="n">
        <f aca="false">100000+200000+100000+16500</f>
        <v>416500</v>
      </c>
      <c r="E322" s="13" t="n">
        <f aca="false">C322-D322</f>
        <v>0</v>
      </c>
    </row>
    <row r="323" customFormat="false" ht="15" hidden="false" customHeight="false" outlineLevel="0" collapsed="false">
      <c r="A323" s="14" t="n">
        <v>9</v>
      </c>
      <c r="B323" s="11" t="s">
        <v>244</v>
      </c>
      <c r="C323" s="12" t="n">
        <v>416500</v>
      </c>
      <c r="D323" s="12" t="n">
        <f aca="false">216000+100000+100000+500</f>
        <v>416500</v>
      </c>
      <c r="E323" s="13" t="n">
        <f aca="false">C323-D323</f>
        <v>0</v>
      </c>
    </row>
    <row r="324" customFormat="false" ht="15" hidden="false" customHeight="false" outlineLevel="0" collapsed="false">
      <c r="A324" s="14" t="n">
        <v>10</v>
      </c>
      <c r="B324" s="11" t="s">
        <v>245</v>
      </c>
      <c r="C324" s="12" t="n">
        <v>416500</v>
      </c>
      <c r="D324" s="12" t="n">
        <f aca="false">210000+206500</f>
        <v>416500</v>
      </c>
      <c r="E324" s="13" t="n">
        <f aca="false">C324-D324</f>
        <v>0</v>
      </c>
    </row>
    <row r="325" customFormat="false" ht="15" hidden="false" customHeight="false" outlineLevel="0" collapsed="false">
      <c r="A325" s="14" t="n">
        <v>11</v>
      </c>
      <c r="B325" s="11" t="s">
        <v>246</v>
      </c>
      <c r="C325" s="12" t="n">
        <v>416500</v>
      </c>
      <c r="D325" s="12" t="n">
        <f aca="false">216500+200000</f>
        <v>416500</v>
      </c>
      <c r="E325" s="13" t="n">
        <f aca="false">C325-D325</f>
        <v>0</v>
      </c>
    </row>
    <row r="326" customFormat="false" ht="17.35" hidden="false" customHeight="false" outlineLevel="0" collapsed="false">
      <c r="A326" s="14"/>
      <c r="B326" s="69" t="s">
        <v>22</v>
      </c>
      <c r="C326" s="18" t="n">
        <f aca="false">SUM(C315:C325)</f>
        <v>4581500</v>
      </c>
      <c r="D326" s="70" t="n">
        <f aca="false">SUM(D315:D325)</f>
        <v>4581500</v>
      </c>
      <c r="E326" s="20" t="n">
        <f aca="false">SUM(E315:E325)</f>
        <v>0</v>
      </c>
    </row>
    <row r="327" customFormat="false" ht="15" hidden="false" customHeight="false" outlineLevel="0" collapsed="false">
      <c r="A327" s="21"/>
      <c r="C327" s="26"/>
      <c r="D327" s="26"/>
      <c r="E327" s="27"/>
    </row>
    <row r="331" customFormat="false" ht="17.35" hidden="false" customHeight="false" outlineLevel="0" collapsed="false">
      <c r="B331" s="2" t="s">
        <v>0</v>
      </c>
    </row>
    <row r="332" customFormat="false" ht="17.35" hidden="false" customHeight="false" outlineLevel="0" collapsed="false">
      <c r="A332" s="2"/>
    </row>
    <row r="335" customFormat="false" ht="17.25" hidden="false" customHeight="false" outlineLevel="0" collapsed="false">
      <c r="B335" s="3" t="s">
        <v>247</v>
      </c>
    </row>
    <row r="336" customFormat="false" ht="15" hidden="false" customHeight="false" outlineLevel="0" collapsed="false">
      <c r="B336" s="4"/>
      <c r="E336" s="5" t="s">
        <v>3</v>
      </c>
    </row>
    <row r="339" customFormat="false" ht="15" hidden="false" customHeight="false" outlineLevel="0" collapsed="false">
      <c r="A339" s="6" t="s">
        <v>4</v>
      </c>
      <c r="B339" s="7" t="s">
        <v>5</v>
      </c>
      <c r="C339" s="8" t="s">
        <v>6</v>
      </c>
      <c r="D339" s="9" t="s">
        <v>7</v>
      </c>
      <c r="E339" s="10" t="s">
        <v>8</v>
      </c>
    </row>
    <row r="340" customFormat="false" ht="15" hidden="false" customHeight="false" outlineLevel="0" collapsed="false">
      <c r="A340" s="42" t="n">
        <v>1</v>
      </c>
      <c r="B340" s="63" t="s">
        <v>248</v>
      </c>
      <c r="C340" s="13" t="n">
        <v>416500</v>
      </c>
      <c r="D340" s="67" t="n">
        <f aca="false">216500</f>
        <v>216500</v>
      </c>
      <c r="E340" s="13" t="n">
        <f aca="false">C340-D340</f>
        <v>200000</v>
      </c>
    </row>
    <row r="341" customFormat="false" ht="15" hidden="false" customHeight="false" outlineLevel="0" collapsed="false">
      <c r="A341" s="14" t="n">
        <v>2</v>
      </c>
      <c r="B341" s="60" t="s">
        <v>249</v>
      </c>
      <c r="C341" s="13" t="n">
        <v>416500</v>
      </c>
      <c r="D341" s="67" t="n">
        <f aca="false">220000+196500</f>
        <v>416500</v>
      </c>
      <c r="E341" s="13" t="n">
        <f aca="false">C341-D341</f>
        <v>0</v>
      </c>
    </row>
    <row r="342" customFormat="false" ht="15" hidden="false" customHeight="false" outlineLevel="0" collapsed="false">
      <c r="A342" s="42" t="n">
        <v>3</v>
      </c>
      <c r="B342" s="60" t="s">
        <v>250</v>
      </c>
      <c r="C342" s="13" t="n">
        <v>416500</v>
      </c>
      <c r="D342" s="67" t="n">
        <f aca="false">216000+200000+500</f>
        <v>416500</v>
      </c>
      <c r="E342" s="13" t="n">
        <f aca="false">C342-D342</f>
        <v>0</v>
      </c>
    </row>
    <row r="343" customFormat="false" ht="15" hidden="false" customHeight="false" outlineLevel="0" collapsed="false">
      <c r="A343" s="14" t="n">
        <v>4</v>
      </c>
      <c r="B343" s="60" t="s">
        <v>251</v>
      </c>
      <c r="C343" s="13" t="n">
        <v>416500</v>
      </c>
      <c r="D343" s="12" t="n">
        <f aca="false">200000+217000</f>
        <v>417000</v>
      </c>
      <c r="E343" s="13" t="n">
        <f aca="false">C343-D343</f>
        <v>-500</v>
      </c>
    </row>
    <row r="344" customFormat="false" ht="15" hidden="false" customHeight="false" outlineLevel="0" collapsed="false">
      <c r="A344" s="42" t="n">
        <v>5</v>
      </c>
      <c r="B344" s="60" t="s">
        <v>252</v>
      </c>
      <c r="C344" s="13" t="n">
        <v>416500</v>
      </c>
      <c r="D344" s="12" t="n">
        <f aca="false">216500+150000+50000</f>
        <v>416500</v>
      </c>
      <c r="E344" s="13" t="n">
        <f aca="false">C344-D344</f>
        <v>0</v>
      </c>
    </row>
    <row r="345" customFormat="false" ht="15" hidden="false" customHeight="false" outlineLevel="0" collapsed="false">
      <c r="A345" s="14" t="n">
        <v>6</v>
      </c>
      <c r="B345" s="60" t="s">
        <v>253</v>
      </c>
      <c r="C345" s="13" t="n">
        <v>416500</v>
      </c>
      <c r="D345" s="12" t="n">
        <f aca="false">200000+216000+500</f>
        <v>416500</v>
      </c>
      <c r="E345" s="13" t="n">
        <f aca="false">C345-D345</f>
        <v>0</v>
      </c>
    </row>
    <row r="346" customFormat="false" ht="15" hidden="false" customHeight="false" outlineLevel="0" collapsed="false">
      <c r="A346" s="14" t="n">
        <v>7</v>
      </c>
      <c r="B346" s="60" t="s">
        <v>254</v>
      </c>
      <c r="C346" s="13" t="n">
        <v>416500</v>
      </c>
      <c r="D346" s="12" t="n">
        <f aca="false">200000+135500+40000+41000</f>
        <v>416500</v>
      </c>
      <c r="E346" s="13" t="n">
        <f aca="false">C346-D346</f>
        <v>0</v>
      </c>
    </row>
    <row r="347" customFormat="false" ht="15" hidden="false" customHeight="false" outlineLevel="0" collapsed="false">
      <c r="A347" s="42" t="n">
        <v>8</v>
      </c>
      <c r="B347" s="60" t="s">
        <v>255</v>
      </c>
      <c r="C347" s="13" t="n">
        <v>416500</v>
      </c>
      <c r="D347" s="12" t="n">
        <f aca="false">216500+100000+65000+35000</f>
        <v>416500</v>
      </c>
      <c r="E347" s="13" t="n">
        <f aca="false">C347-D347</f>
        <v>0</v>
      </c>
    </row>
    <row r="348" customFormat="false" ht="15" hidden="false" customHeight="false" outlineLevel="0" collapsed="false">
      <c r="A348" s="14" t="n">
        <v>9</v>
      </c>
      <c r="B348" s="60" t="s">
        <v>256</v>
      </c>
      <c r="C348" s="13" t="n">
        <v>416500</v>
      </c>
      <c r="D348" s="12" t="n">
        <f aca="false">70000+50000+50000+216500+30000</f>
        <v>416500</v>
      </c>
      <c r="E348" s="13" t="n">
        <f aca="false">C348-D348</f>
        <v>0</v>
      </c>
    </row>
    <row r="349" customFormat="false" ht="15" hidden="false" customHeight="false" outlineLevel="0" collapsed="false">
      <c r="A349" s="42" t="n">
        <v>10</v>
      </c>
      <c r="B349" s="60" t="s">
        <v>257</v>
      </c>
      <c r="C349" s="13" t="n">
        <v>416500</v>
      </c>
      <c r="D349" s="12" t="n">
        <f aca="false">115000+100000+100000+105000</f>
        <v>420000</v>
      </c>
      <c r="E349" s="13" t="n">
        <f aca="false">C349-D349</f>
        <v>-3500</v>
      </c>
    </row>
    <row r="350" customFormat="false" ht="15" hidden="false" customHeight="false" outlineLevel="0" collapsed="false">
      <c r="A350" s="14" t="n">
        <v>11</v>
      </c>
      <c r="B350" s="60" t="s">
        <v>258</v>
      </c>
      <c r="C350" s="13" t="n">
        <v>416500</v>
      </c>
      <c r="D350" s="12" t="n">
        <f aca="false">300000+116500</f>
        <v>416500</v>
      </c>
      <c r="E350" s="13" t="n">
        <f aca="false">C350-D350</f>
        <v>0</v>
      </c>
    </row>
    <row r="351" customFormat="false" ht="15" hidden="false" customHeight="false" outlineLevel="0" collapsed="false">
      <c r="A351" s="14" t="n">
        <v>12</v>
      </c>
      <c r="B351" s="60" t="s">
        <v>259</v>
      </c>
      <c r="C351" s="13" t="n">
        <v>416500</v>
      </c>
      <c r="D351" s="12" t="n">
        <f aca="false">216450+200000</f>
        <v>416450</v>
      </c>
      <c r="E351" s="13" t="n">
        <f aca="false">C351-D351</f>
        <v>50</v>
      </c>
    </row>
    <row r="352" customFormat="false" ht="15" hidden="false" customHeight="false" outlineLevel="0" collapsed="false">
      <c r="A352" s="14" t="n">
        <v>13</v>
      </c>
      <c r="B352" s="60" t="s">
        <v>260</v>
      </c>
      <c r="C352" s="13" t="n">
        <v>416500</v>
      </c>
      <c r="D352" s="12" t="n">
        <f aca="false">216500+200000</f>
        <v>416500</v>
      </c>
      <c r="E352" s="13" t="n">
        <f aca="false">C352-D352</f>
        <v>0</v>
      </c>
      <c r="G352" s="71"/>
    </row>
    <row r="353" customFormat="false" ht="15" hidden="false" customHeight="false" outlineLevel="0" collapsed="false">
      <c r="A353" s="14" t="n">
        <v>14</v>
      </c>
      <c r="B353" s="60" t="s">
        <v>261</v>
      </c>
      <c r="C353" s="13" t="n">
        <v>416500</v>
      </c>
      <c r="D353" s="12" t="n">
        <f aca="false">216000+200000+500</f>
        <v>416500</v>
      </c>
      <c r="E353" s="13" t="n">
        <f aca="false">C353-D353</f>
        <v>0</v>
      </c>
    </row>
    <row r="354" customFormat="false" ht="15" hidden="false" customHeight="false" outlineLevel="0" collapsed="false">
      <c r="A354" s="14" t="n">
        <v>15</v>
      </c>
      <c r="B354" s="60" t="s">
        <v>262</v>
      </c>
      <c r="C354" s="13" t="n">
        <v>416500</v>
      </c>
      <c r="D354" s="12" t="n">
        <f aca="false">100000+116500+200000</f>
        <v>416500</v>
      </c>
      <c r="E354" s="13" t="n">
        <f aca="false">C354-D354</f>
        <v>0</v>
      </c>
    </row>
    <row r="355" customFormat="false" ht="15" hidden="false" customHeight="false" outlineLevel="0" collapsed="false">
      <c r="A355" s="14" t="n">
        <v>16</v>
      </c>
      <c r="B355" s="60" t="s">
        <v>263</v>
      </c>
      <c r="C355" s="13" t="n">
        <v>416500</v>
      </c>
      <c r="D355" s="12" t="n">
        <f aca="false">210000+200000+6000+500</f>
        <v>416500</v>
      </c>
      <c r="E355" s="13" t="n">
        <f aca="false">C355-D355</f>
        <v>0</v>
      </c>
    </row>
    <row r="356" customFormat="false" ht="15" hidden="false" customHeight="false" outlineLevel="0" collapsed="false">
      <c r="A356" s="14" t="n">
        <v>17</v>
      </c>
      <c r="B356" s="72" t="s">
        <v>102</v>
      </c>
      <c r="C356" s="13" t="n">
        <v>416500</v>
      </c>
      <c r="D356" s="12" t="n">
        <f aca="false">100000+216500+100000</f>
        <v>416500</v>
      </c>
      <c r="E356" s="13" t="n">
        <f aca="false">C356-D356</f>
        <v>0</v>
      </c>
    </row>
    <row r="357" customFormat="false" ht="15" hidden="false" customHeight="false" outlineLevel="0" collapsed="false">
      <c r="A357" s="14" t="n">
        <v>18</v>
      </c>
      <c r="B357" s="60" t="s">
        <v>264</v>
      </c>
      <c r="C357" s="13" t="n">
        <v>416500</v>
      </c>
      <c r="D357" s="12" t="n">
        <f aca="false">216500+100000+500+100000</f>
        <v>417000</v>
      </c>
      <c r="E357" s="13" t="n">
        <f aca="false">C357-D357</f>
        <v>-500</v>
      </c>
    </row>
    <row r="358" customFormat="false" ht="15" hidden="false" customHeight="false" outlineLevel="0" collapsed="false">
      <c r="A358" s="14" t="n">
        <v>19</v>
      </c>
      <c r="B358" s="60" t="s">
        <v>265</v>
      </c>
      <c r="C358" s="13" t="n">
        <v>416500</v>
      </c>
      <c r="D358" s="12" t="n">
        <f aca="false">220000+196500</f>
        <v>416500</v>
      </c>
      <c r="E358" s="13" t="n">
        <f aca="false">C358-D358</f>
        <v>0</v>
      </c>
    </row>
    <row r="359" customFormat="false" ht="15" hidden="false" customHeight="false" outlineLevel="0" collapsed="false">
      <c r="A359" s="14" t="n">
        <v>20</v>
      </c>
      <c r="B359" s="60" t="s">
        <v>266</v>
      </c>
      <c r="C359" s="13" t="n">
        <v>416500</v>
      </c>
      <c r="D359" s="12" t="n">
        <f aca="false">216500+200000</f>
        <v>416500</v>
      </c>
      <c r="E359" s="13" t="n">
        <f aca="false">C359-D359</f>
        <v>0</v>
      </c>
    </row>
    <row r="360" customFormat="false" ht="15" hidden="false" customHeight="false" outlineLevel="0" collapsed="false">
      <c r="A360" s="14" t="n">
        <v>21</v>
      </c>
      <c r="B360" s="60" t="s">
        <v>267</v>
      </c>
      <c r="C360" s="13" t="n">
        <v>416500</v>
      </c>
      <c r="D360" s="12" t="n">
        <f aca="false">216500+200000</f>
        <v>416500</v>
      </c>
      <c r="E360" s="13" t="n">
        <f aca="false">C360-D360</f>
        <v>0</v>
      </c>
    </row>
    <row r="361" customFormat="false" ht="15" hidden="false" customHeight="false" outlineLevel="0" collapsed="false">
      <c r="A361" s="14" t="n">
        <v>22</v>
      </c>
      <c r="B361" s="60" t="s">
        <v>268</v>
      </c>
      <c r="C361" s="13" t="n">
        <v>416500</v>
      </c>
      <c r="D361" s="12" t="n">
        <f aca="false">100000+240000+75000+1500</f>
        <v>416500</v>
      </c>
      <c r="E361" s="13" t="n">
        <f aca="false">C361-D361</f>
        <v>0</v>
      </c>
    </row>
    <row r="362" customFormat="false" ht="15" hidden="false" customHeight="false" outlineLevel="0" collapsed="false">
      <c r="A362" s="14" t="n">
        <v>23</v>
      </c>
      <c r="B362" s="73" t="s">
        <v>269</v>
      </c>
      <c r="C362" s="13" t="n">
        <v>416500</v>
      </c>
      <c r="D362" s="12" t="n">
        <f aca="false">70000+120000+30000+130000+66500</f>
        <v>416500</v>
      </c>
      <c r="E362" s="13" t="n">
        <f aca="false">C362-D362</f>
        <v>0</v>
      </c>
    </row>
    <row r="363" customFormat="false" ht="15" hidden="false" customHeight="false" outlineLevel="0" collapsed="false">
      <c r="A363" s="14" t="n">
        <v>24</v>
      </c>
      <c r="B363" s="60" t="s">
        <v>270</v>
      </c>
      <c r="C363" s="13" t="n">
        <v>416500</v>
      </c>
      <c r="D363" s="12" t="n">
        <f aca="false">216500+200000</f>
        <v>416500</v>
      </c>
      <c r="E363" s="13" t="n">
        <f aca="false">C363-D363</f>
        <v>0</v>
      </c>
    </row>
    <row r="364" customFormat="false" ht="15" hidden="false" customHeight="false" outlineLevel="0" collapsed="false">
      <c r="A364" s="14" t="n">
        <v>25</v>
      </c>
      <c r="B364" s="60" t="s">
        <v>271</v>
      </c>
      <c r="C364" s="13" t="n">
        <v>416500</v>
      </c>
      <c r="D364" s="12" t="n">
        <f aca="false">150000+66500+200000</f>
        <v>416500</v>
      </c>
      <c r="E364" s="13" t="n">
        <f aca="false">C364-D364</f>
        <v>0</v>
      </c>
    </row>
    <row r="365" customFormat="false" ht="15" hidden="false" customHeight="false" outlineLevel="0" collapsed="false">
      <c r="A365" s="14" t="n">
        <v>26</v>
      </c>
      <c r="B365" s="60" t="s">
        <v>272</v>
      </c>
      <c r="C365" s="13" t="n">
        <v>416500</v>
      </c>
      <c r="D365" s="12" t="n">
        <f aca="false">220000+196500</f>
        <v>416500</v>
      </c>
      <c r="E365" s="13" t="n">
        <f aca="false">C365-D365</f>
        <v>0</v>
      </c>
    </row>
    <row r="366" customFormat="false" ht="15" hidden="false" customHeight="false" outlineLevel="0" collapsed="false">
      <c r="A366" s="14" t="n">
        <v>27</v>
      </c>
      <c r="B366" s="59" t="s">
        <v>273</v>
      </c>
      <c r="C366" s="13" t="n">
        <v>416500</v>
      </c>
      <c r="D366" s="12" t="n">
        <f aca="false">216500</f>
        <v>216500</v>
      </c>
      <c r="E366" s="13" t="n">
        <f aca="false">C366-D366</f>
        <v>200000</v>
      </c>
    </row>
    <row r="367" customFormat="false" ht="15" hidden="false" customHeight="false" outlineLevel="0" collapsed="false">
      <c r="A367" s="14" t="n">
        <v>28</v>
      </c>
      <c r="B367" s="60" t="s">
        <v>274</v>
      </c>
      <c r="C367" s="13" t="n">
        <v>416500</v>
      </c>
      <c r="D367" s="12" t="n">
        <f aca="false">216000+200500</f>
        <v>416500</v>
      </c>
      <c r="E367" s="13" t="n">
        <f aca="false">C367-D367</f>
        <v>0</v>
      </c>
    </row>
    <row r="368" customFormat="false" ht="15" hidden="false" customHeight="false" outlineLevel="0" collapsed="false">
      <c r="A368" s="14" t="n">
        <v>29</v>
      </c>
      <c r="B368" s="60" t="s">
        <v>275</v>
      </c>
      <c r="C368" s="13" t="n">
        <v>416500</v>
      </c>
      <c r="D368" s="12" t="n">
        <f aca="false">216500+200000</f>
        <v>416500</v>
      </c>
      <c r="E368" s="13" t="n">
        <f aca="false">C368-D368</f>
        <v>0</v>
      </c>
    </row>
    <row r="369" customFormat="false" ht="17.35" hidden="false" customHeight="false" outlineLevel="0" collapsed="false">
      <c r="A369" s="14"/>
      <c r="B369" s="17" t="s">
        <v>22</v>
      </c>
      <c r="C369" s="18" t="n">
        <f aca="false">SUM(C340:C368)</f>
        <v>12078500</v>
      </c>
      <c r="D369" s="19" t="n">
        <f aca="false">SUM(D340:D368)</f>
        <v>11682950</v>
      </c>
      <c r="E369" s="20" t="n">
        <f aca="false">SUM(E340:E368)</f>
        <v>395550</v>
      </c>
    </row>
    <row r="373" customFormat="false" ht="17.35" hidden="false" customHeight="false" outlineLevel="0" collapsed="false">
      <c r="B373" s="2" t="s">
        <v>0</v>
      </c>
    </row>
    <row r="374" customFormat="false" ht="17.35" hidden="false" customHeight="false" outlineLevel="0" collapsed="false">
      <c r="A374" s="34"/>
    </row>
    <row r="375" customFormat="false" ht="15" hidden="false" customHeight="false" outlineLevel="0" collapsed="false">
      <c r="A375" s="21"/>
    </row>
    <row r="376" customFormat="false" ht="17.25" hidden="false" customHeight="false" outlineLevel="0" collapsed="false">
      <c r="A376" s="21"/>
      <c r="B376" s="4" t="s">
        <v>276</v>
      </c>
    </row>
    <row r="377" customFormat="false" ht="15" hidden="false" customHeight="false" outlineLevel="0" collapsed="false">
      <c r="A377" s="21"/>
      <c r="D377" s="5" t="s">
        <v>3</v>
      </c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6" t="s">
        <v>4</v>
      </c>
      <c r="B379" s="7" t="s">
        <v>5</v>
      </c>
      <c r="C379" s="8" t="s">
        <v>6</v>
      </c>
      <c r="D379" s="9" t="s">
        <v>7</v>
      </c>
      <c r="E379" s="10" t="s">
        <v>8</v>
      </c>
    </row>
    <row r="380" customFormat="false" ht="15" hidden="false" customHeight="false" outlineLevel="0" collapsed="false">
      <c r="A380" s="14" t="n">
        <v>1</v>
      </c>
      <c r="B380" s="11" t="s">
        <v>277</v>
      </c>
      <c r="C380" s="12" t="n">
        <v>416500</v>
      </c>
      <c r="D380" s="12" t="n">
        <f aca="false">115000+50000+50000+50000+100000+51500</f>
        <v>416500</v>
      </c>
      <c r="E380" s="13" t="n">
        <f aca="false">C380-D380</f>
        <v>0</v>
      </c>
      <c r="F380" s="38"/>
    </row>
    <row r="381" customFormat="false" ht="15" hidden="false" customHeight="false" outlineLevel="0" collapsed="false">
      <c r="A381" s="14" t="n">
        <v>2</v>
      </c>
      <c r="B381" s="11" t="s">
        <v>278</v>
      </c>
      <c r="C381" s="12" t="n">
        <v>416500</v>
      </c>
      <c r="D381" s="12" t="n">
        <f aca="false">100000</f>
        <v>100000</v>
      </c>
      <c r="E381" s="13" t="n">
        <f aca="false">C381-D381</f>
        <v>316500</v>
      </c>
    </row>
    <row r="382" customFormat="false" ht="15" hidden="false" customHeight="false" outlineLevel="0" collapsed="false">
      <c r="A382" s="14" t="n">
        <v>3</v>
      </c>
      <c r="B382" s="15" t="s">
        <v>279</v>
      </c>
      <c r="C382" s="12" t="n">
        <v>416500</v>
      </c>
      <c r="D382" s="12"/>
      <c r="E382" s="13" t="n">
        <f aca="false">C382-D382</f>
        <v>416500</v>
      </c>
      <c r="G382" s="1"/>
    </row>
    <row r="383" customFormat="false" ht="15" hidden="false" customHeight="false" outlineLevel="0" collapsed="false">
      <c r="A383" s="14" t="n">
        <v>4</v>
      </c>
      <c r="B383" s="11" t="s">
        <v>280</v>
      </c>
      <c r="C383" s="12" t="n">
        <v>416500</v>
      </c>
      <c r="D383" s="12" t="n">
        <f aca="false">216000</f>
        <v>216000</v>
      </c>
      <c r="E383" s="13" t="n">
        <f aca="false">C383-D383</f>
        <v>200500</v>
      </c>
    </row>
    <row r="384" customFormat="false" ht="15" hidden="false" customHeight="false" outlineLevel="0" collapsed="false">
      <c r="A384" s="14" t="n">
        <v>5</v>
      </c>
      <c r="B384" s="11" t="s">
        <v>281</v>
      </c>
      <c r="C384" s="12" t="n">
        <v>416500</v>
      </c>
      <c r="D384" s="12" t="n">
        <f aca="false">50000+50000</f>
        <v>100000</v>
      </c>
      <c r="E384" s="13" t="n">
        <f aca="false">C384-D384</f>
        <v>316500</v>
      </c>
    </row>
    <row r="385" customFormat="false" ht="15" hidden="false" customHeight="false" outlineLevel="0" collapsed="false">
      <c r="A385" s="14" t="n">
        <v>6</v>
      </c>
      <c r="B385" s="15" t="s">
        <v>282</v>
      </c>
      <c r="C385" s="12" t="n">
        <f aca="false">316500+100000</f>
        <v>416500</v>
      </c>
      <c r="D385" s="12"/>
      <c r="E385" s="13" t="n">
        <f aca="false">C385-D385</f>
        <v>416500</v>
      </c>
    </row>
    <row r="386" customFormat="false" ht="17.35" hidden="false" customHeight="false" outlineLevel="0" collapsed="false">
      <c r="A386" s="74"/>
      <c r="B386" s="17" t="s">
        <v>22</v>
      </c>
      <c r="C386" s="18" t="n">
        <f aca="false">SUM(C380:C385)</f>
        <v>2499000</v>
      </c>
      <c r="D386" s="70" t="n">
        <f aca="false">SUM(D380:D385)</f>
        <v>832500</v>
      </c>
      <c r="E386" s="20" t="n">
        <f aca="false">SUM(E380:E385)</f>
        <v>1666500</v>
      </c>
    </row>
    <row r="387" customFormat="false" ht="15" hidden="false" customHeight="false" outlineLevel="0" collapsed="false">
      <c r="A387" s="21"/>
      <c r="C387" s="26"/>
      <c r="D387" s="26"/>
      <c r="E387" s="27"/>
    </row>
    <row r="394" customFormat="false" ht="15" hidden="false" customHeight="false" outlineLevel="0" collapsed="false">
      <c r="A394" s="21"/>
      <c r="C394" s="26"/>
      <c r="D394" s="26"/>
      <c r="E394" s="27"/>
    </row>
    <row r="395" customFormat="false" ht="19.7" hidden="false" customHeight="false" outlineLevel="0" collapsed="false">
      <c r="A395" s="21"/>
      <c r="B395" s="75"/>
      <c r="C395" s="26"/>
      <c r="D395" s="26"/>
      <c r="E395" s="27"/>
    </row>
    <row r="396" customFormat="false" ht="15.75" hidden="false" customHeight="true" outlineLevel="0" collapsed="false">
      <c r="A396" s="21"/>
      <c r="C396" s="76"/>
      <c r="D396" s="77"/>
      <c r="E396" s="78"/>
    </row>
    <row r="400" customFormat="false" ht="15.75" hidden="false" customHeight="true" outlineLevel="0" collapsed="false">
      <c r="B400" s="79"/>
      <c r="C400" s="80"/>
      <c r="D400" s="80"/>
      <c r="E400" s="81"/>
    </row>
    <row r="401" customFormat="false" ht="16.5" hidden="false" customHeight="true" outlineLevel="0" collapsed="false">
      <c r="B401" s="82"/>
      <c r="C401" s="83"/>
      <c r="D401" s="84"/>
      <c r="E401" s="85"/>
    </row>
    <row r="402" customFormat="false" ht="15.75" hidden="false" customHeight="true" outlineLevel="0" collapsed="false"/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2" customFormat="false" ht="19.5" hidden="false" customHeight="false" outlineLevel="0" collapsed="false">
      <c r="A452" s="21"/>
      <c r="B452" s="2"/>
    </row>
    <row r="453" customFormat="false" ht="19.5" hidden="false" customHeight="false" outlineLevel="0" collapsed="false">
      <c r="A453" s="34"/>
    </row>
    <row r="454" customFormat="false" ht="15" hidden="false" customHeight="false" outlineLevel="0" collapsed="false">
      <c r="A454" s="21"/>
    </row>
    <row r="455" customFormat="false" ht="15.75" hidden="false" customHeight="false" outlineLevel="0" collapsed="false">
      <c r="A455" s="21"/>
      <c r="B455" s="4"/>
    </row>
    <row r="456" customFormat="false" ht="15.75" hidden="false" customHeight="false" outlineLevel="0" collapsed="false">
      <c r="A456" s="21"/>
      <c r="C456" s="86"/>
    </row>
    <row r="457" customFormat="false" ht="15.75" hidden="false" customHeight="false" outlineLevel="0" collapsed="false">
      <c r="A457" s="21"/>
      <c r="B457" s="4"/>
    </row>
    <row r="458" customFormat="false" ht="15.75" hidden="false" customHeight="false" outlineLevel="0" collapsed="false">
      <c r="A458" s="87"/>
      <c r="C458" s="88"/>
      <c r="D458" s="89"/>
      <c r="E458" s="90"/>
    </row>
    <row r="459" customFormat="false" ht="15.75" hidden="false" customHeight="false" outlineLevel="0" collapsed="false">
      <c r="A459" s="21"/>
      <c r="C459" s="26"/>
      <c r="D459" s="26"/>
      <c r="E459" s="27"/>
    </row>
    <row r="460" customFormat="false" ht="15.75" hidden="false" customHeight="false" outlineLevel="0" collapsed="false">
      <c r="A460" s="21"/>
      <c r="C460" s="26"/>
      <c r="D460" s="26"/>
      <c r="E460" s="27"/>
    </row>
    <row r="461" customFormat="false" ht="15.75" hidden="false" customHeight="false" outlineLevel="0" collapsed="false">
      <c r="A461" s="21"/>
      <c r="C461" s="26"/>
      <c r="D461" s="26"/>
      <c r="E461" s="27"/>
    </row>
    <row r="462" customFormat="false" ht="15.75" hidden="false" customHeight="false" outlineLevel="0" collapsed="false">
      <c r="A462" s="21"/>
      <c r="B462" s="28"/>
      <c r="C462" s="26"/>
      <c r="D462" s="26"/>
      <c r="E462" s="27"/>
    </row>
    <row r="463" customFormat="false" ht="15.75" hidden="false" customHeight="false" outlineLevel="0" collapsed="false">
      <c r="A463" s="21"/>
      <c r="B463" s="28"/>
      <c r="C463" s="26"/>
      <c r="D463" s="26"/>
      <c r="E463" s="27"/>
    </row>
    <row r="464" customFormat="false" ht="15.75" hidden="false" customHeight="false" outlineLevel="0" collapsed="false">
      <c r="A464" s="21"/>
      <c r="C464" s="26"/>
      <c r="D464" s="26"/>
      <c r="E464" s="27"/>
    </row>
    <row r="465" customFormat="false" ht="15.75" hidden="false" customHeight="false" outlineLevel="0" collapsed="false">
      <c r="A465" s="21"/>
      <c r="C465" s="26"/>
      <c r="D465" s="26"/>
      <c r="E465" s="27"/>
    </row>
    <row r="466" customFormat="false" ht="15.75" hidden="false" customHeight="false" outlineLevel="0" collapsed="false">
      <c r="A466" s="21"/>
      <c r="C466" s="26"/>
      <c r="D466" s="26"/>
      <c r="E466" s="27"/>
    </row>
    <row r="467" customFormat="false" ht="21" hidden="false" customHeight="false" outlineLevel="0" collapsed="false">
      <c r="A467" s="21"/>
      <c r="B467" s="75"/>
      <c r="C467" s="26"/>
      <c r="D467" s="26"/>
      <c r="E467" s="27"/>
    </row>
    <row r="468" customFormat="false" ht="18.75" hidden="false" customHeight="false" outlineLevel="0" collapsed="false">
      <c r="A468" s="21"/>
      <c r="C468" s="76"/>
      <c r="D468" s="77"/>
      <c r="E468" s="78"/>
    </row>
    <row r="469" customFormat="false" ht="15" hidden="false" customHeight="false" outlineLevel="0" collapsed="false">
      <c r="A469" s="21"/>
    </row>
    <row r="470" customFormat="false" ht="15" hidden="false" customHeight="false" outlineLevel="0" collapsed="false">
      <c r="A470" s="21"/>
    </row>
    <row r="471" customFormat="false" ht="15" hidden="false" customHeight="false" outlineLevel="0" collapsed="false">
      <c r="A471" s="21"/>
    </row>
    <row r="472" customFormat="false" ht="15" hidden="false" customHeight="false" outlineLevel="0" collapsed="false">
      <c r="A472" s="21"/>
    </row>
    <row r="473" customFormat="false" ht="15" hidden="false" customHeight="false" outlineLevel="0" collapsed="false">
      <c r="A473" s="21"/>
    </row>
    <row r="474" customFormat="false" ht="15" hidden="false" customHeight="false" outlineLevel="0" collapsed="false">
      <c r="A474" s="21"/>
    </row>
    <row r="475" customFormat="false" ht="15" hidden="false" customHeight="false" outlineLevel="0" collapsed="false">
      <c r="A475" s="21"/>
    </row>
    <row r="476" customFormat="false" ht="15" hidden="false" customHeight="false" outlineLevel="0" collapsed="false">
      <c r="A476" s="21"/>
    </row>
    <row r="477" customFormat="false" ht="15" hidden="false" customHeight="false" outlineLevel="0" collapsed="false">
      <c r="A477" s="21"/>
    </row>
    <row r="478" customFormat="false" ht="15" hidden="false" customHeight="false" outlineLevel="0" collapsed="false">
      <c r="A478" s="21"/>
    </row>
    <row r="479" customFormat="false" ht="15" hidden="false" customHeight="false" outlineLevel="0" collapsed="false">
      <c r="A479" s="21"/>
    </row>
  </sheetData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&amp;C&amp;"Aharoni,Normal"&amp;14ETAT FINANCIER DES ETUDIANTS ANNEE ACADEMIQUE 2013-2014</oddHeader>
    <oddFooter>&amp;L&amp;D&amp;C&amp;"Aharoni,Normal"&amp;12CENTRE AUTONOME DE PERFECTIONNEMENT (CAP/EPAC) 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29"/>
  <sheetViews>
    <sheetView showFormulas="false" showGridLines="true" showRowColHeaders="true" showZeros="true" rightToLeft="false" tabSelected="true" showOutlineSymbols="true" defaultGridColor="true" view="pageBreakPreview" topLeftCell="A605" colorId="64" zoomScale="100" zoomScaleNormal="100" zoomScalePageLayoutView="100" workbookViewId="0">
      <selection pane="topLeft" activeCell="E712" activeCellId="0" sqref="E712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4.57"/>
    <col collapsed="false" customWidth="true" hidden="false" outlineLevel="0" max="3" min="3" style="1" width="16.71"/>
    <col collapsed="false" customWidth="true" hidden="false" outlineLevel="0" max="4" min="4" style="1" width="15.14"/>
    <col collapsed="false" customWidth="true" hidden="false" outlineLevel="0" max="5" min="5" style="1" width="15"/>
  </cols>
  <sheetData>
    <row r="1" customFormat="false" ht="17.35" hidden="false" customHeight="false" outlineLevel="0" collapsed="false">
      <c r="A1" s="2"/>
      <c r="B1" s="2" t="s">
        <v>0</v>
      </c>
    </row>
    <row r="3" customFormat="false" ht="17.25" hidden="false" customHeight="false" outlineLevel="0" collapsed="false">
      <c r="B3" s="3" t="s">
        <v>1</v>
      </c>
    </row>
    <row r="5" customFormat="false" ht="17.35" hidden="false" customHeight="false" outlineLevel="0" collapsed="false">
      <c r="B5" s="91" t="s">
        <v>283</v>
      </c>
    </row>
    <row r="6" customFormat="false" ht="15" hidden="false" customHeight="false" outlineLevel="0" collapsed="false">
      <c r="B6" s="4" t="s">
        <v>284</v>
      </c>
    </row>
    <row r="8" customFormat="false" ht="15" hidden="false" customHeight="false" outlineLevel="0" collapsed="false">
      <c r="A8" s="92" t="s">
        <v>4</v>
      </c>
      <c r="B8" s="93" t="s">
        <v>285</v>
      </c>
      <c r="C8" s="8" t="s">
        <v>6</v>
      </c>
      <c r="D8" s="94" t="s">
        <v>7</v>
      </c>
      <c r="E8" s="10" t="s">
        <v>8</v>
      </c>
    </row>
    <row r="9" customFormat="false" ht="15" hidden="false" customHeight="false" outlineLevel="0" collapsed="false">
      <c r="A9" s="95" t="n">
        <v>1</v>
      </c>
      <c r="B9" s="73" t="s">
        <v>286</v>
      </c>
      <c r="C9" s="96" t="n">
        <v>416500</v>
      </c>
      <c r="D9" s="96" t="n">
        <f aca="false">99950+50000+60000+206500</f>
        <v>416450</v>
      </c>
      <c r="E9" s="97" t="n">
        <f aca="false">C9-D9</f>
        <v>50</v>
      </c>
    </row>
    <row r="10" customFormat="false" ht="15" hidden="false" customHeight="false" outlineLevel="0" collapsed="false">
      <c r="A10" s="95" t="n">
        <v>2</v>
      </c>
      <c r="B10" s="73" t="s">
        <v>287</v>
      </c>
      <c r="C10" s="96" t="n">
        <v>416500</v>
      </c>
      <c r="D10" s="96" t="n">
        <f aca="false">220000+100000+96500</f>
        <v>416500</v>
      </c>
      <c r="E10" s="97" t="n">
        <f aca="false">C10-D10</f>
        <v>0</v>
      </c>
    </row>
    <row r="11" customFormat="false" ht="15" hidden="false" customHeight="false" outlineLevel="0" collapsed="false">
      <c r="A11" s="95" t="n">
        <v>4</v>
      </c>
      <c r="B11" s="73" t="s">
        <v>288</v>
      </c>
      <c r="C11" s="96" t="n">
        <v>416500</v>
      </c>
      <c r="D11" s="96" t="n">
        <f aca="false">100000+316500</f>
        <v>416500</v>
      </c>
      <c r="E11" s="97" t="n">
        <f aca="false">C11-D11</f>
        <v>0</v>
      </c>
    </row>
    <row r="12" customFormat="false" ht="15" hidden="false" customHeight="false" outlineLevel="0" collapsed="false">
      <c r="A12" s="95" t="n">
        <v>5</v>
      </c>
      <c r="B12" s="73" t="s">
        <v>289</v>
      </c>
      <c r="C12" s="96" t="n">
        <v>416500</v>
      </c>
      <c r="D12" s="96" t="n">
        <f aca="false">210000+116000+90000+500</f>
        <v>416500</v>
      </c>
      <c r="E12" s="97" t="n">
        <f aca="false">C12-D12</f>
        <v>0</v>
      </c>
    </row>
    <row r="13" customFormat="false" ht="15" hidden="false" customHeight="false" outlineLevel="0" collapsed="false">
      <c r="A13" s="95" t="n">
        <v>6</v>
      </c>
      <c r="B13" s="73" t="s">
        <v>290</v>
      </c>
      <c r="C13" s="96" t="n">
        <v>416500</v>
      </c>
      <c r="D13" s="96" t="n">
        <f aca="false">216500+200000</f>
        <v>416500</v>
      </c>
      <c r="E13" s="97" t="n">
        <f aca="false">C13-D13</f>
        <v>0</v>
      </c>
    </row>
    <row r="14" customFormat="false" ht="15" hidden="false" customHeight="false" outlineLevel="0" collapsed="false">
      <c r="A14" s="95" t="n">
        <v>7</v>
      </c>
      <c r="B14" s="73" t="s">
        <v>291</v>
      </c>
      <c r="C14" s="96" t="n">
        <v>416500</v>
      </c>
      <c r="D14" s="96" t="n">
        <f aca="false">116500+40000+100000+80000+80000</f>
        <v>416500</v>
      </c>
      <c r="E14" s="97" t="n">
        <f aca="false">C14-D14</f>
        <v>0</v>
      </c>
    </row>
    <row r="15" customFormat="false" ht="15" hidden="false" customHeight="false" outlineLevel="0" collapsed="false">
      <c r="A15" s="95" t="n">
        <v>8</v>
      </c>
      <c r="B15" s="73" t="s">
        <v>292</v>
      </c>
      <c r="C15" s="96" t="n">
        <v>416500</v>
      </c>
      <c r="D15" s="96"/>
      <c r="E15" s="97" t="n">
        <f aca="false">C15-D15</f>
        <v>416500</v>
      </c>
    </row>
    <row r="16" customFormat="false" ht="15" hidden="false" customHeight="false" outlineLevel="0" collapsed="false">
      <c r="A16" s="95" t="n">
        <v>9</v>
      </c>
      <c r="B16" s="73" t="s">
        <v>293</v>
      </c>
      <c r="C16" s="96" t="n">
        <v>416500</v>
      </c>
      <c r="D16" s="96" t="n">
        <f aca="false">216500+150000+50000</f>
        <v>416500</v>
      </c>
      <c r="E16" s="97" t="n">
        <f aca="false">C16-D16</f>
        <v>0</v>
      </c>
    </row>
    <row r="17" customFormat="false" ht="15" hidden="false" customHeight="false" outlineLevel="0" collapsed="false">
      <c r="A17" s="95" t="n">
        <v>10</v>
      </c>
      <c r="B17" s="73" t="s">
        <v>294</v>
      </c>
      <c r="C17" s="96" t="n">
        <v>416500</v>
      </c>
      <c r="D17" s="96" t="n">
        <f aca="false">216500</f>
        <v>216500</v>
      </c>
      <c r="E17" s="97" t="n">
        <f aca="false">C17-D17</f>
        <v>200000</v>
      </c>
    </row>
    <row r="18" customFormat="false" ht="15" hidden="false" customHeight="false" outlineLevel="0" collapsed="false">
      <c r="A18" s="95" t="n">
        <v>11</v>
      </c>
      <c r="B18" s="73" t="s">
        <v>295</v>
      </c>
      <c r="C18" s="96" t="n">
        <v>416500</v>
      </c>
      <c r="D18" s="96" t="n">
        <f aca="false">416500</f>
        <v>416500</v>
      </c>
      <c r="E18" s="97" t="n">
        <f aca="false">C18-D18</f>
        <v>0</v>
      </c>
    </row>
    <row r="19" customFormat="false" ht="15" hidden="false" customHeight="false" outlineLevel="0" collapsed="false">
      <c r="A19" s="95" t="n">
        <v>12</v>
      </c>
      <c r="B19" s="73" t="s">
        <v>296</v>
      </c>
      <c r="C19" s="96" t="n">
        <v>416500</v>
      </c>
      <c r="D19" s="96" t="n">
        <f aca="false">150000+266500</f>
        <v>416500</v>
      </c>
      <c r="E19" s="97" t="n">
        <f aca="false">C19-D19</f>
        <v>0</v>
      </c>
      <c r="H19" s="1"/>
    </row>
    <row r="20" customFormat="false" ht="15" hidden="false" customHeight="false" outlineLevel="0" collapsed="false">
      <c r="A20" s="95" t="n">
        <v>13</v>
      </c>
      <c r="B20" s="73" t="s">
        <v>297</v>
      </c>
      <c r="C20" s="96" t="n">
        <v>416500</v>
      </c>
      <c r="D20" s="96" t="n">
        <f aca="false">100000+100000</f>
        <v>200000</v>
      </c>
      <c r="E20" s="97" t="n">
        <f aca="false">C20-D20</f>
        <v>216500</v>
      </c>
      <c r="H20" s="1"/>
      <c r="I20" s="1"/>
    </row>
    <row r="21" customFormat="false" ht="15" hidden="false" customHeight="false" outlineLevel="0" collapsed="false">
      <c r="A21" s="95" t="n">
        <v>14</v>
      </c>
      <c r="B21" s="73" t="s">
        <v>298</v>
      </c>
      <c r="C21" s="96" t="n">
        <v>416500</v>
      </c>
      <c r="D21" s="96" t="n">
        <f aca="false">100000+116000+200500</f>
        <v>416500</v>
      </c>
      <c r="E21" s="97" t="n">
        <f aca="false">C21-D21</f>
        <v>0</v>
      </c>
    </row>
    <row r="22" customFormat="false" ht="15" hidden="false" customHeight="false" outlineLevel="0" collapsed="false">
      <c r="A22" s="95" t="n">
        <v>15</v>
      </c>
      <c r="B22" s="73" t="s">
        <v>299</v>
      </c>
      <c r="C22" s="96" t="n">
        <v>416500</v>
      </c>
      <c r="D22" s="96" t="n">
        <f aca="false">200000</f>
        <v>200000</v>
      </c>
      <c r="E22" s="97" t="n">
        <f aca="false">C22-D22</f>
        <v>216500</v>
      </c>
      <c r="H22" s="1"/>
    </row>
    <row r="23" customFormat="false" ht="15" hidden="false" customHeight="false" outlineLevel="0" collapsed="false">
      <c r="A23" s="95" t="n">
        <v>16</v>
      </c>
      <c r="B23" s="73" t="s">
        <v>300</v>
      </c>
      <c r="C23" s="96" t="n">
        <v>416500</v>
      </c>
      <c r="D23" s="96" t="n">
        <f aca="false">216500+200000</f>
        <v>416500</v>
      </c>
      <c r="E23" s="97" t="n">
        <f aca="false">C23-D23</f>
        <v>0</v>
      </c>
      <c r="H23" s="1"/>
      <c r="I23" s="1"/>
    </row>
    <row r="24" customFormat="false" ht="15" hidden="false" customHeight="false" outlineLevel="0" collapsed="false">
      <c r="A24" s="95" t="n">
        <v>17</v>
      </c>
      <c r="B24" s="73" t="s">
        <v>301</v>
      </c>
      <c r="C24" s="96" t="n">
        <v>416500</v>
      </c>
      <c r="D24" s="96" t="n">
        <f aca="false">150000+166500+100000</f>
        <v>416500</v>
      </c>
      <c r="E24" s="97" t="n">
        <f aca="false">C24-D24</f>
        <v>0</v>
      </c>
    </row>
    <row r="25" customFormat="false" ht="15" hidden="false" customHeight="false" outlineLevel="0" collapsed="false">
      <c r="A25" s="95" t="n">
        <v>18</v>
      </c>
      <c r="B25" s="73" t="s">
        <v>302</v>
      </c>
      <c r="C25" s="96" t="n">
        <v>416500</v>
      </c>
      <c r="D25" s="96" t="n">
        <v>416500</v>
      </c>
      <c r="E25" s="97" t="n">
        <f aca="false">C25-D25</f>
        <v>0</v>
      </c>
    </row>
    <row r="26" customFormat="false" ht="15" hidden="false" customHeight="false" outlineLevel="0" collapsed="false">
      <c r="A26" s="95" t="n">
        <v>19</v>
      </c>
      <c r="B26" s="73" t="s">
        <v>303</v>
      </c>
      <c r="C26" s="96" t="n">
        <v>416500</v>
      </c>
      <c r="D26" s="96" t="n">
        <f aca="false">216500+200000</f>
        <v>416500</v>
      </c>
      <c r="E26" s="97" t="n">
        <f aca="false">C26-D26</f>
        <v>0</v>
      </c>
    </row>
    <row r="27" customFormat="false" ht="15" hidden="false" customHeight="false" outlineLevel="0" collapsed="false">
      <c r="A27" s="95" t="n">
        <v>20</v>
      </c>
      <c r="B27" s="73" t="s">
        <v>304</v>
      </c>
      <c r="C27" s="96" t="n">
        <v>416500</v>
      </c>
      <c r="D27" s="96" t="n">
        <f aca="false">216500+200000</f>
        <v>416500</v>
      </c>
      <c r="E27" s="97" t="n">
        <f aca="false">C27-D27</f>
        <v>0</v>
      </c>
    </row>
    <row r="28" customFormat="false" ht="15" hidden="false" customHeight="false" outlineLevel="0" collapsed="false">
      <c r="A28" s="95" t="n">
        <v>21</v>
      </c>
      <c r="B28" s="73" t="s">
        <v>305</v>
      </c>
      <c r="C28" s="96" t="n">
        <v>416500</v>
      </c>
      <c r="D28" s="96" t="n">
        <f aca="false">190000+120000+106500</f>
        <v>416500</v>
      </c>
      <c r="E28" s="97" t="n">
        <f aca="false">C28-D28</f>
        <v>0</v>
      </c>
    </row>
    <row r="29" customFormat="false" ht="15" hidden="false" customHeight="false" outlineLevel="0" collapsed="false">
      <c r="A29" s="95" t="n">
        <v>22</v>
      </c>
      <c r="B29" s="73" t="s">
        <v>306</v>
      </c>
      <c r="C29" s="96" t="n">
        <v>416500</v>
      </c>
      <c r="D29" s="96" t="n">
        <f aca="false">33500+55000</f>
        <v>88500</v>
      </c>
      <c r="E29" s="97" t="n">
        <f aca="false">C29-D29</f>
        <v>328000</v>
      </c>
    </row>
    <row r="30" customFormat="false" ht="15" hidden="false" customHeight="false" outlineLevel="0" collapsed="false">
      <c r="A30" s="95" t="n">
        <v>23</v>
      </c>
      <c r="B30" s="98" t="s">
        <v>307</v>
      </c>
      <c r="C30" s="96" t="n">
        <v>416500</v>
      </c>
      <c r="D30" s="96" t="n">
        <f aca="false">250000+168000+500</f>
        <v>418500</v>
      </c>
      <c r="E30" s="97" t="n">
        <f aca="false">C30-D30</f>
        <v>-2000</v>
      </c>
    </row>
    <row r="31" customFormat="false" ht="15" hidden="false" customHeight="false" outlineLevel="0" collapsed="false">
      <c r="A31" s="95" t="n">
        <v>24</v>
      </c>
      <c r="B31" s="73" t="s">
        <v>308</v>
      </c>
      <c r="C31" s="96" t="n">
        <v>416500</v>
      </c>
      <c r="D31" s="96" t="n">
        <f aca="false">116500+100000+50000+100000+50000</f>
        <v>416500</v>
      </c>
      <c r="E31" s="97" t="n">
        <f aca="false">C31-D31</f>
        <v>0</v>
      </c>
    </row>
    <row r="32" customFormat="false" ht="15" hidden="false" customHeight="false" outlineLevel="0" collapsed="false">
      <c r="A32" s="95" t="n">
        <v>25</v>
      </c>
      <c r="B32" s="73" t="s">
        <v>309</v>
      </c>
      <c r="C32" s="96" t="n">
        <v>416500</v>
      </c>
      <c r="D32" s="96" t="n">
        <f aca="false">110000+170000+136500</f>
        <v>416500</v>
      </c>
      <c r="E32" s="97" t="n">
        <f aca="false">C32-D32</f>
        <v>0</v>
      </c>
    </row>
    <row r="33" customFormat="false" ht="15" hidden="false" customHeight="false" outlineLevel="0" collapsed="false">
      <c r="A33" s="95" t="n">
        <v>26</v>
      </c>
      <c r="B33" s="73" t="s">
        <v>310</v>
      </c>
      <c r="C33" s="96" t="n">
        <v>416500</v>
      </c>
      <c r="D33" s="96" t="n">
        <f aca="false">101500+300000</f>
        <v>401500</v>
      </c>
      <c r="E33" s="97" t="n">
        <f aca="false">C33-D33</f>
        <v>15000</v>
      </c>
    </row>
    <row r="34" customFormat="false" ht="15" hidden="false" customHeight="false" outlineLevel="0" collapsed="false">
      <c r="A34" s="95" t="n">
        <v>27</v>
      </c>
      <c r="B34" s="73" t="s">
        <v>311</v>
      </c>
      <c r="C34" s="96" t="n">
        <v>416500</v>
      </c>
      <c r="D34" s="96" t="n">
        <f aca="false">215000+202000</f>
        <v>417000</v>
      </c>
      <c r="E34" s="97" t="n">
        <f aca="false">C34-D34</f>
        <v>-500</v>
      </c>
    </row>
    <row r="35" customFormat="false" ht="15" hidden="false" customHeight="false" outlineLevel="0" collapsed="false">
      <c r="A35" s="95" t="n">
        <v>28</v>
      </c>
      <c r="B35" s="73" t="s">
        <v>312</v>
      </c>
      <c r="C35" s="96" t="n">
        <v>416500</v>
      </c>
      <c r="D35" s="96"/>
      <c r="E35" s="97" t="n">
        <f aca="false">C35-D35</f>
        <v>416500</v>
      </c>
    </row>
    <row r="36" customFormat="false" ht="15" hidden="false" customHeight="false" outlineLevel="0" collapsed="false">
      <c r="A36" s="95" t="n">
        <v>29</v>
      </c>
      <c r="B36" s="99" t="s">
        <v>313</v>
      </c>
      <c r="C36" s="96" t="n">
        <v>416500</v>
      </c>
      <c r="D36" s="96"/>
      <c r="E36" s="97" t="n">
        <f aca="false">C36-D36</f>
        <v>416500</v>
      </c>
    </row>
    <row r="37" customFormat="false" ht="17.35" hidden="false" customHeight="false" outlineLevel="0" collapsed="false">
      <c r="A37" s="95"/>
      <c r="B37" s="100" t="s">
        <v>22</v>
      </c>
      <c r="C37" s="101" t="n">
        <f aca="false">SUM(C9:C36)</f>
        <v>11662000</v>
      </c>
      <c r="D37" s="102" t="n">
        <f aca="false">SUM(D9:D36)</f>
        <v>9438950</v>
      </c>
      <c r="E37" s="103" t="n">
        <f aca="false">SUM(E9:E36)</f>
        <v>2223050</v>
      </c>
    </row>
    <row r="38" customFormat="false" ht="17.35" hidden="false" customHeight="false" outlineLevel="0" collapsed="false">
      <c r="A38" s="104"/>
      <c r="B38" s="105"/>
      <c r="C38" s="106"/>
      <c r="D38" s="107"/>
      <c r="E38" s="77"/>
    </row>
    <row r="39" customFormat="false" ht="17.35" hidden="false" customHeight="false" outlineLevel="0" collapsed="false">
      <c r="A39" s="104"/>
      <c r="B39" s="105"/>
      <c r="C39" s="106"/>
      <c r="D39" s="107"/>
      <c r="E39" s="77"/>
    </row>
    <row r="40" customFormat="false" ht="15" hidden="false" customHeight="false" outlineLevel="0" collapsed="false">
      <c r="A40" s="104"/>
    </row>
    <row r="41" customFormat="false" ht="17.35" hidden="false" customHeight="false" outlineLevel="0" collapsed="false">
      <c r="A41" s="108"/>
      <c r="B41" s="2" t="s">
        <v>0</v>
      </c>
    </row>
    <row r="42" customFormat="false" ht="15" hidden="false" customHeight="false" outlineLevel="0" collapsed="false">
      <c r="A42" s="104"/>
    </row>
    <row r="43" customFormat="false" ht="17.25" hidden="false" customHeight="false" outlineLevel="0" collapsed="false">
      <c r="A43" s="104"/>
      <c r="B43" s="3" t="s">
        <v>1</v>
      </c>
    </row>
    <row r="44" customFormat="false" ht="15" hidden="false" customHeight="false" outlineLevel="0" collapsed="false">
      <c r="A44" s="104"/>
    </row>
    <row r="45" customFormat="false" ht="17.35" hidden="false" customHeight="false" outlineLevel="0" collapsed="false">
      <c r="A45" s="104"/>
      <c r="B45" s="91" t="s">
        <v>314</v>
      </c>
    </row>
    <row r="46" customFormat="false" ht="15" hidden="false" customHeight="false" outlineLevel="0" collapsed="false">
      <c r="A46" s="104"/>
      <c r="B46" s="4" t="s">
        <v>284</v>
      </c>
    </row>
    <row r="47" customFormat="false" ht="15" hidden="false" customHeight="false" outlineLevel="0" collapsed="false">
      <c r="A47" s="104"/>
    </row>
    <row r="48" customFormat="false" ht="15" hidden="false" customHeight="false" outlineLevel="0" collapsed="false">
      <c r="A48" s="92" t="s">
        <v>4</v>
      </c>
      <c r="B48" s="93" t="s">
        <v>285</v>
      </c>
      <c r="C48" s="8" t="s">
        <v>6</v>
      </c>
      <c r="D48" s="94" t="s">
        <v>7</v>
      </c>
      <c r="E48" s="10" t="s">
        <v>8</v>
      </c>
    </row>
    <row r="49" customFormat="false" ht="15" hidden="false" customHeight="false" outlineLevel="0" collapsed="false">
      <c r="A49" s="95" t="n">
        <v>1</v>
      </c>
      <c r="B49" s="73" t="s">
        <v>315</v>
      </c>
      <c r="C49" s="96" t="n">
        <v>416500</v>
      </c>
      <c r="D49" s="96"/>
      <c r="E49" s="97" t="n">
        <f aca="false">C49-D49</f>
        <v>416500</v>
      </c>
    </row>
    <row r="50" customFormat="false" ht="15" hidden="false" customHeight="false" outlineLevel="0" collapsed="false">
      <c r="A50" s="95" t="n">
        <v>2</v>
      </c>
      <c r="B50" s="73" t="s">
        <v>316</v>
      </c>
      <c r="C50" s="96" t="n">
        <v>416500</v>
      </c>
      <c r="D50" s="96" t="n">
        <f aca="false">416000+500</f>
        <v>416500</v>
      </c>
      <c r="E50" s="97" t="n">
        <f aca="false">C50-D50</f>
        <v>0</v>
      </c>
    </row>
    <row r="51" customFormat="false" ht="15" hidden="false" customHeight="false" outlineLevel="0" collapsed="false">
      <c r="A51" s="95" t="n">
        <v>3</v>
      </c>
      <c r="B51" s="73" t="s">
        <v>317</v>
      </c>
      <c r="C51" s="96" t="n">
        <v>416500</v>
      </c>
      <c r="D51" s="96" t="n">
        <f aca="false">316500+100000</f>
        <v>416500</v>
      </c>
      <c r="E51" s="97" t="n">
        <f aca="false">C51-D51</f>
        <v>0</v>
      </c>
    </row>
    <row r="52" customFormat="false" ht="15" hidden="false" customHeight="false" outlineLevel="0" collapsed="false">
      <c r="A52" s="95" t="n">
        <v>4</v>
      </c>
      <c r="B52" s="73" t="s">
        <v>318</v>
      </c>
      <c r="C52" s="96" t="n">
        <v>416500</v>
      </c>
      <c r="D52" s="96" t="n">
        <f aca="false">150000+200000+67000</f>
        <v>417000</v>
      </c>
      <c r="E52" s="97" t="n">
        <f aca="false">C52-D52</f>
        <v>-500</v>
      </c>
    </row>
    <row r="53" customFormat="false" ht="15" hidden="false" customHeight="false" outlineLevel="0" collapsed="false">
      <c r="A53" s="95" t="n">
        <v>5</v>
      </c>
      <c r="B53" s="73" t="s">
        <v>319</v>
      </c>
      <c r="C53" s="96" t="n">
        <v>416500</v>
      </c>
      <c r="D53" s="96" t="n">
        <f aca="false">100000+100000+216500</f>
        <v>416500</v>
      </c>
      <c r="E53" s="97" t="n">
        <f aca="false">C53-D53</f>
        <v>0</v>
      </c>
    </row>
    <row r="54" customFormat="false" ht="15" hidden="false" customHeight="false" outlineLevel="0" collapsed="false">
      <c r="A54" s="95" t="n">
        <v>6</v>
      </c>
      <c r="B54" s="109" t="s">
        <v>320</v>
      </c>
      <c r="C54" s="96" t="n">
        <v>416500</v>
      </c>
      <c r="D54" s="96" t="n">
        <f aca="false">100000</f>
        <v>100000</v>
      </c>
      <c r="E54" s="97" t="n">
        <f aca="false">C54-D54</f>
        <v>316500</v>
      </c>
    </row>
    <row r="55" customFormat="false" ht="15" hidden="false" customHeight="false" outlineLevel="0" collapsed="false">
      <c r="A55" s="95" t="n">
        <v>7</v>
      </c>
      <c r="B55" s="73" t="s">
        <v>321</v>
      </c>
      <c r="C55" s="96" t="n">
        <v>416500</v>
      </c>
      <c r="D55" s="96"/>
      <c r="E55" s="97" t="n">
        <f aca="false">C55-D55</f>
        <v>416500</v>
      </c>
    </row>
    <row r="56" customFormat="false" ht="15" hidden="false" customHeight="false" outlineLevel="0" collapsed="false">
      <c r="A56" s="95" t="n">
        <v>8</v>
      </c>
      <c r="B56" s="73" t="s">
        <v>322</v>
      </c>
      <c r="C56" s="96" t="n">
        <v>416500</v>
      </c>
      <c r="D56" s="96"/>
      <c r="E56" s="97" t="n">
        <f aca="false">C56-D56</f>
        <v>416500</v>
      </c>
    </row>
    <row r="57" customFormat="false" ht="15" hidden="false" customHeight="false" outlineLevel="0" collapsed="false">
      <c r="A57" s="95" t="n">
        <v>9</v>
      </c>
      <c r="B57" s="73" t="s">
        <v>323</v>
      </c>
      <c r="C57" s="96" t="n">
        <v>416500</v>
      </c>
      <c r="D57" s="96"/>
      <c r="E57" s="97" t="n">
        <f aca="false">C57-D57</f>
        <v>416500</v>
      </c>
    </row>
    <row r="58" customFormat="false" ht="15" hidden="false" customHeight="false" outlineLevel="0" collapsed="false">
      <c r="A58" s="95" t="n">
        <v>10</v>
      </c>
      <c r="B58" s="73" t="s">
        <v>324</v>
      </c>
      <c r="C58" s="96" t="n">
        <v>416500</v>
      </c>
      <c r="D58" s="96"/>
      <c r="E58" s="97" t="n">
        <f aca="false">C58-D58</f>
        <v>416500</v>
      </c>
    </row>
    <row r="59" customFormat="false" ht="15" hidden="false" customHeight="false" outlineLevel="0" collapsed="false">
      <c r="A59" s="95" t="n">
        <v>11</v>
      </c>
      <c r="B59" s="73" t="s">
        <v>325</v>
      </c>
      <c r="C59" s="96" t="n">
        <v>416500</v>
      </c>
      <c r="D59" s="96" t="n">
        <f aca="false">416500</f>
        <v>416500</v>
      </c>
      <c r="E59" s="97" t="n">
        <f aca="false">C59-D59</f>
        <v>0</v>
      </c>
    </row>
    <row r="60" customFormat="false" ht="15" hidden="false" customHeight="false" outlineLevel="0" collapsed="false">
      <c r="A60" s="95" t="n">
        <v>12</v>
      </c>
      <c r="B60" s="73" t="s">
        <v>326</v>
      </c>
      <c r="C60" s="96" t="n">
        <v>416500</v>
      </c>
      <c r="D60" s="96" t="n">
        <f aca="false">216500+100000+100000</f>
        <v>416500</v>
      </c>
      <c r="E60" s="97" t="n">
        <f aca="false">C60-D60</f>
        <v>0</v>
      </c>
    </row>
    <row r="61" customFormat="false" ht="15" hidden="false" customHeight="false" outlineLevel="0" collapsed="false">
      <c r="A61" s="95" t="n">
        <v>13</v>
      </c>
      <c r="B61" s="73" t="s">
        <v>327</v>
      </c>
      <c r="C61" s="96" t="n">
        <v>416500</v>
      </c>
      <c r="D61" s="96" t="n">
        <f aca="false">70000+150000+100000+100000</f>
        <v>420000</v>
      </c>
      <c r="E61" s="97" t="n">
        <f aca="false">C61-D61</f>
        <v>-3500</v>
      </c>
    </row>
    <row r="62" customFormat="false" ht="15" hidden="false" customHeight="false" outlineLevel="0" collapsed="false">
      <c r="A62" s="95" t="n">
        <v>14</v>
      </c>
      <c r="B62" s="73" t="s">
        <v>328</v>
      </c>
      <c r="C62" s="96" t="n">
        <v>416500</v>
      </c>
      <c r="D62" s="96" t="n">
        <f aca="false">200000+200000+16500</f>
        <v>416500</v>
      </c>
      <c r="E62" s="97" t="n">
        <f aca="false">C62-D62</f>
        <v>0</v>
      </c>
    </row>
    <row r="63" customFormat="false" ht="15" hidden="false" customHeight="false" outlineLevel="0" collapsed="false">
      <c r="A63" s="95" t="n">
        <v>15</v>
      </c>
      <c r="B63" s="73" t="s">
        <v>329</v>
      </c>
      <c r="C63" s="96" t="n">
        <v>416500</v>
      </c>
      <c r="D63" s="96" t="n">
        <f aca="false">188500+120000</f>
        <v>308500</v>
      </c>
      <c r="E63" s="97" t="n">
        <f aca="false">C63-D63</f>
        <v>108000</v>
      </c>
    </row>
    <row r="64" customFormat="false" ht="15" hidden="false" customHeight="false" outlineLevel="0" collapsed="false">
      <c r="A64" s="95" t="n">
        <v>16</v>
      </c>
      <c r="B64" s="73" t="s">
        <v>330</v>
      </c>
      <c r="C64" s="96" t="n">
        <v>416500</v>
      </c>
      <c r="D64" s="96" t="n">
        <f aca="false">100000+116500+150000+50000</f>
        <v>416500</v>
      </c>
      <c r="E64" s="97" t="n">
        <f aca="false">C64-D64</f>
        <v>0</v>
      </c>
    </row>
    <row r="65" customFormat="false" ht="15" hidden="false" customHeight="false" outlineLevel="0" collapsed="false">
      <c r="A65" s="95" t="n">
        <v>17</v>
      </c>
      <c r="B65" s="73" t="s">
        <v>331</v>
      </c>
      <c r="C65" s="96" t="n">
        <v>416500</v>
      </c>
      <c r="D65" s="96" t="n">
        <f aca="false">217000+200000</f>
        <v>417000</v>
      </c>
      <c r="E65" s="97" t="n">
        <f aca="false">C65-D65</f>
        <v>-500</v>
      </c>
    </row>
    <row r="66" customFormat="false" ht="15" hidden="false" customHeight="false" outlineLevel="0" collapsed="false">
      <c r="A66" s="95" t="n">
        <v>18</v>
      </c>
      <c r="B66" s="73" t="s">
        <v>332</v>
      </c>
      <c r="C66" s="96" t="n">
        <v>416500</v>
      </c>
      <c r="D66" s="96" t="n">
        <f aca="false">220000+196500</f>
        <v>416500</v>
      </c>
      <c r="E66" s="97" t="n">
        <f aca="false">C66-D66</f>
        <v>0</v>
      </c>
    </row>
    <row r="67" customFormat="false" ht="15" hidden="false" customHeight="false" outlineLevel="0" collapsed="false">
      <c r="A67" s="95" t="n">
        <v>19</v>
      </c>
      <c r="B67" s="73" t="s">
        <v>333</v>
      </c>
      <c r="C67" s="96" t="n">
        <v>416500</v>
      </c>
      <c r="D67" s="96" t="n">
        <f aca="false">115500+301000</f>
        <v>416500</v>
      </c>
      <c r="E67" s="97" t="n">
        <f aca="false">C67-D67</f>
        <v>0</v>
      </c>
    </row>
    <row r="68" customFormat="false" ht="15" hidden="false" customHeight="false" outlineLevel="0" collapsed="false">
      <c r="A68" s="95" t="n">
        <v>20</v>
      </c>
      <c r="B68" s="73" t="s">
        <v>334</v>
      </c>
      <c r="C68" s="96" t="n">
        <v>416500</v>
      </c>
      <c r="D68" s="96" t="n">
        <f aca="false">148500+268000</f>
        <v>416500</v>
      </c>
      <c r="E68" s="97" t="n">
        <f aca="false">C68-D68</f>
        <v>0</v>
      </c>
    </row>
    <row r="69" customFormat="false" ht="15" hidden="false" customHeight="false" outlineLevel="0" collapsed="false">
      <c r="A69" s="95" t="n">
        <v>21</v>
      </c>
      <c r="B69" s="73" t="s">
        <v>335</v>
      </c>
      <c r="C69" s="96" t="n">
        <v>416500</v>
      </c>
      <c r="D69" s="96"/>
      <c r="E69" s="97" t="n">
        <f aca="false">C69-D69</f>
        <v>416500</v>
      </c>
    </row>
    <row r="70" customFormat="false" ht="15" hidden="false" customHeight="false" outlineLevel="0" collapsed="false">
      <c r="A70" s="95" t="n">
        <v>22</v>
      </c>
      <c r="B70" s="73" t="s">
        <v>336</v>
      </c>
      <c r="C70" s="96" t="n">
        <v>416500</v>
      </c>
      <c r="D70" s="96" t="n">
        <f aca="false">50000</f>
        <v>50000</v>
      </c>
      <c r="E70" s="97" t="n">
        <f aca="false">C70-D70</f>
        <v>366500</v>
      </c>
    </row>
    <row r="71" customFormat="false" ht="15" hidden="false" customHeight="false" outlineLevel="0" collapsed="false">
      <c r="A71" s="95" t="n">
        <v>23</v>
      </c>
      <c r="B71" s="73" t="s">
        <v>337</v>
      </c>
      <c r="C71" s="96" t="n">
        <v>416500</v>
      </c>
      <c r="D71" s="96" t="n">
        <f aca="false">66500+140000+210000</f>
        <v>416500</v>
      </c>
      <c r="E71" s="97" t="n">
        <f aca="false">C71-D71</f>
        <v>0</v>
      </c>
    </row>
    <row r="72" customFormat="false" ht="15" hidden="false" customHeight="false" outlineLevel="0" collapsed="false">
      <c r="A72" s="95" t="n">
        <v>24</v>
      </c>
      <c r="B72" s="98" t="s">
        <v>338</v>
      </c>
      <c r="C72" s="96" t="n">
        <v>416500</v>
      </c>
      <c r="D72" s="96" t="n">
        <f aca="false">100000+50000+266500</f>
        <v>416500</v>
      </c>
      <c r="E72" s="97" t="n">
        <f aca="false">C72-D72</f>
        <v>0</v>
      </c>
    </row>
    <row r="73" customFormat="false" ht="15" hidden="false" customHeight="false" outlineLevel="0" collapsed="false">
      <c r="A73" s="95" t="n">
        <v>25</v>
      </c>
      <c r="B73" s="73" t="s">
        <v>339</v>
      </c>
      <c r="C73" s="96" t="n">
        <v>416500</v>
      </c>
      <c r="D73" s="96" t="n">
        <f aca="false">217000+200000</f>
        <v>417000</v>
      </c>
      <c r="E73" s="97" t="n">
        <f aca="false">C73-D73</f>
        <v>-500</v>
      </c>
    </row>
    <row r="74" customFormat="false" ht="15" hidden="false" customHeight="false" outlineLevel="0" collapsed="false">
      <c r="A74" s="95" t="n">
        <v>26</v>
      </c>
      <c r="B74" s="73" t="s">
        <v>340</v>
      </c>
      <c r="C74" s="96" t="n">
        <v>416500</v>
      </c>
      <c r="D74" s="96" t="n">
        <f aca="false">3500+147000</f>
        <v>150500</v>
      </c>
      <c r="E74" s="97" t="n">
        <f aca="false">C74-D74</f>
        <v>266000</v>
      </c>
    </row>
    <row r="75" customFormat="false" ht="15" hidden="false" customHeight="false" outlineLevel="0" collapsed="false">
      <c r="A75" s="95" t="n">
        <v>27</v>
      </c>
      <c r="B75" s="73" t="s">
        <v>341</v>
      </c>
      <c r="C75" s="96" t="n">
        <v>416500</v>
      </c>
      <c r="D75" s="96" t="n">
        <f aca="false">200000+216500</f>
        <v>416500</v>
      </c>
      <c r="E75" s="97" t="n">
        <f aca="false">C75-D75</f>
        <v>0</v>
      </c>
      <c r="F75" s="1"/>
    </row>
    <row r="76" customFormat="false" ht="15" hidden="false" customHeight="false" outlineLevel="0" collapsed="false">
      <c r="A76" s="95" t="n">
        <v>28</v>
      </c>
      <c r="B76" s="98" t="s">
        <v>342</v>
      </c>
      <c r="C76" s="96" t="n">
        <v>416500</v>
      </c>
      <c r="D76" s="96" t="n">
        <f aca="false">216500+200000</f>
        <v>416500</v>
      </c>
      <c r="E76" s="97" t="n">
        <f aca="false">C76-D76</f>
        <v>0</v>
      </c>
    </row>
    <row r="77" customFormat="false" ht="15" hidden="false" customHeight="false" outlineLevel="0" collapsed="false">
      <c r="A77" s="95" t="n">
        <v>29</v>
      </c>
      <c r="B77" s="73" t="s">
        <v>343</v>
      </c>
      <c r="C77" s="96" t="n">
        <v>416500</v>
      </c>
      <c r="D77" s="96" t="n">
        <f aca="false">216500+200000</f>
        <v>416500</v>
      </c>
      <c r="E77" s="97" t="n">
        <f aca="false">C77-D77</f>
        <v>0</v>
      </c>
    </row>
    <row r="78" customFormat="false" ht="15" hidden="false" customHeight="false" outlineLevel="0" collapsed="false">
      <c r="A78" s="95" t="n">
        <v>30</v>
      </c>
      <c r="B78" s="73" t="s">
        <v>344</v>
      </c>
      <c r="C78" s="96" t="n">
        <v>416500</v>
      </c>
      <c r="D78" s="96" t="n">
        <f aca="false">233000+130000</f>
        <v>363000</v>
      </c>
      <c r="E78" s="97" t="n">
        <f aca="false">C78-D78</f>
        <v>53500</v>
      </c>
    </row>
    <row r="79" customFormat="false" ht="15" hidden="false" customHeight="false" outlineLevel="0" collapsed="false">
      <c r="A79" s="95" t="n">
        <v>31</v>
      </c>
      <c r="B79" s="98" t="s">
        <v>345</v>
      </c>
      <c r="C79" s="96" t="n">
        <v>416500</v>
      </c>
      <c r="D79" s="96" t="n">
        <f aca="false">8500+100000+100000+100000+50000+58000</f>
        <v>416500</v>
      </c>
      <c r="E79" s="97" t="n">
        <f aca="false">C79-D79</f>
        <v>0</v>
      </c>
    </row>
    <row r="80" customFormat="false" ht="15" hidden="false" customHeight="false" outlineLevel="0" collapsed="false">
      <c r="A80" s="95" t="n">
        <v>32</v>
      </c>
      <c r="B80" s="73" t="s">
        <v>346</v>
      </c>
      <c r="C80" s="96" t="n">
        <v>416500</v>
      </c>
      <c r="D80" s="96" t="n">
        <f aca="false">100000+80000+236500</f>
        <v>416500</v>
      </c>
      <c r="E80" s="97" t="n">
        <f aca="false">C80-D80</f>
        <v>0</v>
      </c>
    </row>
    <row r="81" customFormat="false" ht="15" hidden="false" customHeight="false" outlineLevel="0" collapsed="false">
      <c r="A81" s="95" t="n">
        <v>33</v>
      </c>
      <c r="B81" s="73" t="s">
        <v>347</v>
      </c>
      <c r="C81" s="96" t="n">
        <v>416500</v>
      </c>
      <c r="D81" s="96" t="n">
        <f aca="false">316500+100000</f>
        <v>416500</v>
      </c>
      <c r="E81" s="97" t="n">
        <f aca="false">C81-D81</f>
        <v>0</v>
      </c>
    </row>
    <row r="82" customFormat="false" ht="15" hidden="false" customHeight="false" outlineLevel="0" collapsed="false">
      <c r="A82" s="95" t="n">
        <v>34</v>
      </c>
      <c r="B82" s="99" t="s">
        <v>348</v>
      </c>
      <c r="C82" s="110" t="s">
        <v>349</v>
      </c>
      <c r="D82" s="96"/>
      <c r="E82" s="111" t="s">
        <v>349</v>
      </c>
    </row>
    <row r="83" customFormat="false" ht="15" hidden="false" customHeight="false" outlineLevel="0" collapsed="false">
      <c r="A83" s="95" t="n">
        <v>35</v>
      </c>
      <c r="B83" s="73" t="s">
        <v>350</v>
      </c>
      <c r="C83" s="96" t="n">
        <v>416500</v>
      </c>
      <c r="D83" s="96" t="n">
        <f aca="false">150000+50000+217000</f>
        <v>417000</v>
      </c>
      <c r="E83" s="97" t="n">
        <f aca="false">C83-D83</f>
        <v>-500</v>
      </c>
    </row>
    <row r="84" customFormat="false" ht="17.35" hidden="false" customHeight="false" outlineLevel="0" collapsed="false">
      <c r="A84" s="112"/>
      <c r="B84" s="100" t="s">
        <v>22</v>
      </c>
      <c r="C84" s="101" t="n">
        <f aca="false">SUM(C49:C83)</f>
        <v>14161000</v>
      </c>
      <c r="D84" s="102" t="n">
        <f aca="false">SUM(D49:D83)</f>
        <v>10557000</v>
      </c>
      <c r="E84" s="103" t="n">
        <f aca="false">SUM(E49:E83)</f>
        <v>3604000</v>
      </c>
    </row>
    <row r="85" customFormat="false" ht="15" hidden="false" customHeight="false" outlineLevel="0" collapsed="false">
      <c r="A85" s="104"/>
      <c r="D85" s="113"/>
      <c r="E85" s="114"/>
    </row>
    <row r="87" customFormat="false" ht="17.35" hidden="false" customHeight="false" outlineLevel="0" collapsed="false">
      <c r="A87" s="108"/>
      <c r="B87" s="2" t="s">
        <v>0</v>
      </c>
    </row>
    <row r="88" customFormat="false" ht="15" hidden="false" customHeight="false" outlineLevel="0" collapsed="false">
      <c r="A88" s="104"/>
    </row>
    <row r="89" customFormat="false" ht="17.25" hidden="false" customHeight="false" outlineLevel="0" collapsed="false">
      <c r="A89" s="104"/>
      <c r="B89" s="3" t="s">
        <v>1</v>
      </c>
    </row>
    <row r="90" customFormat="false" ht="15" hidden="false" customHeight="false" outlineLevel="0" collapsed="false">
      <c r="A90" s="104"/>
    </row>
    <row r="91" customFormat="false" ht="17.35" hidden="false" customHeight="false" outlineLevel="0" collapsed="false">
      <c r="A91" s="104"/>
      <c r="B91" s="91" t="s">
        <v>351</v>
      </c>
    </row>
    <row r="92" customFormat="false" ht="15" hidden="false" customHeight="false" outlineLevel="0" collapsed="false">
      <c r="A92" s="104"/>
      <c r="B92" s="4" t="s">
        <v>284</v>
      </c>
    </row>
    <row r="93" customFormat="false" ht="15" hidden="false" customHeight="false" outlineLevel="0" collapsed="false">
      <c r="A93" s="104"/>
    </row>
    <row r="94" customFormat="false" ht="15" hidden="false" customHeight="false" outlineLevel="0" collapsed="false">
      <c r="A94" s="92" t="s">
        <v>4</v>
      </c>
      <c r="B94" s="93" t="s">
        <v>285</v>
      </c>
      <c r="C94" s="8" t="s">
        <v>6</v>
      </c>
      <c r="D94" s="94" t="s">
        <v>7</v>
      </c>
      <c r="E94" s="115" t="s">
        <v>8</v>
      </c>
    </row>
    <row r="95" customFormat="false" ht="15" hidden="false" customHeight="false" outlineLevel="0" collapsed="false">
      <c r="A95" s="95" t="n">
        <v>1</v>
      </c>
      <c r="B95" s="116" t="s">
        <v>352</v>
      </c>
      <c r="C95" s="96" t="n">
        <v>416500</v>
      </c>
      <c r="D95" s="96" t="n">
        <f aca="false">139500+277000</f>
        <v>416500</v>
      </c>
      <c r="E95" s="97" t="n">
        <f aca="false">C95-D95</f>
        <v>0</v>
      </c>
    </row>
    <row r="96" customFormat="false" ht="15" hidden="false" customHeight="false" outlineLevel="0" collapsed="false">
      <c r="A96" s="95" t="n">
        <v>2</v>
      </c>
      <c r="B96" s="116" t="s">
        <v>353</v>
      </c>
      <c r="C96" s="96" t="n">
        <v>416500</v>
      </c>
      <c r="D96" s="96"/>
      <c r="E96" s="97" t="n">
        <f aca="false">C96-D96</f>
        <v>416500</v>
      </c>
    </row>
    <row r="97" customFormat="false" ht="15" hidden="false" customHeight="false" outlineLevel="0" collapsed="false">
      <c r="A97" s="95" t="n">
        <v>3</v>
      </c>
      <c r="B97" s="116" t="s">
        <v>354</v>
      </c>
      <c r="C97" s="96" t="n">
        <v>416500</v>
      </c>
      <c r="D97" s="96" t="n">
        <f aca="false">216500+200000</f>
        <v>416500</v>
      </c>
      <c r="E97" s="97" t="n">
        <f aca="false">C97-D97</f>
        <v>0</v>
      </c>
    </row>
    <row r="98" customFormat="false" ht="15" hidden="false" customHeight="false" outlineLevel="0" collapsed="false">
      <c r="A98" s="95" t="n">
        <v>4</v>
      </c>
      <c r="B98" s="116" t="s">
        <v>355</v>
      </c>
      <c r="C98" s="96" t="n">
        <v>416500</v>
      </c>
      <c r="D98" s="96" t="n">
        <f aca="false">116500+300000</f>
        <v>416500</v>
      </c>
      <c r="E98" s="97" t="n">
        <f aca="false">C98-D98</f>
        <v>0</v>
      </c>
    </row>
    <row r="99" customFormat="false" ht="15" hidden="false" customHeight="false" outlineLevel="0" collapsed="false">
      <c r="A99" s="95" t="n">
        <v>5</v>
      </c>
      <c r="B99" s="116" t="s">
        <v>356</v>
      </c>
      <c r="C99" s="96" t="n">
        <v>416500</v>
      </c>
      <c r="D99" s="96" t="n">
        <f aca="false">160000+256500</f>
        <v>416500</v>
      </c>
      <c r="E99" s="97" t="n">
        <f aca="false">C99-D99</f>
        <v>0</v>
      </c>
    </row>
    <row r="100" customFormat="false" ht="15" hidden="false" customHeight="false" outlineLevel="0" collapsed="false">
      <c r="A100" s="95" t="n">
        <v>6</v>
      </c>
      <c r="B100" s="116" t="s">
        <v>357</v>
      </c>
      <c r="C100" s="96" t="n">
        <v>416500</v>
      </c>
      <c r="D100" s="96" t="n">
        <f aca="false">200000+216500</f>
        <v>416500</v>
      </c>
      <c r="E100" s="97" t="n">
        <f aca="false">C100-D100</f>
        <v>0</v>
      </c>
    </row>
    <row r="101" customFormat="false" ht="15" hidden="false" customHeight="false" outlineLevel="0" collapsed="false">
      <c r="A101" s="95" t="n">
        <v>7</v>
      </c>
      <c r="B101" s="116" t="s">
        <v>358</v>
      </c>
      <c r="C101" s="96" t="n">
        <v>416500</v>
      </c>
      <c r="D101" s="96" t="n">
        <f aca="false">216500+200000</f>
        <v>416500</v>
      </c>
      <c r="E101" s="97" t="n">
        <f aca="false">C101-D101</f>
        <v>0</v>
      </c>
    </row>
    <row r="102" customFormat="false" ht="15" hidden="false" customHeight="false" outlineLevel="0" collapsed="false">
      <c r="A102" s="95" t="n">
        <v>8</v>
      </c>
      <c r="B102" s="116" t="s">
        <v>359</v>
      </c>
      <c r="C102" s="96" t="n">
        <v>416500</v>
      </c>
      <c r="D102" s="96" t="n">
        <f aca="false">33500+100000+120000+163500</f>
        <v>417000</v>
      </c>
      <c r="E102" s="97" t="n">
        <f aca="false">C102-D102</f>
        <v>-500</v>
      </c>
    </row>
    <row r="103" customFormat="false" ht="15" hidden="false" customHeight="false" outlineLevel="0" collapsed="false">
      <c r="A103" s="95" t="n">
        <v>9</v>
      </c>
      <c r="B103" s="116" t="s">
        <v>360</v>
      </c>
      <c r="C103" s="96" t="n">
        <v>416500</v>
      </c>
      <c r="D103" s="96" t="n">
        <f aca="false">85000+315500+16000</f>
        <v>416500</v>
      </c>
      <c r="E103" s="97" t="n">
        <f aca="false">C103-D103</f>
        <v>0</v>
      </c>
    </row>
    <row r="104" customFormat="false" ht="15" hidden="false" customHeight="false" outlineLevel="0" collapsed="false">
      <c r="A104" s="95" t="n">
        <v>10</v>
      </c>
      <c r="B104" s="116" t="s">
        <v>361</v>
      </c>
      <c r="C104" s="96" t="n">
        <v>416500</v>
      </c>
      <c r="D104" s="96" t="n">
        <f aca="false">3500+220000+200000</f>
        <v>423500</v>
      </c>
      <c r="E104" s="97" t="n">
        <f aca="false">C104-D104</f>
        <v>-7000</v>
      </c>
    </row>
    <row r="105" customFormat="false" ht="15" hidden="false" customHeight="false" outlineLevel="0" collapsed="false">
      <c r="A105" s="95" t="n">
        <v>11</v>
      </c>
      <c r="B105" s="116" t="s">
        <v>362</v>
      </c>
      <c r="C105" s="96" t="n">
        <v>416500</v>
      </c>
      <c r="D105" s="96" t="n">
        <v>416500</v>
      </c>
      <c r="E105" s="97" t="n">
        <f aca="false">C105-D105</f>
        <v>0</v>
      </c>
    </row>
    <row r="106" customFormat="false" ht="15" hidden="false" customHeight="false" outlineLevel="0" collapsed="false">
      <c r="A106" s="95" t="n">
        <v>12</v>
      </c>
      <c r="B106" s="116" t="s">
        <v>363</v>
      </c>
      <c r="C106" s="96" t="n">
        <v>416500</v>
      </c>
      <c r="D106" s="96" t="n">
        <f aca="false">416500</f>
        <v>416500</v>
      </c>
      <c r="E106" s="97" t="n">
        <f aca="false">C106-D106</f>
        <v>0</v>
      </c>
    </row>
    <row r="107" customFormat="false" ht="15" hidden="false" customHeight="false" outlineLevel="0" collapsed="false">
      <c r="A107" s="95" t="n">
        <v>13</v>
      </c>
      <c r="B107" s="116" t="s">
        <v>364</v>
      </c>
      <c r="C107" s="96" t="n">
        <v>416500</v>
      </c>
      <c r="D107" s="96" t="n">
        <f aca="false">150000+266500</f>
        <v>416500</v>
      </c>
      <c r="E107" s="97" t="n">
        <f aca="false">C107-D107</f>
        <v>0</v>
      </c>
    </row>
    <row r="108" customFormat="false" ht="15" hidden="false" customHeight="false" outlineLevel="0" collapsed="false">
      <c r="A108" s="95" t="n">
        <v>14</v>
      </c>
      <c r="B108" s="116" t="s">
        <v>365</v>
      </c>
      <c r="C108" s="96" t="n">
        <v>416500</v>
      </c>
      <c r="D108" s="96" t="n">
        <v>416500</v>
      </c>
      <c r="E108" s="97" t="n">
        <f aca="false">C108-D108</f>
        <v>0</v>
      </c>
    </row>
    <row r="109" customFormat="false" ht="15" hidden="false" customHeight="false" outlineLevel="0" collapsed="false">
      <c r="A109" s="95" t="n">
        <v>15</v>
      </c>
      <c r="B109" s="116" t="s">
        <v>366</v>
      </c>
      <c r="C109" s="96" t="n">
        <v>416500</v>
      </c>
      <c r="D109" s="96" t="n">
        <v>416500</v>
      </c>
      <c r="E109" s="97" t="n">
        <f aca="false">C109-D109</f>
        <v>0</v>
      </c>
    </row>
    <row r="110" customFormat="false" ht="15" hidden="false" customHeight="false" outlineLevel="0" collapsed="false">
      <c r="A110" s="95" t="n">
        <v>16</v>
      </c>
      <c r="B110" s="116" t="s">
        <v>367</v>
      </c>
      <c r="C110" s="96" t="n">
        <v>416500</v>
      </c>
      <c r="D110" s="96" t="n">
        <f aca="false">216000+216500</f>
        <v>432500</v>
      </c>
      <c r="E110" s="97" t="n">
        <f aca="false">C110-D110</f>
        <v>-16000</v>
      </c>
    </row>
    <row r="111" customFormat="false" ht="15" hidden="false" customHeight="false" outlineLevel="0" collapsed="false">
      <c r="A111" s="95" t="n">
        <v>17</v>
      </c>
      <c r="B111" s="116" t="s">
        <v>368</v>
      </c>
      <c r="C111" s="96" t="n">
        <v>416500</v>
      </c>
      <c r="D111" s="96" t="n">
        <f aca="false">116500+300000</f>
        <v>416500</v>
      </c>
      <c r="E111" s="97" t="n">
        <f aca="false">C111-D111</f>
        <v>0</v>
      </c>
    </row>
    <row r="112" customFormat="false" ht="15" hidden="false" customHeight="false" outlineLevel="0" collapsed="false">
      <c r="A112" s="95" t="n">
        <v>18</v>
      </c>
      <c r="B112" s="116" t="s">
        <v>369</v>
      </c>
      <c r="C112" s="96" t="n">
        <v>416500</v>
      </c>
      <c r="D112" s="96"/>
      <c r="E112" s="97" t="n">
        <f aca="false">C112-D112</f>
        <v>416500</v>
      </c>
    </row>
    <row r="113" customFormat="false" ht="15" hidden="false" customHeight="false" outlineLevel="0" collapsed="false">
      <c r="A113" s="95" t="n">
        <v>19</v>
      </c>
      <c r="B113" s="116" t="s">
        <v>370</v>
      </c>
      <c r="C113" s="96" t="n">
        <v>416500</v>
      </c>
      <c r="D113" s="96" t="n">
        <f aca="false">266500+150000</f>
        <v>416500</v>
      </c>
      <c r="E113" s="97" t="n">
        <f aca="false">C113-D113</f>
        <v>0</v>
      </c>
    </row>
    <row r="114" customFormat="false" ht="15" hidden="false" customHeight="false" outlineLevel="0" collapsed="false">
      <c r="A114" s="95" t="n">
        <v>20</v>
      </c>
      <c r="B114" s="117" t="s">
        <v>371</v>
      </c>
      <c r="C114" s="96" t="n">
        <v>416500</v>
      </c>
      <c r="D114" s="96" t="n">
        <f aca="false">216500+200000</f>
        <v>416500</v>
      </c>
      <c r="E114" s="97" t="n">
        <f aca="false">C114-D114</f>
        <v>0</v>
      </c>
    </row>
    <row r="115" customFormat="false" ht="15" hidden="false" customHeight="false" outlineLevel="0" collapsed="false">
      <c r="A115" s="95" t="n">
        <v>21</v>
      </c>
      <c r="B115" s="116" t="s">
        <v>372</v>
      </c>
      <c r="C115" s="96" t="n">
        <v>416500</v>
      </c>
      <c r="D115" s="96"/>
      <c r="E115" s="97" t="n">
        <f aca="false">C115-D115</f>
        <v>416500</v>
      </c>
    </row>
    <row r="116" customFormat="false" ht="15" hidden="false" customHeight="false" outlineLevel="0" collapsed="false">
      <c r="A116" s="95" t="n">
        <v>22</v>
      </c>
      <c r="B116" s="116" t="s">
        <v>373</v>
      </c>
      <c r="C116" s="96" t="n">
        <v>416500</v>
      </c>
      <c r="D116" s="96" t="n">
        <f aca="false">4000+417000</f>
        <v>421000</v>
      </c>
      <c r="E116" s="97" t="n">
        <f aca="false">C116-D116</f>
        <v>-4500</v>
      </c>
    </row>
    <row r="117" customFormat="false" ht="15" hidden="false" customHeight="false" outlineLevel="0" collapsed="false">
      <c r="A117" s="95" t="n">
        <v>23</v>
      </c>
      <c r="B117" s="116" t="s">
        <v>374</v>
      </c>
      <c r="C117" s="96" t="n">
        <v>416500</v>
      </c>
      <c r="D117" s="96" t="n">
        <v>416500</v>
      </c>
      <c r="E117" s="97" t="n">
        <f aca="false">C117-D117</f>
        <v>0</v>
      </c>
    </row>
    <row r="118" customFormat="false" ht="15" hidden="false" customHeight="false" outlineLevel="0" collapsed="false">
      <c r="A118" s="95" t="n">
        <v>24</v>
      </c>
      <c r="B118" s="116" t="s">
        <v>375</v>
      </c>
      <c r="C118" s="96" t="n">
        <v>416500</v>
      </c>
      <c r="D118" s="96"/>
      <c r="E118" s="97" t="n">
        <f aca="false">C118-D118</f>
        <v>416500</v>
      </c>
    </row>
    <row r="119" customFormat="false" ht="15" hidden="false" customHeight="false" outlineLevel="0" collapsed="false">
      <c r="A119" s="95" t="n">
        <v>25</v>
      </c>
      <c r="B119" s="116" t="s">
        <v>376</v>
      </c>
      <c r="C119" s="96" t="n">
        <v>416500</v>
      </c>
      <c r="D119" s="96" t="n">
        <f aca="false">50000+366500</f>
        <v>416500</v>
      </c>
      <c r="E119" s="97" t="n">
        <f aca="false">C119-D119</f>
        <v>0</v>
      </c>
    </row>
    <row r="120" customFormat="false" ht="15" hidden="false" customHeight="false" outlineLevel="0" collapsed="false">
      <c r="A120" s="95" t="n">
        <v>26</v>
      </c>
      <c r="B120" s="116" t="s">
        <v>377</v>
      </c>
      <c r="C120" s="96" t="n">
        <v>416500</v>
      </c>
      <c r="D120" s="96"/>
      <c r="E120" s="97" t="n">
        <f aca="false">C120-D120</f>
        <v>416500</v>
      </c>
    </row>
    <row r="121" customFormat="false" ht="15" hidden="false" customHeight="false" outlineLevel="0" collapsed="false">
      <c r="A121" s="95" t="n">
        <v>27</v>
      </c>
      <c r="B121" s="116" t="s">
        <v>378</v>
      </c>
      <c r="C121" s="96" t="n">
        <v>416500</v>
      </c>
      <c r="D121" s="96" t="n">
        <f aca="false">149500</f>
        <v>149500</v>
      </c>
      <c r="E121" s="97" t="n">
        <f aca="false">C121-D121</f>
        <v>267000</v>
      </c>
    </row>
    <row r="122" customFormat="false" ht="15" hidden="false" customHeight="false" outlineLevel="0" collapsed="false">
      <c r="A122" s="95" t="n">
        <v>28</v>
      </c>
      <c r="B122" s="116" t="s">
        <v>379</v>
      </c>
      <c r="C122" s="96" t="n">
        <v>416500</v>
      </c>
      <c r="D122" s="96" t="n">
        <f aca="false">150000+100000+166500</f>
        <v>416500</v>
      </c>
      <c r="E122" s="97" t="n">
        <f aca="false">C122-D122</f>
        <v>0</v>
      </c>
      <c r="F122" s="38"/>
    </row>
    <row r="123" customFormat="false" ht="15" hidden="false" customHeight="false" outlineLevel="0" collapsed="false">
      <c r="A123" s="95" t="n">
        <v>29</v>
      </c>
      <c r="B123" s="116" t="s">
        <v>380</v>
      </c>
      <c r="C123" s="96" t="n">
        <v>416500</v>
      </c>
      <c r="D123" s="96" t="n">
        <f aca="false">216500+200000</f>
        <v>416500</v>
      </c>
      <c r="E123" s="97" t="n">
        <f aca="false">C123-D123</f>
        <v>0</v>
      </c>
    </row>
    <row r="124" customFormat="false" ht="15" hidden="false" customHeight="false" outlineLevel="0" collapsed="false">
      <c r="A124" s="95" t="n">
        <v>30</v>
      </c>
      <c r="B124" s="116" t="s">
        <v>381</v>
      </c>
      <c r="C124" s="96" t="n">
        <v>416500</v>
      </c>
      <c r="D124" s="96" t="n">
        <f aca="false">116500+50000+30000+80000+140000</f>
        <v>416500</v>
      </c>
      <c r="E124" s="97" t="n">
        <f aca="false">C124-D124</f>
        <v>0</v>
      </c>
    </row>
    <row r="125" customFormat="false" ht="15" hidden="false" customHeight="false" outlineLevel="0" collapsed="false">
      <c r="A125" s="95" t="n">
        <v>31</v>
      </c>
      <c r="B125" s="116" t="s">
        <v>382</v>
      </c>
      <c r="C125" s="96" t="n">
        <v>416500</v>
      </c>
      <c r="D125" s="96" t="n">
        <f aca="false">200000+216500</f>
        <v>416500</v>
      </c>
      <c r="E125" s="97" t="n">
        <f aca="false">C125-D125</f>
        <v>0</v>
      </c>
    </row>
    <row r="126" customFormat="false" ht="15" hidden="false" customHeight="false" outlineLevel="0" collapsed="false">
      <c r="A126" s="95" t="n">
        <v>32</v>
      </c>
      <c r="B126" s="116" t="s">
        <v>383</v>
      </c>
      <c r="C126" s="96" t="n">
        <v>416500</v>
      </c>
      <c r="D126" s="96" t="n">
        <f aca="false">233500+183000</f>
        <v>416500</v>
      </c>
      <c r="E126" s="97" t="n">
        <f aca="false">C126-D126</f>
        <v>0</v>
      </c>
    </row>
    <row r="127" customFormat="false" ht="15" hidden="false" customHeight="false" outlineLevel="0" collapsed="false">
      <c r="A127" s="95" t="n">
        <v>33</v>
      </c>
      <c r="B127" s="116" t="s">
        <v>384</v>
      </c>
      <c r="C127" s="96" t="n">
        <v>416500</v>
      </c>
      <c r="D127" s="96" t="n">
        <f aca="false">117000+150000+299000</f>
        <v>566000</v>
      </c>
      <c r="E127" s="97" t="n">
        <f aca="false">C127-D127</f>
        <v>-149500</v>
      </c>
    </row>
    <row r="128" customFormat="false" ht="15" hidden="false" customHeight="false" outlineLevel="0" collapsed="false">
      <c r="A128" s="95" t="n">
        <v>34</v>
      </c>
      <c r="B128" s="116" t="s">
        <v>385</v>
      </c>
      <c r="C128" s="96" t="n">
        <v>416500</v>
      </c>
      <c r="D128" s="96"/>
      <c r="E128" s="97" t="n">
        <f aca="false">C128-D128</f>
        <v>416500</v>
      </c>
    </row>
    <row r="129" customFormat="false" ht="15" hidden="false" customHeight="false" outlineLevel="0" collapsed="false">
      <c r="A129" s="95" t="n">
        <v>35</v>
      </c>
      <c r="B129" s="116" t="s">
        <v>386</v>
      </c>
      <c r="C129" s="96" t="n">
        <v>416500</v>
      </c>
      <c r="D129" s="96"/>
      <c r="E129" s="97" t="n">
        <f aca="false">C129-D129</f>
        <v>416500</v>
      </c>
    </row>
    <row r="130" customFormat="false" ht="15" hidden="false" customHeight="false" outlineLevel="0" collapsed="false">
      <c r="A130" s="95" t="n">
        <v>36</v>
      </c>
      <c r="B130" s="116" t="s">
        <v>387</v>
      </c>
      <c r="C130" s="96" t="n">
        <v>416500</v>
      </c>
      <c r="D130" s="96" t="n">
        <f aca="false">216500+200000</f>
        <v>416500</v>
      </c>
      <c r="E130" s="97" t="n">
        <f aca="false">C130-D130</f>
        <v>0</v>
      </c>
    </row>
    <row r="131" customFormat="false" ht="15" hidden="false" customHeight="false" outlineLevel="0" collapsed="false">
      <c r="A131" s="95" t="n">
        <v>37</v>
      </c>
      <c r="B131" s="116" t="s">
        <v>388</v>
      </c>
      <c r="C131" s="96" t="n">
        <v>416500</v>
      </c>
      <c r="D131" s="96" t="n">
        <f aca="false">199950+40500+176050</f>
        <v>416500</v>
      </c>
      <c r="E131" s="97" t="n">
        <f aca="false">C131-D131</f>
        <v>0</v>
      </c>
    </row>
    <row r="132" customFormat="false" ht="15" hidden="false" customHeight="false" outlineLevel="0" collapsed="false">
      <c r="A132" s="95" t="n">
        <v>38</v>
      </c>
      <c r="B132" s="116" t="s">
        <v>389</v>
      </c>
      <c r="C132" s="96" t="n">
        <v>416500</v>
      </c>
      <c r="D132" s="96"/>
      <c r="E132" s="97" t="n">
        <f aca="false">C132-D132</f>
        <v>416500</v>
      </c>
    </row>
    <row r="133" customFormat="false" ht="15" hidden="false" customHeight="false" outlineLevel="0" collapsed="false">
      <c r="A133" s="95" t="n">
        <v>39</v>
      </c>
      <c r="B133" s="116" t="s">
        <v>390</v>
      </c>
      <c r="C133" s="96" t="n">
        <v>416500</v>
      </c>
      <c r="D133" s="96"/>
      <c r="E133" s="97" t="n">
        <f aca="false">C133-D133</f>
        <v>416500</v>
      </c>
    </row>
    <row r="134" customFormat="false" ht="17.35" hidden="false" customHeight="false" outlineLevel="0" collapsed="false">
      <c r="A134" s="112"/>
      <c r="B134" s="100" t="s">
        <v>22</v>
      </c>
      <c r="C134" s="101" t="n">
        <f aca="false">SUM(C95:C133)</f>
        <v>16243500</v>
      </c>
      <c r="D134" s="102" t="n">
        <f aca="false">SUM(D95:D133)</f>
        <v>12405500</v>
      </c>
      <c r="E134" s="103" t="n">
        <f aca="false">SUM(E95:E133)</f>
        <v>3838000</v>
      </c>
    </row>
    <row r="135" customFormat="false" ht="15" hidden="false" customHeight="false" outlineLevel="0" collapsed="false">
      <c r="A135" s="104"/>
    </row>
    <row r="136" customFormat="false" ht="17.35" hidden="false" customHeight="false" outlineLevel="0" collapsed="false">
      <c r="A136" s="104" t="s">
        <v>391</v>
      </c>
      <c r="B136" s="2" t="s">
        <v>0</v>
      </c>
    </row>
    <row r="137" customFormat="false" ht="15" hidden="false" customHeight="false" outlineLevel="0" collapsed="false">
      <c r="A137" s="104"/>
    </row>
    <row r="138" customFormat="false" ht="17.35" hidden="false" customHeight="false" outlineLevel="0" collapsed="false">
      <c r="A138" s="104"/>
      <c r="B138" s="91" t="s">
        <v>283</v>
      </c>
    </row>
    <row r="139" customFormat="false" ht="15" hidden="false" customHeight="false" outlineLevel="0" collapsed="false">
      <c r="A139" s="104"/>
      <c r="B139" s="4" t="s">
        <v>392</v>
      </c>
    </row>
    <row r="140" customFormat="false" ht="15" hidden="false" customHeight="false" outlineLevel="0" collapsed="false">
      <c r="A140" s="104"/>
    </row>
    <row r="141" customFormat="false" ht="15" hidden="false" customHeight="false" outlineLevel="0" collapsed="false">
      <c r="A141" s="92" t="s">
        <v>4</v>
      </c>
      <c r="B141" s="93" t="s">
        <v>285</v>
      </c>
      <c r="C141" s="8" t="s">
        <v>6</v>
      </c>
      <c r="D141" s="94" t="s">
        <v>7</v>
      </c>
      <c r="E141" s="10" t="s">
        <v>8</v>
      </c>
    </row>
    <row r="142" customFormat="false" ht="15" hidden="false" customHeight="false" outlineLevel="0" collapsed="false">
      <c r="A142" s="95" t="n">
        <v>1</v>
      </c>
      <c r="B142" s="116" t="s">
        <v>393</v>
      </c>
      <c r="C142" s="96" t="n">
        <v>416500</v>
      </c>
      <c r="D142" s="96" t="n">
        <f aca="false">100000+316500</f>
        <v>416500</v>
      </c>
      <c r="E142" s="97" t="n">
        <f aca="false">C142-D142</f>
        <v>0</v>
      </c>
    </row>
    <row r="143" customFormat="false" ht="15" hidden="false" customHeight="false" outlineLevel="0" collapsed="false">
      <c r="A143" s="95" t="n">
        <v>2</v>
      </c>
      <c r="B143" s="116" t="s">
        <v>394</v>
      </c>
      <c r="C143" s="96" t="n">
        <v>416500</v>
      </c>
      <c r="D143" s="96" t="n">
        <f aca="false">216500+200000</f>
        <v>416500</v>
      </c>
      <c r="E143" s="97" t="n">
        <f aca="false">C143-D143</f>
        <v>0</v>
      </c>
    </row>
    <row r="144" customFormat="false" ht="15" hidden="false" customHeight="false" outlineLevel="0" collapsed="false">
      <c r="A144" s="95" t="n">
        <v>3</v>
      </c>
      <c r="B144" s="116" t="s">
        <v>395</v>
      </c>
      <c r="C144" s="96" t="n">
        <v>416500</v>
      </c>
      <c r="D144" s="96" t="n">
        <f aca="false">50000+110000+200000+26500+30000</f>
        <v>416500</v>
      </c>
      <c r="E144" s="97" t="n">
        <f aca="false">C144-D144</f>
        <v>0</v>
      </c>
    </row>
    <row r="145" customFormat="false" ht="15" hidden="false" customHeight="false" outlineLevel="0" collapsed="false">
      <c r="A145" s="95" t="n">
        <v>4</v>
      </c>
      <c r="B145" s="116" t="s">
        <v>396</v>
      </c>
      <c r="C145" s="96" t="n">
        <v>416500</v>
      </c>
      <c r="D145" s="96" t="n">
        <f aca="false">200000+80000+136500</f>
        <v>416500</v>
      </c>
      <c r="E145" s="97" t="n">
        <f aca="false">C145-D145</f>
        <v>0</v>
      </c>
    </row>
    <row r="146" customFormat="false" ht="15" hidden="false" customHeight="false" outlineLevel="0" collapsed="false">
      <c r="A146" s="95" t="n">
        <v>5</v>
      </c>
      <c r="B146" s="118" t="s">
        <v>397</v>
      </c>
      <c r="C146" s="96" t="n">
        <v>416500</v>
      </c>
      <c r="D146" s="96" t="n">
        <f aca="false">50000+66500+300000</f>
        <v>416500</v>
      </c>
      <c r="E146" s="97" t="n">
        <f aca="false">C146-D146</f>
        <v>0</v>
      </c>
    </row>
    <row r="147" customFormat="false" ht="15" hidden="false" customHeight="false" outlineLevel="0" collapsed="false">
      <c r="A147" s="95" t="n">
        <v>6</v>
      </c>
      <c r="B147" s="116" t="s">
        <v>398</v>
      </c>
      <c r="C147" s="96" t="n">
        <v>416500</v>
      </c>
      <c r="D147" s="96" t="n">
        <f aca="false">100000+60000+80000+176500</f>
        <v>416500</v>
      </c>
      <c r="E147" s="97" t="n">
        <f aca="false">C147-D147</f>
        <v>0</v>
      </c>
    </row>
    <row r="148" customFormat="false" ht="15" hidden="false" customHeight="false" outlineLevel="0" collapsed="false">
      <c r="A148" s="95" t="n">
        <v>7</v>
      </c>
      <c r="B148" s="116" t="s">
        <v>399</v>
      </c>
      <c r="C148" s="96" t="n">
        <v>416500</v>
      </c>
      <c r="D148" s="96" t="n">
        <f aca="false">416000+500</f>
        <v>416500</v>
      </c>
      <c r="E148" s="97" t="n">
        <f aca="false">C148-D148</f>
        <v>0</v>
      </c>
    </row>
    <row r="149" customFormat="false" ht="15" hidden="false" customHeight="false" outlineLevel="0" collapsed="false">
      <c r="A149" s="95" t="n">
        <v>8</v>
      </c>
      <c r="B149" s="116" t="s">
        <v>400</v>
      </c>
      <c r="C149" s="96" t="n">
        <v>416500</v>
      </c>
      <c r="D149" s="96" t="n">
        <f aca="false">216500+200000</f>
        <v>416500</v>
      </c>
      <c r="E149" s="97" t="n">
        <f aca="false">C149-D149</f>
        <v>0</v>
      </c>
    </row>
    <row r="150" customFormat="false" ht="15" hidden="false" customHeight="false" outlineLevel="0" collapsed="false">
      <c r="A150" s="95" t="n">
        <v>9</v>
      </c>
      <c r="B150" s="116" t="s">
        <v>401</v>
      </c>
      <c r="C150" s="96" t="n">
        <v>416500</v>
      </c>
      <c r="D150" s="96" t="n">
        <f aca="false">100000+300000</f>
        <v>400000</v>
      </c>
      <c r="E150" s="97" t="n">
        <f aca="false">C150-D150</f>
        <v>16500</v>
      </c>
    </row>
    <row r="151" customFormat="false" ht="15" hidden="false" customHeight="false" outlineLevel="0" collapsed="false">
      <c r="A151" s="95" t="n">
        <v>10</v>
      </c>
      <c r="B151" s="116" t="s">
        <v>402</v>
      </c>
      <c r="C151" s="96" t="n">
        <v>416500</v>
      </c>
      <c r="D151" s="96" t="n">
        <f aca="false">150000+116500+100000+50000</f>
        <v>416500</v>
      </c>
      <c r="E151" s="97" t="n">
        <f aca="false">C151-D151</f>
        <v>0</v>
      </c>
    </row>
    <row r="152" customFormat="false" ht="15" hidden="false" customHeight="false" outlineLevel="0" collapsed="false">
      <c r="A152" s="95" t="n">
        <v>11</v>
      </c>
      <c r="B152" s="116" t="s">
        <v>403</v>
      </c>
      <c r="C152" s="96" t="n">
        <v>416500</v>
      </c>
      <c r="D152" s="96" t="n">
        <f aca="false">170000+100000+146500</f>
        <v>416500</v>
      </c>
      <c r="E152" s="97" t="n">
        <f aca="false">C152-D152</f>
        <v>0</v>
      </c>
    </row>
    <row r="153" customFormat="false" ht="15" hidden="false" customHeight="false" outlineLevel="0" collapsed="false">
      <c r="A153" s="95" t="n">
        <v>12</v>
      </c>
      <c r="B153" s="116" t="s">
        <v>404</v>
      </c>
      <c r="C153" s="96" t="n">
        <v>416500</v>
      </c>
      <c r="D153" s="96" t="n">
        <f aca="false">160000+90000+167000</f>
        <v>417000</v>
      </c>
      <c r="E153" s="97" t="n">
        <f aca="false">C153-D153</f>
        <v>-500</v>
      </c>
    </row>
    <row r="154" customFormat="false" ht="15" hidden="false" customHeight="false" outlineLevel="0" collapsed="false">
      <c r="A154" s="95" t="n">
        <v>13</v>
      </c>
      <c r="B154" s="116" t="s">
        <v>405</v>
      </c>
      <c r="C154" s="96" t="n">
        <v>416500</v>
      </c>
      <c r="D154" s="96" t="n">
        <f aca="false">100000+116500+70000+40000+70000+20000</f>
        <v>416500</v>
      </c>
      <c r="E154" s="97" t="n">
        <f aca="false">C154-D154</f>
        <v>0</v>
      </c>
    </row>
    <row r="155" customFormat="false" ht="15" hidden="false" customHeight="false" outlineLevel="0" collapsed="false">
      <c r="A155" s="95" t="n">
        <v>14</v>
      </c>
      <c r="B155" s="116" t="s">
        <v>406</v>
      </c>
      <c r="C155" s="96" t="n">
        <v>416500</v>
      </c>
      <c r="D155" s="96" t="n">
        <f aca="false">83500+120000</f>
        <v>203500</v>
      </c>
      <c r="E155" s="97" t="n">
        <f aca="false">C155-D155</f>
        <v>213000</v>
      </c>
    </row>
    <row r="156" customFormat="false" ht="15" hidden="false" customHeight="false" outlineLevel="0" collapsed="false">
      <c r="A156" s="95" t="n">
        <v>15</v>
      </c>
      <c r="B156" s="116" t="s">
        <v>407</v>
      </c>
      <c r="C156" s="96" t="n">
        <v>416500</v>
      </c>
      <c r="D156" s="96" t="n">
        <f aca="false">416500</f>
        <v>416500</v>
      </c>
      <c r="E156" s="97" t="n">
        <f aca="false">C156-D156</f>
        <v>0</v>
      </c>
    </row>
    <row r="157" customFormat="false" ht="15" hidden="false" customHeight="false" outlineLevel="0" collapsed="false">
      <c r="A157" s="95" t="n">
        <v>16</v>
      </c>
      <c r="B157" s="116" t="s">
        <v>408</v>
      </c>
      <c r="C157" s="96" t="n">
        <v>416500</v>
      </c>
      <c r="D157" s="96"/>
      <c r="E157" s="97" t="n">
        <f aca="false">C157-D157</f>
        <v>416500</v>
      </c>
      <c r="F157" s="1"/>
    </row>
    <row r="158" customFormat="false" ht="15" hidden="false" customHeight="false" outlineLevel="0" collapsed="false">
      <c r="A158" s="95" t="n">
        <v>17</v>
      </c>
      <c r="B158" s="116" t="s">
        <v>409</v>
      </c>
      <c r="C158" s="96" t="n">
        <v>416500</v>
      </c>
      <c r="D158" s="96" t="n">
        <f aca="false">216500+200000</f>
        <v>416500</v>
      </c>
      <c r="E158" s="97" t="n">
        <f aca="false">C158-D158</f>
        <v>0</v>
      </c>
    </row>
    <row r="159" customFormat="false" ht="15" hidden="false" customHeight="false" outlineLevel="0" collapsed="false">
      <c r="A159" s="95" t="n">
        <v>18</v>
      </c>
      <c r="B159" s="116" t="s">
        <v>410</v>
      </c>
      <c r="C159" s="96" t="n">
        <v>416500</v>
      </c>
      <c r="D159" s="96" t="n">
        <f aca="false">100000+200000+116500</f>
        <v>416500</v>
      </c>
      <c r="E159" s="97" t="n">
        <f aca="false">C159-D159</f>
        <v>0</v>
      </c>
    </row>
    <row r="160" customFormat="false" ht="15" hidden="false" customHeight="false" outlineLevel="0" collapsed="false">
      <c r="A160" s="95" t="n">
        <v>19</v>
      </c>
      <c r="B160" s="116" t="s">
        <v>411</v>
      </c>
      <c r="C160" s="96" t="n">
        <v>416500</v>
      </c>
      <c r="D160" s="96" t="n">
        <f aca="false">53500+150000+70000+143000</f>
        <v>416500</v>
      </c>
      <c r="E160" s="97" t="n">
        <f aca="false">C160-D160</f>
        <v>0</v>
      </c>
    </row>
    <row r="161" customFormat="false" ht="15" hidden="false" customHeight="false" outlineLevel="0" collapsed="false">
      <c r="A161" s="95" t="n">
        <v>20</v>
      </c>
      <c r="B161" s="73" t="s">
        <v>412</v>
      </c>
      <c r="C161" s="96" t="n">
        <v>416500</v>
      </c>
      <c r="D161" s="96" t="n">
        <f aca="false">250000</f>
        <v>250000</v>
      </c>
      <c r="E161" s="97" t="n">
        <f aca="false">C161-D161</f>
        <v>166500</v>
      </c>
    </row>
    <row r="162" customFormat="false" ht="15" hidden="false" customHeight="false" outlineLevel="0" collapsed="false">
      <c r="A162" s="95" t="n">
        <v>21</v>
      </c>
      <c r="B162" s="116" t="s">
        <v>413</v>
      </c>
      <c r="C162" s="96" t="n">
        <v>416500</v>
      </c>
      <c r="D162" s="96" t="n">
        <f aca="false">3500+70000+343000</f>
        <v>416500</v>
      </c>
      <c r="E162" s="97" t="n">
        <f aca="false">C162-D162</f>
        <v>0</v>
      </c>
    </row>
    <row r="163" customFormat="false" ht="15" hidden="false" customHeight="false" outlineLevel="0" collapsed="false">
      <c r="A163" s="95" t="n">
        <v>22</v>
      </c>
      <c r="B163" s="119" t="s">
        <v>414</v>
      </c>
      <c r="C163" s="96" t="n">
        <v>416500</v>
      </c>
      <c r="D163" s="96" t="n">
        <f aca="false">150000+70000+30000</f>
        <v>250000</v>
      </c>
      <c r="E163" s="97" t="n">
        <f aca="false">C163-D163</f>
        <v>166500</v>
      </c>
    </row>
    <row r="164" customFormat="false" ht="15" hidden="false" customHeight="false" outlineLevel="0" collapsed="false">
      <c r="A164" s="95" t="n">
        <v>23</v>
      </c>
      <c r="B164" s="116" t="s">
        <v>415</v>
      </c>
      <c r="C164" s="96" t="n">
        <v>416500</v>
      </c>
      <c r="D164" s="96" t="n">
        <f aca="false">90000+3500+120000+203000</f>
        <v>416500</v>
      </c>
      <c r="E164" s="97" t="n">
        <f aca="false">C164-D164</f>
        <v>0</v>
      </c>
    </row>
    <row r="165" customFormat="false" ht="15" hidden="false" customHeight="false" outlineLevel="0" collapsed="false">
      <c r="A165" s="95" t="n">
        <v>24</v>
      </c>
      <c r="B165" s="116" t="s">
        <v>416</v>
      </c>
      <c r="C165" s="96" t="n">
        <v>416500</v>
      </c>
      <c r="D165" s="96" t="n">
        <f aca="false">216500+200000</f>
        <v>416500</v>
      </c>
      <c r="E165" s="97" t="n">
        <f aca="false">C165-D165</f>
        <v>0</v>
      </c>
    </row>
    <row r="166" customFormat="false" ht="15" hidden="false" customHeight="false" outlineLevel="0" collapsed="false">
      <c r="A166" s="95" t="n">
        <v>25</v>
      </c>
      <c r="B166" s="116" t="s">
        <v>417</v>
      </c>
      <c r="C166" s="96" t="n">
        <v>416500</v>
      </c>
      <c r="D166" s="96" t="n">
        <f aca="false">140000+120000+156500</f>
        <v>416500</v>
      </c>
      <c r="E166" s="97" t="n">
        <f aca="false">C166-D166</f>
        <v>0</v>
      </c>
    </row>
    <row r="167" customFormat="false" ht="15" hidden="false" customHeight="false" outlineLevel="0" collapsed="false">
      <c r="A167" s="95" t="n">
        <v>26</v>
      </c>
      <c r="B167" s="116" t="s">
        <v>418</v>
      </c>
      <c r="C167" s="96" t="n">
        <v>416500</v>
      </c>
      <c r="D167" s="96" t="n">
        <f aca="false">100000</f>
        <v>100000</v>
      </c>
      <c r="E167" s="97" t="n">
        <f aca="false">C167-D167</f>
        <v>316500</v>
      </c>
    </row>
    <row r="168" customFormat="false" ht="15" hidden="false" customHeight="false" outlineLevel="0" collapsed="false">
      <c r="A168" s="95" t="n">
        <v>27</v>
      </c>
      <c r="B168" s="116" t="s">
        <v>419</v>
      </c>
      <c r="C168" s="96" t="n">
        <v>416500</v>
      </c>
      <c r="D168" s="96" t="n">
        <f aca="false">216500+200000</f>
        <v>416500</v>
      </c>
      <c r="E168" s="97" t="n">
        <f aca="false">C168-D168</f>
        <v>0</v>
      </c>
    </row>
    <row r="169" customFormat="false" ht="15" hidden="false" customHeight="false" outlineLevel="0" collapsed="false">
      <c r="A169" s="95" t="n">
        <v>28</v>
      </c>
      <c r="B169" s="116" t="s">
        <v>420</v>
      </c>
      <c r="C169" s="96" t="n">
        <v>416500</v>
      </c>
      <c r="D169" s="96" t="n">
        <f aca="false">217000+180000+19500</f>
        <v>416500</v>
      </c>
      <c r="E169" s="97" t="n">
        <f aca="false">C169-D169</f>
        <v>0</v>
      </c>
    </row>
    <row r="170" customFormat="false" ht="15" hidden="false" customHeight="false" outlineLevel="0" collapsed="false">
      <c r="A170" s="95" t="n">
        <v>29</v>
      </c>
      <c r="B170" s="116" t="s">
        <v>421</v>
      </c>
      <c r="C170" s="96" t="n">
        <v>416500</v>
      </c>
      <c r="D170" s="96" t="n">
        <f aca="false">200000+100000+116500</f>
        <v>416500</v>
      </c>
      <c r="E170" s="97" t="n">
        <f aca="false">C170-D170</f>
        <v>0</v>
      </c>
    </row>
    <row r="171" customFormat="false" ht="15" hidden="false" customHeight="false" outlineLevel="0" collapsed="false">
      <c r="A171" s="95" t="n">
        <v>30</v>
      </c>
      <c r="B171" s="116" t="s">
        <v>422</v>
      </c>
      <c r="C171" s="96" t="n">
        <v>416500</v>
      </c>
      <c r="D171" s="96" t="n">
        <f aca="false">171000</f>
        <v>171000</v>
      </c>
      <c r="E171" s="97" t="n">
        <f aca="false">C171-D171</f>
        <v>245500</v>
      </c>
    </row>
    <row r="172" customFormat="false" ht="15" hidden="false" customHeight="false" outlineLevel="0" collapsed="false">
      <c r="A172" s="95" t="n">
        <v>31</v>
      </c>
      <c r="B172" s="116" t="s">
        <v>423</v>
      </c>
      <c r="C172" s="96" t="n">
        <v>416500</v>
      </c>
      <c r="D172" s="96" t="n">
        <f aca="false">50000+250000+116500</f>
        <v>416500</v>
      </c>
      <c r="E172" s="97" t="n">
        <f aca="false">C172-D172</f>
        <v>0</v>
      </c>
    </row>
    <row r="173" customFormat="false" ht="15" hidden="false" customHeight="false" outlineLevel="0" collapsed="false">
      <c r="A173" s="95" t="n">
        <v>32</v>
      </c>
      <c r="B173" s="116" t="s">
        <v>424</v>
      </c>
      <c r="C173" s="96" t="n">
        <v>416500</v>
      </c>
      <c r="D173" s="96"/>
      <c r="E173" s="97" t="n">
        <f aca="false">C173-D173</f>
        <v>416500</v>
      </c>
    </row>
    <row r="174" customFormat="false" ht="19.7" hidden="false" customHeight="false" outlineLevel="0" collapsed="false">
      <c r="A174" s="95"/>
      <c r="B174" s="120" t="s">
        <v>22</v>
      </c>
      <c r="C174" s="101" t="n">
        <f aca="false">SUM(C142:C173)</f>
        <v>13328000</v>
      </c>
      <c r="D174" s="102" t="n">
        <f aca="false">SUM(D142:D173)</f>
        <v>11371000</v>
      </c>
      <c r="E174" s="103" t="n">
        <f aca="false">SUM(E142:E173)</f>
        <v>1957000</v>
      </c>
    </row>
    <row r="175" customFormat="false" ht="19.7" hidden="false" customHeight="false" outlineLevel="0" collapsed="false">
      <c r="A175" s="104"/>
      <c r="B175" s="121"/>
      <c r="C175" s="106"/>
      <c r="D175" s="107"/>
      <c r="E175" s="77"/>
    </row>
    <row r="176" customFormat="false" ht="19.7" hidden="false" customHeight="false" outlineLevel="0" collapsed="false">
      <c r="A176" s="104"/>
      <c r="B176" s="121"/>
      <c r="C176" s="106"/>
      <c r="D176" s="107"/>
      <c r="E176" s="77"/>
    </row>
    <row r="177" customFormat="false" ht="20.25" hidden="false" customHeight="true" outlineLevel="0" collapsed="false">
      <c r="A177" s="104"/>
      <c r="B177" s="2" t="s">
        <v>0</v>
      </c>
    </row>
    <row r="178" customFormat="false" ht="15" hidden="false" customHeight="false" outlineLevel="0" collapsed="false">
      <c r="A178" s="104"/>
      <c r="K178" s="1"/>
    </row>
    <row r="179" customFormat="false" ht="17.35" hidden="false" customHeight="false" outlineLevel="0" collapsed="false">
      <c r="A179" s="104"/>
      <c r="B179" s="91" t="s">
        <v>314</v>
      </c>
    </row>
    <row r="180" customFormat="false" ht="15" hidden="false" customHeight="false" outlineLevel="0" collapsed="false">
      <c r="A180" s="104"/>
      <c r="B180" s="4" t="s">
        <v>392</v>
      </c>
    </row>
    <row r="181" customFormat="false" ht="15" hidden="false" customHeight="false" outlineLevel="0" collapsed="false">
      <c r="A181" s="104"/>
    </row>
    <row r="182" customFormat="false" ht="15" hidden="false" customHeight="false" outlineLevel="0" collapsed="false">
      <c r="A182" s="92" t="s">
        <v>4</v>
      </c>
      <c r="B182" s="93" t="s">
        <v>285</v>
      </c>
      <c r="C182" s="8" t="s">
        <v>6</v>
      </c>
      <c r="D182" s="94" t="s">
        <v>7</v>
      </c>
      <c r="E182" s="10" t="s">
        <v>8</v>
      </c>
    </row>
    <row r="183" customFormat="false" ht="15" hidden="false" customHeight="false" outlineLevel="0" collapsed="false">
      <c r="A183" s="95" t="n">
        <v>1</v>
      </c>
      <c r="B183" s="116" t="s">
        <v>425</v>
      </c>
      <c r="C183" s="96" t="n">
        <v>416500</v>
      </c>
      <c r="D183" s="96"/>
      <c r="E183" s="97" t="n">
        <f aca="false">C183-D183</f>
        <v>416500</v>
      </c>
    </row>
    <row r="184" customFormat="false" ht="15" hidden="false" customHeight="false" outlineLevel="0" collapsed="false">
      <c r="A184" s="95" t="n">
        <v>2</v>
      </c>
      <c r="B184" s="116" t="s">
        <v>426</v>
      </c>
      <c r="C184" s="96" t="n">
        <v>416500</v>
      </c>
      <c r="D184" s="96" t="n">
        <f aca="false">179500+237000</f>
        <v>416500</v>
      </c>
      <c r="E184" s="97" t="n">
        <f aca="false">C184-D184</f>
        <v>0</v>
      </c>
    </row>
    <row r="185" customFormat="false" ht="15" hidden="false" customHeight="false" outlineLevel="0" collapsed="false">
      <c r="A185" s="95" t="n">
        <v>3</v>
      </c>
      <c r="B185" s="116" t="s">
        <v>427</v>
      </c>
      <c r="C185" s="96" t="n">
        <v>416500</v>
      </c>
      <c r="D185" s="96" t="n">
        <f aca="false">93500+115000+90000+50000+68000</f>
        <v>416500</v>
      </c>
      <c r="E185" s="97" t="n">
        <f aca="false">C185-D185</f>
        <v>0</v>
      </c>
    </row>
    <row r="186" customFormat="false" ht="15" hidden="false" customHeight="false" outlineLevel="0" collapsed="false">
      <c r="A186" s="95" t="n">
        <v>4</v>
      </c>
      <c r="B186" s="118" t="s">
        <v>428</v>
      </c>
      <c r="C186" s="96" t="n">
        <v>416500</v>
      </c>
      <c r="D186" s="96"/>
      <c r="E186" s="97" t="n">
        <f aca="false">C186-D186</f>
        <v>416500</v>
      </c>
    </row>
    <row r="187" customFormat="false" ht="15" hidden="false" customHeight="false" outlineLevel="0" collapsed="false">
      <c r="A187" s="95" t="n">
        <v>5</v>
      </c>
      <c r="B187" s="116" t="s">
        <v>429</v>
      </c>
      <c r="C187" s="96" t="n">
        <v>416500</v>
      </c>
      <c r="D187" s="96" t="n">
        <f aca="false">50000</f>
        <v>50000</v>
      </c>
      <c r="E187" s="97" t="n">
        <f aca="false">C187-D187</f>
        <v>366500</v>
      </c>
    </row>
    <row r="188" customFormat="false" ht="15" hidden="false" customHeight="false" outlineLevel="0" collapsed="false">
      <c r="A188" s="95" t="n">
        <v>6</v>
      </c>
      <c r="B188" s="116" t="s">
        <v>430</v>
      </c>
      <c r="C188" s="96" t="n">
        <v>416500</v>
      </c>
      <c r="D188" s="96" t="n">
        <f aca="false">77000+110000+110000+100000+19500</f>
        <v>416500</v>
      </c>
      <c r="E188" s="97" t="n">
        <f aca="false">C188-D188</f>
        <v>0</v>
      </c>
    </row>
    <row r="189" customFormat="false" ht="15" hidden="false" customHeight="false" outlineLevel="0" collapsed="false">
      <c r="A189" s="95" t="n">
        <v>7</v>
      </c>
      <c r="B189" s="116" t="s">
        <v>431</v>
      </c>
      <c r="C189" s="96" t="n">
        <v>416500</v>
      </c>
      <c r="D189" s="96" t="n">
        <f aca="false">279000+137500</f>
        <v>416500</v>
      </c>
      <c r="E189" s="97" t="n">
        <f aca="false">C189-D189</f>
        <v>0</v>
      </c>
    </row>
    <row r="190" customFormat="false" ht="15" hidden="false" customHeight="false" outlineLevel="0" collapsed="false">
      <c r="A190" s="95" t="n">
        <v>8</v>
      </c>
      <c r="B190" s="116" t="s">
        <v>432</v>
      </c>
      <c r="C190" s="96" t="n">
        <v>416500</v>
      </c>
      <c r="D190" s="96" t="n">
        <f aca="false">50000+366500</f>
        <v>416500</v>
      </c>
      <c r="E190" s="97" t="n">
        <f aca="false">C190-D190</f>
        <v>0</v>
      </c>
    </row>
    <row r="191" customFormat="false" ht="15" hidden="false" customHeight="false" outlineLevel="0" collapsed="false">
      <c r="A191" s="95" t="n">
        <v>9</v>
      </c>
      <c r="B191" s="116" t="s">
        <v>433</v>
      </c>
      <c r="C191" s="96" t="n">
        <v>416500</v>
      </c>
      <c r="D191" s="96" t="n">
        <f aca="false">416500</f>
        <v>416500</v>
      </c>
      <c r="E191" s="97" t="n">
        <f aca="false">C191-D191</f>
        <v>0</v>
      </c>
    </row>
    <row r="192" customFormat="false" ht="15" hidden="false" customHeight="false" outlineLevel="0" collapsed="false">
      <c r="A192" s="95" t="n">
        <v>10</v>
      </c>
      <c r="B192" s="116" t="s">
        <v>434</v>
      </c>
      <c r="C192" s="96" t="n">
        <v>416500</v>
      </c>
      <c r="D192" s="96" t="n">
        <f aca="false">216500+200000</f>
        <v>416500</v>
      </c>
      <c r="E192" s="97" t="n">
        <f aca="false">C192-D192</f>
        <v>0</v>
      </c>
    </row>
    <row r="193" customFormat="false" ht="15" hidden="false" customHeight="false" outlineLevel="0" collapsed="false">
      <c r="A193" s="95" t="n">
        <v>11</v>
      </c>
      <c r="B193" s="116" t="s">
        <v>435</v>
      </c>
      <c r="C193" s="96" t="n">
        <v>416500</v>
      </c>
      <c r="D193" s="96" t="n">
        <f aca="false">200000+200000+16500</f>
        <v>416500</v>
      </c>
      <c r="E193" s="97" t="n">
        <f aca="false">C193-D193</f>
        <v>0</v>
      </c>
    </row>
    <row r="194" customFormat="false" ht="15" hidden="false" customHeight="false" outlineLevel="0" collapsed="false">
      <c r="A194" s="95" t="n">
        <v>12</v>
      </c>
      <c r="B194" s="116" t="s">
        <v>436</v>
      </c>
      <c r="C194" s="96" t="n">
        <v>416500</v>
      </c>
      <c r="D194" s="96"/>
      <c r="E194" s="97" t="n">
        <f aca="false">C194-D194</f>
        <v>416500</v>
      </c>
    </row>
    <row r="195" customFormat="false" ht="15" hidden="false" customHeight="false" outlineLevel="0" collapsed="false">
      <c r="A195" s="95" t="n">
        <v>13</v>
      </c>
      <c r="B195" s="116" t="s">
        <v>437</v>
      </c>
      <c r="C195" s="96" t="n">
        <v>416500</v>
      </c>
      <c r="D195" s="96" t="n">
        <f aca="false">7000+100000+200000+110000</f>
        <v>417000</v>
      </c>
      <c r="E195" s="97" t="n">
        <f aca="false">C195-D195</f>
        <v>-500</v>
      </c>
    </row>
    <row r="196" customFormat="false" ht="15" hidden="false" customHeight="false" outlineLevel="0" collapsed="false">
      <c r="A196" s="95" t="n">
        <v>14</v>
      </c>
      <c r="B196" s="116" t="s">
        <v>438</v>
      </c>
      <c r="C196" s="96" t="n">
        <v>416500</v>
      </c>
      <c r="D196" s="96" t="n">
        <f aca="false">16500+400000</f>
        <v>416500</v>
      </c>
      <c r="E196" s="97" t="n">
        <f aca="false">C196-D196</f>
        <v>0</v>
      </c>
    </row>
    <row r="197" customFormat="false" ht="15" hidden="false" customHeight="false" outlineLevel="0" collapsed="false">
      <c r="A197" s="95" t="n">
        <v>15</v>
      </c>
      <c r="B197" s="116" t="s">
        <v>439</v>
      </c>
      <c r="C197" s="96" t="n">
        <v>416500</v>
      </c>
      <c r="D197" s="96"/>
      <c r="E197" s="97" t="n">
        <f aca="false">C197-D197</f>
        <v>416500</v>
      </c>
    </row>
    <row r="198" customFormat="false" ht="15" hidden="false" customHeight="false" outlineLevel="0" collapsed="false">
      <c r="A198" s="95" t="n">
        <v>16</v>
      </c>
      <c r="B198" s="116" t="s">
        <v>440</v>
      </c>
      <c r="C198" s="96" t="n">
        <v>416500</v>
      </c>
      <c r="D198" s="96" t="n">
        <f aca="false">200000</f>
        <v>200000</v>
      </c>
      <c r="E198" s="97" t="n">
        <f aca="false">C198-D198</f>
        <v>216500</v>
      </c>
    </row>
    <row r="199" customFormat="false" ht="15" hidden="false" customHeight="false" outlineLevel="0" collapsed="false">
      <c r="A199" s="95" t="n">
        <v>17</v>
      </c>
      <c r="B199" s="116" t="s">
        <v>441</v>
      </c>
      <c r="C199" s="96" t="n">
        <v>416500</v>
      </c>
      <c r="D199" s="96"/>
      <c r="E199" s="97" t="n">
        <f aca="false">C199-D199</f>
        <v>416500</v>
      </c>
    </row>
    <row r="200" customFormat="false" ht="15" hidden="false" customHeight="false" outlineLevel="0" collapsed="false">
      <c r="A200" s="95" t="n">
        <v>18</v>
      </c>
      <c r="B200" s="116" t="s">
        <v>442</v>
      </c>
      <c r="C200" s="96" t="n">
        <v>416500</v>
      </c>
      <c r="D200" s="96"/>
      <c r="E200" s="97" t="n">
        <f aca="false">C200-D200</f>
        <v>416500</v>
      </c>
    </row>
    <row r="201" customFormat="false" ht="15" hidden="false" customHeight="false" outlineLevel="0" collapsed="false">
      <c r="A201" s="95" t="n">
        <v>19</v>
      </c>
      <c r="B201" s="116" t="s">
        <v>443</v>
      </c>
      <c r="C201" s="96" t="n">
        <v>416500</v>
      </c>
      <c r="D201" s="96" t="n">
        <f aca="false">200500+180000+36000</f>
        <v>416500</v>
      </c>
      <c r="E201" s="97" t="n">
        <f aca="false">C201-D201</f>
        <v>0</v>
      </c>
    </row>
    <row r="202" customFormat="false" ht="15" hidden="false" customHeight="false" outlineLevel="0" collapsed="false">
      <c r="A202" s="95" t="n">
        <v>20</v>
      </c>
      <c r="B202" s="116" t="s">
        <v>444</v>
      </c>
      <c r="C202" s="96" t="n">
        <v>416500</v>
      </c>
      <c r="D202" s="96" t="n">
        <f aca="false">3500+200000+200000+13000</f>
        <v>416500</v>
      </c>
      <c r="E202" s="97" t="n">
        <f aca="false">C202-D202</f>
        <v>0</v>
      </c>
    </row>
    <row r="203" customFormat="false" ht="15" hidden="false" customHeight="false" outlineLevel="0" collapsed="false">
      <c r="A203" s="95" t="n">
        <v>21</v>
      </c>
      <c r="B203" s="116" t="s">
        <v>445</v>
      </c>
      <c r="C203" s="96" t="n">
        <v>416500</v>
      </c>
      <c r="D203" s="96" t="n">
        <f aca="false">216500+200000</f>
        <v>416500</v>
      </c>
      <c r="E203" s="97" t="n">
        <f aca="false">C203-D203</f>
        <v>0</v>
      </c>
    </row>
    <row r="204" customFormat="false" ht="15" hidden="false" customHeight="false" outlineLevel="0" collapsed="false">
      <c r="A204" s="95" t="n">
        <v>22</v>
      </c>
      <c r="B204" s="116" t="s">
        <v>446</v>
      </c>
      <c r="C204" s="96" t="n">
        <v>416500</v>
      </c>
      <c r="D204" s="96" t="n">
        <f aca="false">193500+200000+23000</f>
        <v>416500</v>
      </c>
      <c r="E204" s="97" t="n">
        <f aca="false">C204-D204</f>
        <v>0</v>
      </c>
    </row>
    <row r="205" customFormat="false" ht="15" hidden="false" customHeight="false" outlineLevel="0" collapsed="false">
      <c r="A205" s="95" t="n">
        <v>23</v>
      </c>
      <c r="B205" s="73" t="s">
        <v>447</v>
      </c>
      <c r="C205" s="96" t="n">
        <v>416500</v>
      </c>
      <c r="D205" s="96" t="n">
        <f aca="false">200000</f>
        <v>200000</v>
      </c>
      <c r="E205" s="97" t="n">
        <f aca="false">C205-D205</f>
        <v>216500</v>
      </c>
    </row>
    <row r="206" customFormat="false" ht="15" hidden="false" customHeight="false" outlineLevel="0" collapsed="false">
      <c r="A206" s="95" t="n">
        <v>24</v>
      </c>
      <c r="B206" s="116" t="s">
        <v>448</v>
      </c>
      <c r="C206" s="96" t="n">
        <v>416500</v>
      </c>
      <c r="D206" s="96" t="n">
        <f aca="false">300500</f>
        <v>300500</v>
      </c>
      <c r="E206" s="97" t="n">
        <f aca="false">C206-D206</f>
        <v>116000</v>
      </c>
    </row>
    <row r="207" customFormat="false" ht="15" hidden="false" customHeight="false" outlineLevel="0" collapsed="false">
      <c r="A207" s="95" t="n">
        <v>25</v>
      </c>
      <c r="B207" s="116" t="s">
        <v>449</v>
      </c>
      <c r="C207" s="96" t="n">
        <v>416500</v>
      </c>
      <c r="D207" s="96"/>
      <c r="E207" s="97" t="n">
        <f aca="false">C207-D207</f>
        <v>416500</v>
      </c>
    </row>
    <row r="208" customFormat="false" ht="15" hidden="false" customHeight="false" outlineLevel="0" collapsed="false">
      <c r="A208" s="95" t="n">
        <v>26</v>
      </c>
      <c r="B208" s="116" t="s">
        <v>450</v>
      </c>
      <c r="C208" s="96" t="n">
        <v>416500</v>
      </c>
      <c r="D208" s="96" t="n">
        <f aca="false">166500+50000+200000</f>
        <v>416500</v>
      </c>
      <c r="E208" s="97" t="n">
        <f aca="false">C208-D208</f>
        <v>0</v>
      </c>
    </row>
    <row r="209" customFormat="false" ht="15" hidden="false" customHeight="false" outlineLevel="0" collapsed="false">
      <c r="A209" s="95" t="n">
        <v>27</v>
      </c>
      <c r="B209" s="116" t="s">
        <v>451</v>
      </c>
      <c r="C209" s="96" t="n">
        <v>416500</v>
      </c>
      <c r="D209" s="96" t="n">
        <f aca="false">66500+350000</f>
        <v>416500</v>
      </c>
      <c r="E209" s="97" t="n">
        <f aca="false">C209-D209</f>
        <v>0</v>
      </c>
    </row>
    <row r="210" customFormat="false" ht="15" hidden="false" customHeight="false" outlineLevel="0" collapsed="false">
      <c r="A210" s="95" t="n">
        <v>28</v>
      </c>
      <c r="B210" s="116" t="s">
        <v>452</v>
      </c>
      <c r="C210" s="96" t="n">
        <v>416500</v>
      </c>
      <c r="D210" s="96" t="n">
        <f aca="false">100000+316500</f>
        <v>416500</v>
      </c>
      <c r="E210" s="97" t="n">
        <f aca="false">C210-D210</f>
        <v>0</v>
      </c>
    </row>
    <row r="211" customFormat="false" ht="15" hidden="false" customHeight="false" outlineLevel="0" collapsed="false">
      <c r="A211" s="95" t="n">
        <v>29</v>
      </c>
      <c r="B211" s="116" t="s">
        <v>453</v>
      </c>
      <c r="C211" s="96" t="n">
        <v>416500</v>
      </c>
      <c r="D211" s="96"/>
      <c r="E211" s="97" t="n">
        <f aca="false">C211-D211</f>
        <v>416500</v>
      </c>
    </row>
    <row r="212" customFormat="false" ht="15" hidden="false" customHeight="false" outlineLevel="0" collapsed="false">
      <c r="A212" s="95" t="n">
        <v>30</v>
      </c>
      <c r="B212" s="116" t="s">
        <v>454</v>
      </c>
      <c r="C212" s="96" t="n">
        <v>416500</v>
      </c>
      <c r="D212" s="96"/>
      <c r="E212" s="97" t="n">
        <f aca="false">C212-D212</f>
        <v>416500</v>
      </c>
    </row>
    <row r="213" customFormat="false" ht="15" hidden="false" customHeight="false" outlineLevel="0" collapsed="false">
      <c r="A213" s="95" t="n">
        <v>31</v>
      </c>
      <c r="B213" s="116" t="s">
        <v>455</v>
      </c>
      <c r="C213" s="96" t="n">
        <v>416500</v>
      </c>
      <c r="D213" s="96"/>
      <c r="E213" s="97" t="n">
        <f aca="false">C213-D213</f>
        <v>416500</v>
      </c>
    </row>
    <row r="214" customFormat="false" ht="15" hidden="false" customHeight="false" outlineLevel="0" collapsed="false">
      <c r="A214" s="95" t="n">
        <v>32</v>
      </c>
      <c r="B214" s="73" t="s">
        <v>456</v>
      </c>
      <c r="C214" s="96" t="n">
        <v>416500</v>
      </c>
      <c r="D214" s="96" t="n">
        <f aca="false">116500+300000</f>
        <v>416500</v>
      </c>
      <c r="E214" s="97" t="n">
        <f aca="false">C214-D214</f>
        <v>0</v>
      </c>
    </row>
    <row r="215" customFormat="false" ht="15" hidden="false" customHeight="false" outlineLevel="0" collapsed="false">
      <c r="A215" s="95" t="n">
        <v>33</v>
      </c>
      <c r="B215" s="116" t="s">
        <v>457</v>
      </c>
      <c r="C215" s="96" t="n">
        <v>416500</v>
      </c>
      <c r="D215" s="96"/>
      <c r="E215" s="97" t="n">
        <f aca="false">C215-D215</f>
        <v>416500</v>
      </c>
    </row>
    <row r="216" customFormat="false" ht="15" hidden="false" customHeight="false" outlineLevel="0" collapsed="false">
      <c r="A216" s="95" t="n">
        <v>34</v>
      </c>
      <c r="B216" s="116" t="s">
        <v>458</v>
      </c>
      <c r="C216" s="96" t="n">
        <v>416500</v>
      </c>
      <c r="D216" s="96" t="n">
        <f aca="false">13500+403000</f>
        <v>416500</v>
      </c>
      <c r="E216" s="97" t="n">
        <f aca="false">C216-D216</f>
        <v>0</v>
      </c>
    </row>
    <row r="217" customFormat="false" ht="15" hidden="false" customHeight="false" outlineLevel="0" collapsed="false">
      <c r="A217" s="95" t="n">
        <v>35</v>
      </c>
      <c r="B217" s="116" t="s">
        <v>459</v>
      </c>
      <c r="C217" s="96" t="n">
        <v>416500</v>
      </c>
      <c r="D217" s="96" t="n">
        <f aca="false">100000+200000+100000+16500</f>
        <v>416500</v>
      </c>
      <c r="E217" s="97" t="n">
        <f aca="false">C217-D217</f>
        <v>0</v>
      </c>
    </row>
    <row r="218" customFormat="false" ht="15" hidden="false" customHeight="false" outlineLevel="0" collapsed="false">
      <c r="A218" s="95" t="n">
        <v>36</v>
      </c>
      <c r="B218" s="116" t="s">
        <v>460</v>
      </c>
      <c r="C218" s="96" t="n">
        <v>416500</v>
      </c>
      <c r="D218" s="96" t="n">
        <f aca="false">124500+187000+55000</f>
        <v>366500</v>
      </c>
      <c r="E218" s="97" t="n">
        <f aca="false">C218-D218</f>
        <v>50000</v>
      </c>
    </row>
    <row r="219" customFormat="false" ht="15" hidden="false" customHeight="false" outlineLevel="0" collapsed="false">
      <c r="A219" s="95" t="n">
        <v>37</v>
      </c>
      <c r="B219" s="116" t="s">
        <v>461</v>
      </c>
      <c r="C219" s="96" t="n">
        <v>416500</v>
      </c>
      <c r="D219" s="96" t="n">
        <f aca="false">200500+216000</f>
        <v>416500</v>
      </c>
      <c r="E219" s="97" t="n">
        <f aca="false">C219-D219</f>
        <v>0</v>
      </c>
    </row>
    <row r="220" customFormat="false" ht="15" hidden="false" customHeight="false" outlineLevel="0" collapsed="false">
      <c r="A220" s="95" t="n">
        <v>38</v>
      </c>
      <c r="B220" s="116" t="s">
        <v>462</v>
      </c>
      <c r="C220" s="96" t="n">
        <v>416500</v>
      </c>
      <c r="D220" s="96" t="n">
        <f aca="false">100000+226500+90000</f>
        <v>416500</v>
      </c>
      <c r="E220" s="97" t="n">
        <f aca="false">C220-D220</f>
        <v>0</v>
      </c>
    </row>
    <row r="221" customFormat="false" ht="15" hidden="false" customHeight="false" outlineLevel="0" collapsed="false">
      <c r="A221" s="95" t="n">
        <v>39</v>
      </c>
      <c r="B221" s="116" t="s">
        <v>463</v>
      </c>
      <c r="C221" s="96" t="n">
        <v>416500</v>
      </c>
      <c r="D221" s="96" t="n">
        <f aca="false">321500+90000+5000</f>
        <v>416500</v>
      </c>
      <c r="E221" s="97" t="n">
        <f aca="false">C221-D221</f>
        <v>0</v>
      </c>
    </row>
    <row r="222" customFormat="false" ht="17.35" hidden="false" customHeight="false" outlineLevel="0" collapsed="false">
      <c r="A222" s="112"/>
      <c r="B222" s="100" t="s">
        <v>22</v>
      </c>
      <c r="C222" s="101" t="n">
        <f aca="false">SUM(C183:C221)</f>
        <v>16243500</v>
      </c>
      <c r="D222" s="102" t="n">
        <f aca="false">SUM(D183:D218)</f>
        <v>9447500</v>
      </c>
      <c r="E222" s="103" t="n">
        <f aca="false">SUM(E183:E221)</f>
        <v>5546500</v>
      </c>
    </row>
    <row r="223" customFormat="false" ht="15" hidden="false" customHeight="false" outlineLevel="0" collapsed="false">
      <c r="A223" s="104"/>
    </row>
    <row r="224" customFormat="false" ht="15" hidden="false" customHeight="false" outlineLevel="0" collapsed="false">
      <c r="A224" s="104"/>
    </row>
    <row r="225" customFormat="false" ht="17.35" hidden="false" customHeight="false" outlineLevel="0" collapsed="false">
      <c r="A225" s="104"/>
      <c r="B225" s="2" t="s">
        <v>0</v>
      </c>
    </row>
    <row r="226" customFormat="false" ht="15" hidden="false" customHeight="false" outlineLevel="0" collapsed="false">
      <c r="A226" s="104"/>
    </row>
    <row r="227" customFormat="false" ht="17.35" hidden="false" customHeight="false" outlineLevel="0" collapsed="false">
      <c r="A227" s="104"/>
      <c r="B227" s="91" t="s">
        <v>351</v>
      </c>
    </row>
    <row r="228" customFormat="false" ht="15" hidden="false" customHeight="false" outlineLevel="0" collapsed="false">
      <c r="A228" s="104"/>
      <c r="B228" s="4" t="s">
        <v>392</v>
      </c>
    </row>
    <row r="229" customFormat="false" ht="15" hidden="false" customHeight="false" outlineLevel="0" collapsed="false">
      <c r="A229" s="104"/>
    </row>
    <row r="230" customFormat="false" ht="15" hidden="false" customHeight="false" outlineLevel="0" collapsed="false">
      <c r="A230" s="92" t="s">
        <v>4</v>
      </c>
      <c r="B230" s="93" t="s">
        <v>285</v>
      </c>
      <c r="C230" s="8" t="s">
        <v>6</v>
      </c>
      <c r="D230" s="94" t="s">
        <v>7</v>
      </c>
      <c r="E230" s="10" t="s">
        <v>8</v>
      </c>
    </row>
    <row r="231" customFormat="false" ht="15" hidden="false" customHeight="false" outlineLevel="0" collapsed="false">
      <c r="A231" s="95" t="n">
        <v>1</v>
      </c>
      <c r="B231" s="73" t="s">
        <v>464</v>
      </c>
      <c r="C231" s="96" t="n">
        <v>416500</v>
      </c>
      <c r="D231" s="96"/>
      <c r="E231" s="97" t="n">
        <f aca="false">C231-D231</f>
        <v>416500</v>
      </c>
    </row>
    <row r="232" customFormat="false" ht="15" hidden="false" customHeight="false" outlineLevel="0" collapsed="false">
      <c r="A232" s="95" t="n">
        <v>2</v>
      </c>
      <c r="B232" s="73" t="s">
        <v>465</v>
      </c>
      <c r="C232" s="96" t="n">
        <v>416500</v>
      </c>
      <c r="D232" s="96" t="n">
        <v>417000</v>
      </c>
      <c r="E232" s="97" t="n">
        <f aca="false">C232-D232</f>
        <v>-500</v>
      </c>
    </row>
    <row r="233" customFormat="false" ht="15" hidden="false" customHeight="false" outlineLevel="0" collapsed="false">
      <c r="A233" s="95" t="n">
        <v>3</v>
      </c>
      <c r="B233" s="73" t="s">
        <v>466</v>
      </c>
      <c r="C233" s="96" t="n">
        <v>416500</v>
      </c>
      <c r="D233" s="96" t="n">
        <f aca="false">48000+368500</f>
        <v>416500</v>
      </c>
      <c r="E233" s="97" t="n">
        <f aca="false">C233-D233</f>
        <v>0</v>
      </c>
    </row>
    <row r="234" customFormat="false" ht="15" hidden="false" customHeight="false" outlineLevel="0" collapsed="false">
      <c r="A234" s="95" t="n">
        <v>4</v>
      </c>
      <c r="B234" s="122" t="s">
        <v>467</v>
      </c>
      <c r="C234" s="96" t="n">
        <v>416500</v>
      </c>
      <c r="D234" s="96" t="n">
        <v>416500</v>
      </c>
      <c r="E234" s="97" t="n">
        <f aca="false">C234-D234</f>
        <v>0</v>
      </c>
    </row>
    <row r="235" customFormat="false" ht="15" hidden="false" customHeight="false" outlineLevel="0" collapsed="false">
      <c r="A235" s="95" t="n">
        <v>5</v>
      </c>
      <c r="B235" s="73" t="s">
        <v>468</v>
      </c>
      <c r="C235" s="96" t="n">
        <v>416500</v>
      </c>
      <c r="D235" s="96" t="n">
        <f aca="false">293500+121000+2000</f>
        <v>416500</v>
      </c>
      <c r="E235" s="97" t="n">
        <f aca="false">C235-D235</f>
        <v>0</v>
      </c>
    </row>
    <row r="236" customFormat="false" ht="15" hidden="false" customHeight="false" outlineLevel="0" collapsed="false">
      <c r="A236" s="95" t="n">
        <v>6</v>
      </c>
      <c r="B236" s="73" t="s">
        <v>469</v>
      </c>
      <c r="C236" s="96" t="n">
        <v>416500</v>
      </c>
      <c r="D236" s="96"/>
      <c r="E236" s="97" t="n">
        <f aca="false">C236-D236</f>
        <v>416500</v>
      </c>
    </row>
    <row r="237" customFormat="false" ht="15" hidden="false" customHeight="false" outlineLevel="0" collapsed="false">
      <c r="A237" s="95" t="n">
        <v>7</v>
      </c>
      <c r="B237" s="73" t="s">
        <v>470</v>
      </c>
      <c r="C237" s="96" t="n">
        <v>416500</v>
      </c>
      <c r="D237" s="96" t="n">
        <v>416500</v>
      </c>
      <c r="E237" s="97" t="n">
        <f aca="false">C237-D237</f>
        <v>0</v>
      </c>
    </row>
    <row r="238" customFormat="false" ht="15" hidden="false" customHeight="false" outlineLevel="0" collapsed="false">
      <c r="A238" s="95" t="n">
        <v>8</v>
      </c>
      <c r="B238" s="73" t="s">
        <v>471</v>
      </c>
      <c r="C238" s="96" t="n">
        <v>416500</v>
      </c>
      <c r="D238" s="96" t="n">
        <v>416500</v>
      </c>
      <c r="E238" s="97" t="n">
        <f aca="false">C238-D238</f>
        <v>0</v>
      </c>
    </row>
    <row r="239" customFormat="false" ht="15" hidden="false" customHeight="false" outlineLevel="0" collapsed="false">
      <c r="A239" s="95" t="n">
        <v>9</v>
      </c>
      <c r="B239" s="109" t="s">
        <v>472</v>
      </c>
      <c r="C239" s="96" t="n">
        <v>416500</v>
      </c>
      <c r="D239" s="96"/>
      <c r="E239" s="97" t="n">
        <f aca="false">C239-D239</f>
        <v>416500</v>
      </c>
    </row>
    <row r="240" customFormat="false" ht="15" hidden="false" customHeight="false" outlineLevel="0" collapsed="false">
      <c r="A240" s="95" t="n">
        <v>10</v>
      </c>
      <c r="B240" s="73" t="s">
        <v>473</v>
      </c>
      <c r="C240" s="96" t="n">
        <v>416500</v>
      </c>
      <c r="D240" s="96" t="n">
        <f aca="false">100000+116500+316500</f>
        <v>533000</v>
      </c>
      <c r="E240" s="97" t="n">
        <f aca="false">C240-D240</f>
        <v>-116500</v>
      </c>
    </row>
    <row r="241" customFormat="false" ht="15" hidden="false" customHeight="false" outlineLevel="0" collapsed="false">
      <c r="A241" s="95" t="n">
        <v>11</v>
      </c>
      <c r="B241" s="73" t="s">
        <v>474</v>
      </c>
      <c r="C241" s="96" t="n">
        <v>416500</v>
      </c>
      <c r="D241" s="96" t="n">
        <f aca="false">94000+100000+80000+103000+39500</f>
        <v>416500</v>
      </c>
      <c r="E241" s="97" t="n">
        <f aca="false">C241-D241</f>
        <v>0</v>
      </c>
    </row>
    <row r="242" customFormat="false" ht="15" hidden="false" customHeight="false" outlineLevel="0" collapsed="false">
      <c r="A242" s="95" t="n">
        <v>12</v>
      </c>
      <c r="B242" s="73" t="s">
        <v>475</v>
      </c>
      <c r="C242" s="96" t="n">
        <v>416500</v>
      </c>
      <c r="D242" s="96" t="n">
        <v>416500</v>
      </c>
      <c r="E242" s="97" t="n">
        <f aca="false">C242-D242</f>
        <v>0</v>
      </c>
    </row>
    <row r="243" customFormat="false" ht="15" hidden="false" customHeight="false" outlineLevel="0" collapsed="false">
      <c r="A243" s="95" t="n">
        <v>13</v>
      </c>
      <c r="B243" s="73" t="s">
        <v>476</v>
      </c>
      <c r="C243" s="96" t="n">
        <v>416500</v>
      </c>
      <c r="D243" s="96"/>
      <c r="E243" s="97" t="n">
        <f aca="false">C243-D243</f>
        <v>416500</v>
      </c>
    </row>
    <row r="244" customFormat="false" ht="15" hidden="false" customHeight="false" outlineLevel="0" collapsed="false">
      <c r="A244" s="95" t="n">
        <v>14</v>
      </c>
      <c r="B244" s="73" t="s">
        <v>477</v>
      </c>
      <c r="C244" s="96" t="n">
        <v>616500</v>
      </c>
      <c r="D244" s="96" t="n">
        <v>616500</v>
      </c>
      <c r="E244" s="97" t="n">
        <f aca="false">C244-D244</f>
        <v>0</v>
      </c>
    </row>
    <row r="245" customFormat="false" ht="15" hidden="false" customHeight="false" outlineLevel="0" collapsed="false">
      <c r="A245" s="95" t="n">
        <v>15</v>
      </c>
      <c r="B245" s="73" t="s">
        <v>478</v>
      </c>
      <c r="C245" s="96" t="n">
        <v>416500</v>
      </c>
      <c r="D245" s="96" t="n">
        <f aca="false">416500</f>
        <v>416500</v>
      </c>
      <c r="E245" s="97" t="n">
        <f aca="false">C245-D245</f>
        <v>0</v>
      </c>
    </row>
    <row r="246" customFormat="false" ht="15" hidden="false" customHeight="false" outlineLevel="0" collapsed="false">
      <c r="A246" s="95" t="n">
        <v>16</v>
      </c>
      <c r="B246" s="73" t="s">
        <v>479</v>
      </c>
      <c r="C246" s="96" t="n">
        <v>416500</v>
      </c>
      <c r="D246" s="96" t="n">
        <f aca="false">100000+316500</f>
        <v>416500</v>
      </c>
      <c r="E246" s="97" t="n">
        <f aca="false">C246-D246</f>
        <v>0</v>
      </c>
    </row>
    <row r="247" customFormat="false" ht="15" hidden="false" customHeight="false" outlineLevel="0" collapsed="false">
      <c r="A247" s="95" t="n">
        <v>17</v>
      </c>
      <c r="B247" s="73" t="s">
        <v>480</v>
      </c>
      <c r="C247" s="96" t="n">
        <v>416500</v>
      </c>
      <c r="D247" s="96"/>
      <c r="E247" s="97" t="n">
        <f aca="false">C247-D247</f>
        <v>416500</v>
      </c>
    </row>
    <row r="248" customFormat="false" ht="15" hidden="false" customHeight="false" outlineLevel="0" collapsed="false">
      <c r="A248" s="95" t="n">
        <v>18</v>
      </c>
      <c r="B248" s="109" t="s">
        <v>481</v>
      </c>
      <c r="C248" s="96" t="n">
        <v>416500</v>
      </c>
      <c r="D248" s="96" t="n">
        <v>416500</v>
      </c>
      <c r="E248" s="97" t="n">
        <f aca="false">C248-D248</f>
        <v>0</v>
      </c>
    </row>
    <row r="249" customFormat="false" ht="15" hidden="false" customHeight="false" outlineLevel="0" collapsed="false">
      <c r="A249" s="95" t="n">
        <v>19</v>
      </c>
      <c r="B249" s="73" t="s">
        <v>482</v>
      </c>
      <c r="C249" s="96" t="n">
        <v>416500</v>
      </c>
      <c r="D249" s="96" t="n">
        <f aca="false">416500</f>
        <v>416500</v>
      </c>
      <c r="E249" s="97" t="n">
        <f aca="false">C249-D249</f>
        <v>0</v>
      </c>
    </row>
    <row r="250" customFormat="false" ht="15" hidden="false" customHeight="false" outlineLevel="0" collapsed="false">
      <c r="A250" s="95" t="n">
        <v>20</v>
      </c>
      <c r="B250" s="73" t="s">
        <v>483</v>
      </c>
      <c r="C250" s="96" t="n">
        <v>416500</v>
      </c>
      <c r="D250" s="96" t="n">
        <f aca="false">335500+81000</f>
        <v>416500</v>
      </c>
      <c r="E250" s="97" t="n">
        <f aca="false">C250-D250</f>
        <v>0</v>
      </c>
    </row>
    <row r="251" customFormat="false" ht="15" hidden="false" customHeight="false" outlineLevel="0" collapsed="false">
      <c r="A251" s="95" t="n">
        <v>21</v>
      </c>
      <c r="B251" s="73" t="s">
        <v>483</v>
      </c>
      <c r="C251" s="96" t="n">
        <v>416500</v>
      </c>
      <c r="D251" s="96" t="n">
        <f aca="false">286500+130000</f>
        <v>416500</v>
      </c>
      <c r="E251" s="97" t="n">
        <f aca="false">C251-D251</f>
        <v>0</v>
      </c>
    </row>
    <row r="252" customFormat="false" ht="15" hidden="false" customHeight="false" outlineLevel="0" collapsed="false">
      <c r="A252" s="95" t="n">
        <v>22</v>
      </c>
      <c r="B252" s="73" t="s">
        <v>484</v>
      </c>
      <c r="C252" s="96" t="n">
        <v>416500</v>
      </c>
      <c r="D252" s="96"/>
      <c r="E252" s="97" t="n">
        <f aca="false">C252-D252</f>
        <v>416500</v>
      </c>
    </row>
    <row r="253" customFormat="false" ht="15" hidden="false" customHeight="false" outlineLevel="0" collapsed="false">
      <c r="A253" s="95" t="n">
        <v>23</v>
      </c>
      <c r="B253" s="73" t="s">
        <v>485</v>
      </c>
      <c r="C253" s="96" t="n">
        <v>416500</v>
      </c>
      <c r="D253" s="96"/>
      <c r="E253" s="97" t="n">
        <f aca="false">C253-D253</f>
        <v>416500</v>
      </c>
    </row>
    <row r="254" customFormat="false" ht="15" hidden="false" customHeight="false" outlineLevel="0" collapsed="false">
      <c r="A254" s="95" t="n">
        <v>24</v>
      </c>
      <c r="B254" s="73" t="s">
        <v>486</v>
      </c>
      <c r="C254" s="96" t="n">
        <v>416500</v>
      </c>
      <c r="D254" s="96" t="n">
        <f aca="false">5000</f>
        <v>5000</v>
      </c>
      <c r="E254" s="97" t="n">
        <f aca="false">C254-D254</f>
        <v>411500</v>
      </c>
    </row>
    <row r="255" customFormat="false" ht="15" hidden="false" customHeight="false" outlineLevel="0" collapsed="false">
      <c r="A255" s="95" t="n">
        <v>25</v>
      </c>
      <c r="B255" s="73" t="s">
        <v>487</v>
      </c>
      <c r="C255" s="96" t="n">
        <v>416500</v>
      </c>
      <c r="D255" s="96" t="n">
        <f aca="false">216500+200000</f>
        <v>416500</v>
      </c>
      <c r="E255" s="97" t="n">
        <f aca="false">C255-D255</f>
        <v>0</v>
      </c>
    </row>
    <row r="256" customFormat="false" ht="15" hidden="false" customHeight="false" outlineLevel="0" collapsed="false">
      <c r="A256" s="95" t="n">
        <v>26</v>
      </c>
      <c r="B256" s="73" t="s">
        <v>488</v>
      </c>
      <c r="C256" s="96" t="n">
        <v>416500</v>
      </c>
      <c r="D256" s="96"/>
      <c r="E256" s="97" t="n">
        <f aca="false">C256-D256</f>
        <v>416500</v>
      </c>
    </row>
    <row r="257" customFormat="false" ht="15" hidden="false" customHeight="false" outlineLevel="0" collapsed="false">
      <c r="A257" s="95" t="n">
        <v>28</v>
      </c>
      <c r="B257" s="73" t="s">
        <v>489</v>
      </c>
      <c r="C257" s="96" t="n">
        <v>416500</v>
      </c>
      <c r="D257" s="96" t="n">
        <f aca="false">130000+150000+150000</f>
        <v>430000</v>
      </c>
      <c r="E257" s="97" t="n">
        <f aca="false">C257-D257</f>
        <v>-13500</v>
      </c>
    </row>
    <row r="258" customFormat="false" ht="15" hidden="false" customHeight="false" outlineLevel="0" collapsed="false">
      <c r="A258" s="95" t="n">
        <v>29</v>
      </c>
      <c r="B258" s="73" t="s">
        <v>490</v>
      </c>
      <c r="C258" s="96" t="n">
        <v>416500</v>
      </c>
      <c r="D258" s="96" t="n">
        <v>416500</v>
      </c>
      <c r="E258" s="97" t="n">
        <f aca="false">C258-D258</f>
        <v>0</v>
      </c>
    </row>
    <row r="259" customFormat="false" ht="15" hidden="false" customHeight="false" outlineLevel="0" collapsed="false">
      <c r="A259" s="95" t="n">
        <v>30</v>
      </c>
      <c r="B259" s="73" t="s">
        <v>491</v>
      </c>
      <c r="C259" s="96" t="n">
        <v>416500</v>
      </c>
      <c r="D259" s="96"/>
      <c r="E259" s="97" t="n">
        <f aca="false">C259-D259</f>
        <v>416500</v>
      </c>
    </row>
    <row r="260" customFormat="false" ht="15" hidden="false" customHeight="false" outlineLevel="0" collapsed="false">
      <c r="A260" s="95" t="n">
        <v>31</v>
      </c>
      <c r="B260" s="73" t="s">
        <v>492</v>
      </c>
      <c r="C260" s="96" t="n">
        <v>416500</v>
      </c>
      <c r="D260" s="96" t="n">
        <v>416500</v>
      </c>
      <c r="E260" s="97" t="n">
        <f aca="false">C260-D260</f>
        <v>0</v>
      </c>
    </row>
    <row r="261" customFormat="false" ht="17.35" hidden="false" customHeight="false" outlineLevel="0" collapsed="false">
      <c r="A261" s="112"/>
      <c r="B261" s="100" t="s">
        <v>22</v>
      </c>
      <c r="C261" s="101" t="n">
        <f aca="false">SUM(C231:C260)</f>
        <v>12695000</v>
      </c>
      <c r="D261" s="102" t="n">
        <f aca="false">SUM(D231:D260)</f>
        <v>8665500</v>
      </c>
      <c r="E261" s="103" t="n">
        <f aca="false">SUM(E231:E260)</f>
        <v>4029500</v>
      </c>
    </row>
    <row r="262" customFormat="false" ht="17.35" hidden="false" customHeight="false" outlineLevel="0" collapsed="false">
      <c r="A262" s="104"/>
      <c r="B262" s="105"/>
      <c r="C262" s="106"/>
      <c r="D262" s="107"/>
      <c r="E262" s="77"/>
    </row>
    <row r="264" customFormat="false" ht="17.35" hidden="false" customHeight="false" outlineLevel="0" collapsed="false">
      <c r="A264" s="108"/>
      <c r="B264" s="2" t="s">
        <v>0</v>
      </c>
    </row>
    <row r="265" customFormat="false" ht="15" hidden="false" customHeight="false" outlineLevel="0" collapsed="false">
      <c r="A265" s="104"/>
    </row>
    <row r="266" customFormat="false" ht="17.35" hidden="false" customHeight="false" outlineLevel="0" collapsed="false">
      <c r="A266" s="104"/>
      <c r="B266" s="91" t="s">
        <v>283</v>
      </c>
    </row>
    <row r="267" customFormat="false" ht="15" hidden="false" customHeight="false" outlineLevel="0" collapsed="false">
      <c r="A267" s="104"/>
      <c r="B267" s="4" t="s">
        <v>493</v>
      </c>
    </row>
    <row r="268" customFormat="false" ht="15" hidden="false" customHeight="false" outlineLevel="0" collapsed="false">
      <c r="A268" s="104"/>
    </row>
    <row r="269" customFormat="false" ht="15" hidden="false" customHeight="false" outlineLevel="0" collapsed="false">
      <c r="A269" s="6" t="s">
        <v>4</v>
      </c>
      <c r="B269" s="7" t="s">
        <v>5</v>
      </c>
      <c r="C269" s="8" t="s">
        <v>6</v>
      </c>
      <c r="D269" s="94" t="s">
        <v>7</v>
      </c>
      <c r="E269" s="10" t="s">
        <v>8</v>
      </c>
    </row>
    <row r="270" customFormat="false" ht="15" hidden="false" customHeight="false" outlineLevel="0" collapsed="false">
      <c r="A270" s="95" t="n">
        <v>1</v>
      </c>
      <c r="B270" s="63" t="s">
        <v>494</v>
      </c>
      <c r="C270" s="96" t="n">
        <v>416500</v>
      </c>
      <c r="D270" s="96" t="n">
        <f aca="false">283500+50000+70000</f>
        <v>403500</v>
      </c>
      <c r="E270" s="97" t="n">
        <f aca="false">C270-D270</f>
        <v>13000</v>
      </c>
    </row>
    <row r="271" customFormat="false" ht="15" hidden="false" customHeight="false" outlineLevel="0" collapsed="false">
      <c r="A271" s="95" t="n">
        <v>2</v>
      </c>
      <c r="B271" s="59" t="s">
        <v>495</v>
      </c>
      <c r="C271" s="96" t="n">
        <v>416500</v>
      </c>
      <c r="D271" s="123" t="n">
        <f aca="false">100000+100000</f>
        <v>200000</v>
      </c>
      <c r="E271" s="97" t="n">
        <f aca="false">C271-D271</f>
        <v>216500</v>
      </c>
    </row>
    <row r="272" customFormat="false" ht="15" hidden="false" customHeight="false" outlineLevel="0" collapsed="false">
      <c r="A272" s="95" t="n">
        <v>3</v>
      </c>
      <c r="B272" s="59" t="s">
        <v>496</v>
      </c>
      <c r="C272" s="96" t="n">
        <v>416500</v>
      </c>
      <c r="D272" s="123" t="n">
        <f aca="false">170000+150000+96500</f>
        <v>416500</v>
      </c>
      <c r="E272" s="97" t="n">
        <f aca="false">C272-D272</f>
        <v>0</v>
      </c>
    </row>
    <row r="273" customFormat="false" ht="15" hidden="false" customHeight="false" outlineLevel="0" collapsed="false">
      <c r="A273" s="95" t="n">
        <v>4</v>
      </c>
      <c r="B273" s="59" t="s">
        <v>497</v>
      </c>
      <c r="C273" s="96" t="n">
        <v>416500</v>
      </c>
      <c r="D273" s="123" t="n">
        <f aca="false">100000+100000+66500+100000+50000</f>
        <v>416500</v>
      </c>
      <c r="E273" s="97" t="n">
        <f aca="false">C273-D273</f>
        <v>0</v>
      </c>
    </row>
    <row r="274" customFormat="false" ht="15" hidden="false" customHeight="false" outlineLevel="0" collapsed="false">
      <c r="A274" s="95" t="n">
        <v>5</v>
      </c>
      <c r="B274" s="59" t="s">
        <v>498</v>
      </c>
      <c r="C274" s="96" t="n">
        <v>416500</v>
      </c>
      <c r="D274" s="123"/>
      <c r="E274" s="97" t="n">
        <f aca="false">C274-D274</f>
        <v>416500</v>
      </c>
    </row>
    <row r="275" customFormat="false" ht="15" hidden="false" customHeight="false" outlineLevel="0" collapsed="false">
      <c r="A275" s="95" t="n">
        <v>6</v>
      </c>
      <c r="B275" s="59" t="s">
        <v>499</v>
      </c>
      <c r="C275" s="96" t="n">
        <v>416500</v>
      </c>
      <c r="D275" s="123"/>
      <c r="E275" s="97" t="n">
        <v>416500</v>
      </c>
    </row>
    <row r="276" customFormat="false" ht="15" hidden="false" customHeight="false" outlineLevel="0" collapsed="false">
      <c r="A276" s="95" t="n">
        <v>7</v>
      </c>
      <c r="B276" s="59" t="s">
        <v>500</v>
      </c>
      <c r="C276" s="96" t="n">
        <v>416500</v>
      </c>
      <c r="D276" s="123" t="n">
        <f aca="false">216500</f>
        <v>216500</v>
      </c>
      <c r="E276" s="97" t="n">
        <f aca="false">C276-D276</f>
        <v>200000</v>
      </c>
    </row>
    <row r="277" customFormat="false" ht="15" hidden="false" customHeight="false" outlineLevel="0" collapsed="false">
      <c r="A277" s="95" t="n">
        <v>8</v>
      </c>
      <c r="B277" s="59" t="s">
        <v>501</v>
      </c>
      <c r="C277" s="96" t="n">
        <v>416500</v>
      </c>
      <c r="D277" s="123" t="n">
        <f aca="false">100000+100000+116500+100000</f>
        <v>416500</v>
      </c>
      <c r="E277" s="97" t="n">
        <f aca="false">C277-D277</f>
        <v>0</v>
      </c>
      <c r="F277" s="114"/>
    </row>
    <row r="278" customFormat="false" ht="15" hidden="false" customHeight="false" outlineLevel="0" collapsed="false">
      <c r="A278" s="95" t="n">
        <v>9</v>
      </c>
      <c r="B278" s="59" t="s">
        <v>502</v>
      </c>
      <c r="C278" s="96" t="n">
        <v>416500</v>
      </c>
      <c r="D278" s="123" t="n">
        <f aca="false">175000+100000+141000+500</f>
        <v>416500</v>
      </c>
      <c r="E278" s="97" t="n">
        <f aca="false">C278-D278</f>
        <v>0</v>
      </c>
      <c r="F278" s="114"/>
    </row>
    <row r="279" customFormat="false" ht="15" hidden="false" customHeight="false" outlineLevel="0" collapsed="false">
      <c r="A279" s="95" t="n">
        <v>10</v>
      </c>
      <c r="B279" s="59" t="s">
        <v>503</v>
      </c>
      <c r="C279" s="96" t="n">
        <v>416500</v>
      </c>
      <c r="D279" s="123"/>
      <c r="E279" s="97" t="n">
        <f aca="false">C279-D279</f>
        <v>416500</v>
      </c>
    </row>
    <row r="280" customFormat="false" ht="15" hidden="false" customHeight="false" outlineLevel="0" collapsed="false">
      <c r="A280" s="95" t="n">
        <v>11</v>
      </c>
      <c r="B280" s="59" t="s">
        <v>504</v>
      </c>
      <c r="C280" s="96" t="n">
        <v>416500</v>
      </c>
      <c r="D280" s="123" t="n">
        <f aca="false">70000+90000+120000+136000+500</f>
        <v>416500</v>
      </c>
      <c r="E280" s="97" t="n">
        <f aca="false">C280-D280</f>
        <v>0</v>
      </c>
    </row>
    <row r="281" customFormat="false" ht="15" hidden="false" customHeight="false" outlineLevel="0" collapsed="false">
      <c r="A281" s="95" t="n">
        <v>12</v>
      </c>
      <c r="B281" s="59" t="s">
        <v>505</v>
      </c>
      <c r="C281" s="96" t="n">
        <v>416500</v>
      </c>
      <c r="D281" s="123" t="n">
        <f aca="false">100000+100000+216500</f>
        <v>416500</v>
      </c>
      <c r="E281" s="97" t="n">
        <f aca="false">C281-D281</f>
        <v>0</v>
      </c>
    </row>
    <row r="282" customFormat="false" ht="15" hidden="false" customHeight="false" outlineLevel="0" collapsed="false">
      <c r="A282" s="95" t="n">
        <v>13</v>
      </c>
      <c r="B282" s="59" t="s">
        <v>506</v>
      </c>
      <c r="C282" s="12" t="n">
        <v>416500</v>
      </c>
      <c r="D282" s="12" t="n">
        <f aca="false">200000+216500</f>
        <v>416500</v>
      </c>
      <c r="E282" s="97" t="n">
        <f aca="false">C282-D282</f>
        <v>0</v>
      </c>
    </row>
    <row r="283" customFormat="false" ht="15" hidden="false" customHeight="false" outlineLevel="0" collapsed="false">
      <c r="A283" s="95" t="n">
        <v>14</v>
      </c>
      <c r="B283" s="59" t="s">
        <v>507</v>
      </c>
      <c r="C283" s="96" t="n">
        <v>416500</v>
      </c>
      <c r="D283" s="123" t="n">
        <f aca="false">135000+200000+81500</f>
        <v>416500</v>
      </c>
      <c r="E283" s="97" t="n">
        <f aca="false">C283-D283</f>
        <v>0</v>
      </c>
    </row>
    <row r="284" customFormat="false" ht="15" hidden="false" customHeight="false" outlineLevel="0" collapsed="false">
      <c r="A284" s="95" t="n">
        <v>15</v>
      </c>
      <c r="B284" s="59" t="s">
        <v>508</v>
      </c>
      <c r="C284" s="96" t="n">
        <v>416500</v>
      </c>
      <c r="D284" s="123" t="n">
        <f aca="false">300000+116500</f>
        <v>416500</v>
      </c>
      <c r="E284" s="97" t="n">
        <f aca="false">C284-D284</f>
        <v>0</v>
      </c>
    </row>
    <row r="285" customFormat="false" ht="15" hidden="false" customHeight="false" outlineLevel="0" collapsed="false">
      <c r="A285" s="95" t="n">
        <v>16</v>
      </c>
      <c r="B285" s="59" t="s">
        <v>509</v>
      </c>
      <c r="C285" s="96" t="n">
        <v>416500</v>
      </c>
      <c r="D285" s="123" t="n">
        <f aca="false">100000+100000+16500+200000</f>
        <v>416500</v>
      </c>
      <c r="E285" s="97" t="n">
        <f aca="false">C285-D285</f>
        <v>0</v>
      </c>
    </row>
    <row r="286" customFormat="false" ht="15" hidden="false" customHeight="false" outlineLevel="0" collapsed="false">
      <c r="A286" s="95" t="n">
        <v>17</v>
      </c>
      <c r="B286" s="59" t="s">
        <v>510</v>
      </c>
      <c r="C286" s="96" t="n">
        <v>416500</v>
      </c>
      <c r="D286" s="123"/>
      <c r="E286" s="97" t="n">
        <f aca="false">C286-D286</f>
        <v>416500</v>
      </c>
    </row>
    <row r="287" customFormat="false" ht="15" hidden="false" customHeight="false" outlineLevel="0" collapsed="false">
      <c r="A287" s="95" t="n">
        <v>18</v>
      </c>
      <c r="B287" s="59" t="s">
        <v>511</v>
      </c>
      <c r="C287" s="96" t="n">
        <v>416500</v>
      </c>
      <c r="D287" s="123"/>
      <c r="E287" s="97" t="n">
        <f aca="false">C287-D287</f>
        <v>416500</v>
      </c>
    </row>
    <row r="288" customFormat="false" ht="15" hidden="false" customHeight="true" outlineLevel="0" collapsed="false">
      <c r="A288" s="95" t="n">
        <v>19</v>
      </c>
      <c r="B288" s="59" t="s">
        <v>512</v>
      </c>
      <c r="C288" s="96" t="n">
        <v>416500</v>
      </c>
      <c r="D288" s="123"/>
      <c r="E288" s="97" t="n">
        <v>416500</v>
      </c>
    </row>
    <row r="289" customFormat="false" ht="15.75" hidden="false" customHeight="true" outlineLevel="0" collapsed="false">
      <c r="A289" s="95" t="n">
        <v>20</v>
      </c>
      <c r="B289" s="59" t="s">
        <v>513</v>
      </c>
      <c r="C289" s="96" t="n">
        <v>416500</v>
      </c>
      <c r="D289" s="123" t="n">
        <f aca="false">216500+200000</f>
        <v>416500</v>
      </c>
      <c r="E289" s="97" t="n">
        <f aca="false">C289-D289</f>
        <v>0</v>
      </c>
    </row>
    <row r="290" customFormat="false" ht="15" hidden="false" customHeight="true" outlineLevel="0" collapsed="false">
      <c r="A290" s="95" t="n">
        <v>21</v>
      </c>
      <c r="B290" s="59" t="s">
        <v>514</v>
      </c>
      <c r="C290" s="96" t="n">
        <v>416500</v>
      </c>
      <c r="D290" s="123" t="n">
        <f aca="false">217000+199500</f>
        <v>416500</v>
      </c>
      <c r="E290" s="97" t="n">
        <f aca="false">C290-D290</f>
        <v>0</v>
      </c>
    </row>
    <row r="291" customFormat="false" ht="15.75" hidden="false" customHeight="true" outlineLevel="0" collapsed="false">
      <c r="A291" s="95" t="n">
        <v>22</v>
      </c>
      <c r="B291" s="59" t="s">
        <v>515</v>
      </c>
      <c r="C291" s="96" t="n">
        <v>416500</v>
      </c>
      <c r="D291" s="123" t="n">
        <f aca="false">170000+250000</f>
        <v>420000</v>
      </c>
      <c r="E291" s="97" t="n">
        <f aca="false">C291-D291</f>
        <v>-3500</v>
      </c>
    </row>
    <row r="292" customFormat="false" ht="15" hidden="false" customHeight="true" outlineLevel="0" collapsed="false">
      <c r="A292" s="95" t="n">
        <v>23</v>
      </c>
      <c r="B292" s="59" t="s">
        <v>516</v>
      </c>
      <c r="C292" s="96" t="n">
        <v>416500</v>
      </c>
      <c r="D292" s="123" t="n">
        <f aca="false">100000</f>
        <v>100000</v>
      </c>
      <c r="E292" s="97" t="n">
        <f aca="false">C292-D292</f>
        <v>316500</v>
      </c>
    </row>
    <row r="293" customFormat="false" ht="15.75" hidden="false" customHeight="true" outlineLevel="0" collapsed="false">
      <c r="A293" s="95" t="n">
        <v>24</v>
      </c>
      <c r="B293" s="59" t="s">
        <v>517</v>
      </c>
      <c r="C293" s="96" t="n">
        <v>416500</v>
      </c>
      <c r="D293" s="123" t="n">
        <f aca="false">150000+130000+136500</f>
        <v>416500</v>
      </c>
      <c r="E293" s="97" t="n">
        <f aca="false">C293-D293</f>
        <v>0</v>
      </c>
    </row>
    <row r="294" customFormat="false" ht="15" hidden="false" customHeight="true" outlineLevel="0" collapsed="false">
      <c r="A294" s="95" t="n">
        <v>25</v>
      </c>
      <c r="B294" s="59" t="s">
        <v>518</v>
      </c>
      <c r="C294" s="96" t="n">
        <v>416500</v>
      </c>
      <c r="D294" s="123" t="n">
        <f aca="false">200000+3500+213000</f>
        <v>416500</v>
      </c>
      <c r="E294" s="97" t="n">
        <f aca="false">C294-D294</f>
        <v>0</v>
      </c>
    </row>
    <row r="295" customFormat="false" ht="15.75" hidden="false" customHeight="true" outlineLevel="0" collapsed="false">
      <c r="A295" s="95" t="n">
        <v>26</v>
      </c>
      <c r="B295" s="124" t="s">
        <v>519</v>
      </c>
      <c r="C295" s="96" t="n">
        <v>416500</v>
      </c>
      <c r="D295" s="123" t="n">
        <f aca="false">100000+137000+179500</f>
        <v>416500</v>
      </c>
      <c r="E295" s="97" t="n">
        <f aca="false">C295-D295</f>
        <v>0</v>
      </c>
    </row>
    <row r="296" customFormat="false" ht="15.75" hidden="false" customHeight="true" outlineLevel="0" collapsed="false">
      <c r="A296" s="95" t="n">
        <v>27</v>
      </c>
      <c r="B296" s="59" t="s">
        <v>520</v>
      </c>
      <c r="C296" s="96" t="n">
        <v>416500</v>
      </c>
      <c r="D296" s="123" t="n">
        <f aca="false">216500+166500+33500</f>
        <v>416500</v>
      </c>
      <c r="E296" s="97" t="n">
        <f aca="false">C296-D296</f>
        <v>0</v>
      </c>
    </row>
    <row r="297" customFormat="false" ht="15" hidden="false" customHeight="false" outlineLevel="0" collapsed="false">
      <c r="A297" s="95" t="n">
        <v>28</v>
      </c>
      <c r="B297" s="59" t="s">
        <v>521</v>
      </c>
      <c r="C297" s="96" t="n">
        <v>416500</v>
      </c>
      <c r="D297" s="123"/>
      <c r="E297" s="97" t="n">
        <f aca="false">C297-D297</f>
        <v>416500</v>
      </c>
    </row>
    <row r="298" customFormat="false" ht="15.75" hidden="false" customHeight="true" outlineLevel="0" collapsed="false">
      <c r="A298" s="95" t="n">
        <v>29</v>
      </c>
      <c r="B298" s="59" t="s">
        <v>522</v>
      </c>
      <c r="C298" s="96" t="n">
        <v>416500</v>
      </c>
      <c r="D298" s="123"/>
      <c r="E298" s="97" t="n">
        <f aca="false">C298-D298</f>
        <v>416500</v>
      </c>
      <c r="F298" s="1"/>
    </row>
    <row r="299" customFormat="false" ht="15" hidden="false" customHeight="false" outlineLevel="0" collapsed="false">
      <c r="A299" s="95" t="n">
        <v>30</v>
      </c>
      <c r="B299" s="59" t="s">
        <v>523</v>
      </c>
      <c r="C299" s="96" t="n">
        <v>416500</v>
      </c>
      <c r="D299" s="123" t="n">
        <f aca="false">200000+216500</f>
        <v>416500</v>
      </c>
      <c r="E299" s="97" t="n">
        <f aca="false">C299-D299</f>
        <v>0</v>
      </c>
      <c r="F299" s="1"/>
    </row>
    <row r="300" customFormat="false" ht="15.75" hidden="false" customHeight="true" outlineLevel="0" collapsed="false">
      <c r="A300" s="95" t="n">
        <v>31</v>
      </c>
      <c r="B300" s="59" t="s">
        <v>524</v>
      </c>
      <c r="C300" s="96" t="n">
        <v>416500</v>
      </c>
      <c r="D300" s="123" t="n">
        <f aca="false">256500</f>
        <v>256500</v>
      </c>
      <c r="E300" s="97" t="n">
        <f aca="false">C300-D300</f>
        <v>160000</v>
      </c>
      <c r="F300" s="1"/>
    </row>
    <row r="301" customFormat="false" ht="15" hidden="false" customHeight="false" outlineLevel="0" collapsed="false">
      <c r="A301" s="95" t="n">
        <v>32</v>
      </c>
      <c r="B301" s="59" t="s">
        <v>525</v>
      </c>
      <c r="C301" s="96" t="n">
        <v>416500</v>
      </c>
      <c r="D301" s="123" t="n">
        <f aca="false">216500+200000</f>
        <v>416500</v>
      </c>
      <c r="E301" s="97" t="n">
        <f aca="false">C301-D301</f>
        <v>0</v>
      </c>
    </row>
    <row r="302" customFormat="false" ht="15" hidden="false" customHeight="false" outlineLevel="0" collapsed="false">
      <c r="A302" s="95" t="n">
        <v>33</v>
      </c>
      <c r="B302" s="59" t="s">
        <v>526</v>
      </c>
      <c r="C302" s="96" t="n">
        <v>416500</v>
      </c>
      <c r="D302" s="123" t="n">
        <f aca="false">216000+200500</f>
        <v>416500</v>
      </c>
      <c r="E302" s="97" t="n">
        <f aca="false">C302-D302</f>
        <v>0</v>
      </c>
    </row>
    <row r="303" customFormat="false" ht="15" hidden="false" customHeight="true" outlineLevel="0" collapsed="false">
      <c r="A303" s="95" t="n">
        <v>34</v>
      </c>
      <c r="B303" s="59" t="s">
        <v>527</v>
      </c>
      <c r="C303" s="96" t="n">
        <v>416500</v>
      </c>
      <c r="D303" s="96" t="n">
        <f aca="false">116500+60000+45000+195000</f>
        <v>416500</v>
      </c>
      <c r="E303" s="97" t="n">
        <f aca="false">C303-D303</f>
        <v>0</v>
      </c>
    </row>
    <row r="304" customFormat="false" ht="15.75" hidden="false" customHeight="true" outlineLevel="0" collapsed="false">
      <c r="A304" s="16"/>
      <c r="B304" s="100" t="s">
        <v>22</v>
      </c>
      <c r="C304" s="101" t="n">
        <f aca="false">SUM(C270:C303)</f>
        <v>14161000</v>
      </c>
      <c r="D304" s="102" t="n">
        <f aca="false">SUM(D270:D303)</f>
        <v>9926500</v>
      </c>
      <c r="E304" s="103" t="n">
        <f aca="false">SUM(E270:E303)</f>
        <v>4234500</v>
      </c>
    </row>
    <row r="305" customFormat="false" ht="15.75" hidden="false" customHeight="true" outlineLevel="0" collapsed="false"/>
    <row r="306" customFormat="false" ht="15.75" hidden="false" customHeight="true" outlineLevel="0" collapsed="false">
      <c r="A306" s="104"/>
    </row>
    <row r="307" customFormat="false" ht="17.35" hidden="false" customHeight="false" outlineLevel="0" collapsed="false">
      <c r="A307" s="108"/>
      <c r="B307" s="2" t="s">
        <v>0</v>
      </c>
    </row>
    <row r="308" customFormat="false" ht="15" hidden="false" customHeight="false" outlineLevel="0" collapsed="false">
      <c r="A308" s="104"/>
    </row>
    <row r="309" customFormat="false" ht="17.35" hidden="false" customHeight="false" outlineLevel="0" collapsed="false">
      <c r="A309" s="104"/>
      <c r="B309" s="91" t="s">
        <v>314</v>
      </c>
    </row>
    <row r="310" customFormat="false" ht="15" hidden="false" customHeight="false" outlineLevel="0" collapsed="false">
      <c r="A310" s="104"/>
      <c r="B310" s="4" t="s">
        <v>493</v>
      </c>
    </row>
    <row r="311" customFormat="false" ht="15" hidden="false" customHeight="false" outlineLevel="0" collapsed="false">
      <c r="A311" s="104"/>
    </row>
    <row r="312" customFormat="false" ht="15" hidden="false" customHeight="false" outlineLevel="0" collapsed="false">
      <c r="A312" s="92" t="s">
        <v>4</v>
      </c>
      <c r="B312" s="93" t="s">
        <v>285</v>
      </c>
      <c r="C312" s="8" t="s">
        <v>6</v>
      </c>
      <c r="D312" s="94" t="s">
        <v>7</v>
      </c>
      <c r="E312" s="10" t="s">
        <v>8</v>
      </c>
    </row>
    <row r="313" customFormat="false" ht="15" hidden="false" customHeight="false" outlineLevel="0" collapsed="false">
      <c r="A313" s="95" t="n">
        <v>1</v>
      </c>
      <c r="B313" s="116" t="s">
        <v>528</v>
      </c>
      <c r="C313" s="96" t="n">
        <v>416500</v>
      </c>
      <c r="D313" s="123" t="n">
        <f aca="false">150000+100000+166500</f>
        <v>416500</v>
      </c>
      <c r="E313" s="97" t="n">
        <f aca="false">C313-D313</f>
        <v>0</v>
      </c>
    </row>
    <row r="314" customFormat="false" ht="15" hidden="false" customHeight="false" outlineLevel="0" collapsed="false">
      <c r="A314" s="95" t="n">
        <v>2</v>
      </c>
      <c r="B314" s="116" t="s">
        <v>529</v>
      </c>
      <c r="C314" s="96" t="n">
        <v>416500</v>
      </c>
      <c r="D314" s="123" t="n">
        <f aca="false">200000+3500+220000</f>
        <v>423500</v>
      </c>
      <c r="E314" s="97" t="n">
        <f aca="false">C314-D314</f>
        <v>-7000</v>
      </c>
    </row>
    <row r="315" customFormat="false" ht="15" hidden="false" customHeight="false" outlineLevel="0" collapsed="false">
      <c r="A315" s="95" t="n">
        <v>3</v>
      </c>
      <c r="B315" s="116" t="s">
        <v>530</v>
      </c>
      <c r="C315" s="96" t="n">
        <v>416500</v>
      </c>
      <c r="D315" s="123"/>
      <c r="E315" s="97" t="n">
        <f aca="false">C315-D315</f>
        <v>416500</v>
      </c>
    </row>
    <row r="316" customFormat="false" ht="15" hidden="false" customHeight="false" outlineLevel="0" collapsed="false">
      <c r="A316" s="95" t="n">
        <v>4</v>
      </c>
      <c r="B316" s="116" t="s">
        <v>531</v>
      </c>
      <c r="C316" s="96" t="n">
        <v>416500</v>
      </c>
      <c r="D316" s="123" t="n">
        <f aca="false">73500+50000+50000+100000+50000+50000+33000+10000</f>
        <v>416500</v>
      </c>
      <c r="E316" s="97" t="n">
        <f aca="false">C316-D316</f>
        <v>0</v>
      </c>
    </row>
    <row r="317" customFormat="false" ht="15" hidden="false" customHeight="false" outlineLevel="0" collapsed="false">
      <c r="A317" s="95" t="n">
        <v>5</v>
      </c>
      <c r="B317" s="116" t="s">
        <v>532</v>
      </c>
      <c r="C317" s="96" t="n">
        <v>416500</v>
      </c>
      <c r="D317" s="123" t="n">
        <f aca="false">16500+50000+100000+50000+100000+50000+50000</f>
        <v>416500</v>
      </c>
      <c r="E317" s="97" t="n">
        <f aca="false">C317-D317</f>
        <v>0</v>
      </c>
    </row>
    <row r="318" customFormat="false" ht="15" hidden="false" customHeight="false" outlineLevel="0" collapsed="false">
      <c r="A318" s="95" t="n">
        <v>6</v>
      </c>
      <c r="B318" s="116" t="s">
        <v>533</v>
      </c>
      <c r="C318" s="96" t="n">
        <v>416500</v>
      </c>
      <c r="D318" s="123" t="n">
        <f aca="false">300000+100000+16500</f>
        <v>416500</v>
      </c>
      <c r="E318" s="97" t="n">
        <f aca="false">C318-D318</f>
        <v>0</v>
      </c>
    </row>
    <row r="319" customFormat="false" ht="15" hidden="false" customHeight="false" outlineLevel="0" collapsed="false">
      <c r="A319" s="95" t="n">
        <v>7</v>
      </c>
      <c r="B319" s="116" t="s">
        <v>534</v>
      </c>
      <c r="C319" s="96" t="n">
        <v>416500</v>
      </c>
      <c r="D319" s="123"/>
      <c r="E319" s="97" t="n">
        <f aca="false">C319-D319</f>
        <v>416500</v>
      </c>
    </row>
    <row r="320" customFormat="false" ht="15" hidden="false" customHeight="false" outlineLevel="0" collapsed="false">
      <c r="A320" s="95" t="n">
        <v>8</v>
      </c>
      <c r="B320" s="116" t="s">
        <v>535</v>
      </c>
      <c r="C320" s="96" t="n">
        <v>416500</v>
      </c>
      <c r="D320" s="123" t="n">
        <f aca="false">147000</f>
        <v>147000</v>
      </c>
      <c r="E320" s="97" t="n">
        <f aca="false">C320-D320</f>
        <v>269500</v>
      </c>
    </row>
    <row r="321" customFormat="false" ht="15" hidden="false" customHeight="false" outlineLevel="0" collapsed="false">
      <c r="A321" s="95" t="n">
        <v>9</v>
      </c>
      <c r="B321" s="116" t="s">
        <v>536</v>
      </c>
      <c r="C321" s="96" t="n">
        <v>416500</v>
      </c>
      <c r="D321" s="123" t="n">
        <f aca="false">40000+50000+200000+126500</f>
        <v>416500</v>
      </c>
      <c r="E321" s="97" t="n">
        <f aca="false">C321-D321</f>
        <v>0</v>
      </c>
    </row>
    <row r="322" customFormat="false" ht="15" hidden="false" customHeight="false" outlineLevel="0" collapsed="false">
      <c r="A322" s="95" t="n">
        <v>10</v>
      </c>
      <c r="B322" s="116" t="s">
        <v>537</v>
      </c>
      <c r="C322" s="96" t="n">
        <v>416500</v>
      </c>
      <c r="D322" s="123" t="n">
        <f aca="false">76500+40000+100000+200000</f>
        <v>416500</v>
      </c>
      <c r="E322" s="97" t="n">
        <f aca="false">C322-D322</f>
        <v>0</v>
      </c>
    </row>
    <row r="323" customFormat="false" ht="15" hidden="false" customHeight="false" outlineLevel="0" collapsed="false">
      <c r="A323" s="95" t="n">
        <v>11</v>
      </c>
      <c r="B323" s="116" t="s">
        <v>538</v>
      </c>
      <c r="C323" s="96" t="n">
        <v>416500</v>
      </c>
      <c r="D323" s="123"/>
      <c r="E323" s="97" t="n">
        <f aca="false">C323-D323</f>
        <v>416500</v>
      </c>
      <c r="F323" s="1"/>
    </row>
    <row r="324" customFormat="false" ht="15" hidden="false" customHeight="false" outlineLevel="0" collapsed="false">
      <c r="A324" s="95" t="n">
        <v>12</v>
      </c>
      <c r="B324" s="116" t="s">
        <v>539</v>
      </c>
      <c r="C324" s="96" t="n">
        <v>416500</v>
      </c>
      <c r="D324" s="123"/>
      <c r="E324" s="97" t="n">
        <f aca="false">C324-D324</f>
        <v>416500</v>
      </c>
      <c r="F324" s="1"/>
    </row>
    <row r="325" customFormat="false" ht="15" hidden="false" customHeight="false" outlineLevel="0" collapsed="false">
      <c r="A325" s="95" t="n">
        <v>13</v>
      </c>
      <c r="B325" s="38" t="s">
        <v>540</v>
      </c>
      <c r="C325" s="125" t="n">
        <v>616500</v>
      </c>
      <c r="D325" s="126" t="s">
        <v>541</v>
      </c>
      <c r="E325" s="127" t="n">
        <v>616500</v>
      </c>
      <c r="F325" s="1"/>
    </row>
    <row r="326" customFormat="false" ht="15" hidden="false" customHeight="false" outlineLevel="0" collapsed="false">
      <c r="A326" s="95" t="n">
        <v>14</v>
      </c>
      <c r="B326" s="128" t="s">
        <v>542</v>
      </c>
      <c r="C326" s="125" t="n">
        <v>616500</v>
      </c>
      <c r="D326" s="126" t="s">
        <v>541</v>
      </c>
      <c r="E326" s="127" t="n">
        <v>616500</v>
      </c>
      <c r="F326" s="1"/>
    </row>
    <row r="327" customFormat="false" ht="15" hidden="false" customHeight="false" outlineLevel="0" collapsed="false">
      <c r="A327" s="95" t="n">
        <v>15</v>
      </c>
      <c r="B327" s="116" t="s">
        <v>543</v>
      </c>
      <c r="C327" s="96" t="n">
        <v>416500</v>
      </c>
      <c r="D327" s="123" t="n">
        <f aca="false">216500+200000</f>
        <v>416500</v>
      </c>
      <c r="E327" s="97" t="n">
        <f aca="false">C327-D327</f>
        <v>0</v>
      </c>
    </row>
    <row r="328" customFormat="false" ht="15" hidden="false" customHeight="false" outlineLevel="0" collapsed="false">
      <c r="A328" s="95" t="n">
        <v>16</v>
      </c>
      <c r="B328" s="116" t="s">
        <v>544</v>
      </c>
      <c r="C328" s="96" t="n">
        <v>416500</v>
      </c>
      <c r="D328" s="123"/>
      <c r="E328" s="97" t="n">
        <f aca="false">C328-D328</f>
        <v>416500</v>
      </c>
    </row>
    <row r="329" customFormat="false" ht="15" hidden="false" customHeight="false" outlineLevel="0" collapsed="false">
      <c r="A329" s="95" t="n">
        <v>17</v>
      </c>
      <c r="B329" s="116" t="s">
        <v>545</v>
      </c>
      <c r="C329" s="96" t="n">
        <v>416500</v>
      </c>
      <c r="D329" s="123"/>
      <c r="E329" s="97" t="n">
        <f aca="false">C329-D329</f>
        <v>416500</v>
      </c>
    </row>
    <row r="330" customFormat="false" ht="15" hidden="false" customHeight="false" outlineLevel="0" collapsed="false">
      <c r="A330" s="95" t="n">
        <v>18</v>
      </c>
      <c r="B330" s="116" t="s">
        <v>546</v>
      </c>
      <c r="C330" s="96" t="n">
        <v>416500</v>
      </c>
      <c r="D330" s="123" t="n">
        <f aca="false">100000+120000+196500</f>
        <v>416500</v>
      </c>
      <c r="E330" s="97" t="n">
        <f aca="false">C330-D330</f>
        <v>0</v>
      </c>
    </row>
    <row r="331" customFormat="false" ht="15" hidden="false" customHeight="false" outlineLevel="0" collapsed="false">
      <c r="A331" s="95" t="n">
        <v>19</v>
      </c>
      <c r="B331" s="116" t="s">
        <v>547</v>
      </c>
      <c r="C331" s="96" t="n">
        <v>416500</v>
      </c>
      <c r="D331" s="123" t="n">
        <f aca="false">215000+201500</f>
        <v>416500</v>
      </c>
      <c r="E331" s="97" t="n">
        <f aca="false">C331-D331</f>
        <v>0</v>
      </c>
    </row>
    <row r="332" customFormat="false" ht="15" hidden="false" customHeight="false" outlineLevel="0" collapsed="false">
      <c r="A332" s="95" t="n">
        <v>20</v>
      </c>
      <c r="B332" s="116" t="s">
        <v>548</v>
      </c>
      <c r="C332" s="96" t="n">
        <v>416500</v>
      </c>
      <c r="D332" s="123" t="n">
        <f aca="false">100000+316500</f>
        <v>416500</v>
      </c>
      <c r="E332" s="97" t="n">
        <f aca="false">C332-D332</f>
        <v>0</v>
      </c>
    </row>
    <row r="333" customFormat="false" ht="15" hidden="false" customHeight="false" outlineLevel="0" collapsed="false">
      <c r="A333" s="95" t="n">
        <v>21</v>
      </c>
      <c r="B333" s="129" t="s">
        <v>549</v>
      </c>
      <c r="C333" s="96" t="n">
        <v>416500</v>
      </c>
      <c r="D333" s="123" t="n">
        <f aca="false">140000+276500</f>
        <v>416500</v>
      </c>
      <c r="E333" s="97" t="n">
        <f aca="false">C333-D333</f>
        <v>0</v>
      </c>
    </row>
    <row r="334" customFormat="false" ht="15" hidden="false" customHeight="false" outlineLevel="0" collapsed="false">
      <c r="A334" s="95" t="n">
        <v>22</v>
      </c>
      <c r="B334" s="116" t="s">
        <v>550</v>
      </c>
      <c r="C334" s="130" t="s">
        <v>349</v>
      </c>
      <c r="D334" s="123"/>
      <c r="E334" s="131" t="s">
        <v>349</v>
      </c>
    </row>
    <row r="335" customFormat="false" ht="15" hidden="false" customHeight="false" outlineLevel="0" collapsed="false">
      <c r="A335" s="95" t="n">
        <v>23</v>
      </c>
      <c r="B335" s="116" t="s">
        <v>551</v>
      </c>
      <c r="C335" s="96" t="n">
        <v>416500</v>
      </c>
      <c r="D335" s="123"/>
      <c r="E335" s="97" t="n">
        <f aca="false">C335-D335</f>
        <v>416500</v>
      </c>
    </row>
    <row r="336" customFormat="false" ht="15" hidden="false" customHeight="true" outlineLevel="0" collapsed="false">
      <c r="A336" s="95" t="n">
        <v>24</v>
      </c>
      <c r="B336" s="116" t="s">
        <v>552</v>
      </c>
      <c r="C336" s="96" t="n">
        <v>416500</v>
      </c>
      <c r="D336" s="123"/>
      <c r="E336" s="97" t="n">
        <f aca="false">C336-D336</f>
        <v>416500</v>
      </c>
      <c r="I336" s="1"/>
    </row>
    <row r="337" customFormat="false" ht="15.75" hidden="false" customHeight="true" outlineLevel="0" collapsed="false">
      <c r="A337" s="95" t="n">
        <v>25</v>
      </c>
      <c r="B337" s="116" t="s">
        <v>553</v>
      </c>
      <c r="C337" s="96" t="n">
        <v>416500</v>
      </c>
      <c r="D337" s="123" t="n">
        <f aca="false">200000+216500</f>
        <v>416500</v>
      </c>
      <c r="E337" s="97" t="n">
        <f aca="false">C337-D337</f>
        <v>0</v>
      </c>
    </row>
    <row r="338" customFormat="false" ht="15" hidden="false" customHeight="true" outlineLevel="0" collapsed="false">
      <c r="A338" s="95" t="n">
        <v>26</v>
      </c>
      <c r="B338" s="116" t="s">
        <v>554</v>
      </c>
      <c r="C338" s="96" t="n">
        <v>416500</v>
      </c>
      <c r="D338" s="123"/>
      <c r="E338" s="97" t="n">
        <f aca="false">C338-D338</f>
        <v>416500</v>
      </c>
      <c r="F338" s="1"/>
    </row>
    <row r="339" customFormat="false" ht="15.75" hidden="false" customHeight="true" outlineLevel="0" collapsed="false">
      <c r="A339" s="95" t="n">
        <v>27</v>
      </c>
      <c r="B339" s="116" t="s">
        <v>555</v>
      </c>
      <c r="C339" s="96" t="n">
        <v>416500</v>
      </c>
      <c r="D339" s="123"/>
      <c r="E339" s="97" t="n">
        <f aca="false">C339-D339</f>
        <v>416500</v>
      </c>
    </row>
    <row r="340" customFormat="false" ht="15" hidden="false" customHeight="true" outlineLevel="0" collapsed="false">
      <c r="A340" s="95" t="n">
        <v>28</v>
      </c>
      <c r="B340" s="116" t="s">
        <v>556</v>
      </c>
      <c r="C340" s="96" t="n">
        <v>416500</v>
      </c>
      <c r="D340" s="123" t="n">
        <f aca="false">93500+16500</f>
        <v>110000</v>
      </c>
      <c r="E340" s="97" t="n">
        <f aca="false">C340-D340</f>
        <v>306500</v>
      </c>
    </row>
    <row r="341" customFormat="false" ht="15.75" hidden="false" customHeight="true" outlineLevel="0" collapsed="false">
      <c r="A341" s="95" t="n">
        <v>29</v>
      </c>
      <c r="B341" s="116" t="s">
        <v>557</v>
      </c>
      <c r="C341" s="96" t="n">
        <v>416500</v>
      </c>
      <c r="D341" s="123" t="n">
        <f aca="false">50000+50000+300000+16500</f>
        <v>416500</v>
      </c>
      <c r="E341" s="97" t="n">
        <f aca="false">C341-D341</f>
        <v>0</v>
      </c>
    </row>
    <row r="342" customFormat="false" ht="15" hidden="false" customHeight="true" outlineLevel="0" collapsed="false">
      <c r="A342" s="95" t="n">
        <v>30</v>
      </c>
      <c r="B342" s="116" t="s">
        <v>558</v>
      </c>
      <c r="C342" s="96" t="n">
        <v>416500</v>
      </c>
      <c r="D342" s="123" t="n">
        <f aca="false">150000+50000+56500+160000</f>
        <v>416500</v>
      </c>
      <c r="E342" s="97" t="n">
        <f aca="false">C342-D342</f>
        <v>0</v>
      </c>
    </row>
    <row r="343" customFormat="false" ht="15.75" hidden="false" customHeight="true" outlineLevel="0" collapsed="false">
      <c r="A343" s="95" t="n">
        <v>31</v>
      </c>
      <c r="B343" s="41" t="s">
        <v>559</v>
      </c>
      <c r="C343" s="96" t="n">
        <v>416500</v>
      </c>
      <c r="D343" s="123" t="n">
        <f aca="false">3000+50000+10000+50000+50000+40000+50000+21000+11000+27000+4500+100000</f>
        <v>416500</v>
      </c>
      <c r="E343" s="97" t="n">
        <f aca="false">C343-D343</f>
        <v>0</v>
      </c>
    </row>
    <row r="344" customFormat="false" ht="15.75" hidden="false" customHeight="true" outlineLevel="0" collapsed="false">
      <c r="A344" s="95" t="n">
        <v>32</v>
      </c>
      <c r="B344" s="116" t="s">
        <v>560</v>
      </c>
      <c r="C344" s="96" t="n">
        <v>416500</v>
      </c>
      <c r="D344" s="123" t="n">
        <f aca="false">3500+163000</f>
        <v>166500</v>
      </c>
      <c r="E344" s="97" t="n">
        <f aca="false">C344-D344</f>
        <v>250000</v>
      </c>
    </row>
    <row r="345" customFormat="false" ht="15" hidden="false" customHeight="false" outlineLevel="0" collapsed="false">
      <c r="A345" s="95" t="n">
        <v>33</v>
      </c>
      <c r="B345" s="116" t="s">
        <v>561</v>
      </c>
      <c r="C345" s="96" t="n">
        <v>416500</v>
      </c>
      <c r="D345" s="123" t="n">
        <v>416500</v>
      </c>
      <c r="E345" s="97" t="n">
        <f aca="false">C345-D345</f>
        <v>0</v>
      </c>
    </row>
    <row r="346" customFormat="false" ht="15.75" hidden="false" customHeight="true" outlineLevel="0" collapsed="false">
      <c r="A346" s="95" t="n">
        <v>34</v>
      </c>
      <c r="B346" s="116" t="s">
        <v>562</v>
      </c>
      <c r="C346" s="96" t="n">
        <v>416500</v>
      </c>
      <c r="D346" s="123" t="n">
        <f aca="false">413500+3000</f>
        <v>416500</v>
      </c>
      <c r="E346" s="97" t="n">
        <f aca="false">C346-D346</f>
        <v>0</v>
      </c>
      <c r="F346" s="1"/>
    </row>
    <row r="347" customFormat="false" ht="15" hidden="false" customHeight="false" outlineLevel="0" collapsed="false">
      <c r="A347" s="95" t="n">
        <v>35</v>
      </c>
      <c r="B347" s="116" t="s">
        <v>563</v>
      </c>
      <c r="C347" s="96" t="n">
        <v>416500</v>
      </c>
      <c r="D347" s="123"/>
      <c r="E347" s="97" t="n">
        <f aca="false">C347-D347</f>
        <v>416500</v>
      </c>
      <c r="F347" s="1"/>
    </row>
    <row r="348" customFormat="false" ht="15" hidden="false" customHeight="true" outlineLevel="0" collapsed="false">
      <c r="A348" s="95" t="n">
        <v>36</v>
      </c>
      <c r="B348" s="116" t="s">
        <v>564</v>
      </c>
      <c r="C348" s="96" t="n">
        <v>416500</v>
      </c>
      <c r="D348" s="123" t="n">
        <f aca="false">100000+216500+100000</f>
        <v>416500</v>
      </c>
      <c r="E348" s="97" t="n">
        <f aca="false">C348-D348</f>
        <v>0</v>
      </c>
    </row>
    <row r="349" customFormat="false" ht="15" hidden="false" customHeight="false" outlineLevel="0" collapsed="false">
      <c r="A349" s="95" t="n">
        <v>37</v>
      </c>
      <c r="B349" s="116" t="s">
        <v>565</v>
      </c>
      <c r="C349" s="96" t="n">
        <v>416500</v>
      </c>
      <c r="D349" s="123" t="n">
        <f aca="false">100000+100000+216500</f>
        <v>416500</v>
      </c>
      <c r="E349" s="97" t="n">
        <f aca="false">C349-D349</f>
        <v>0</v>
      </c>
      <c r="F349" s="38"/>
      <c r="G349" s="38"/>
    </row>
    <row r="350" customFormat="false" ht="15" hidden="false" customHeight="false" outlineLevel="0" collapsed="false">
      <c r="A350" s="95" t="n">
        <v>38</v>
      </c>
      <c r="B350" s="116" t="s">
        <v>566</v>
      </c>
      <c r="C350" s="96" t="n">
        <v>416500</v>
      </c>
      <c r="D350" s="123" t="n">
        <f aca="false">216500+200000</f>
        <v>416500</v>
      </c>
      <c r="E350" s="97" t="n">
        <f aca="false">C350-D350</f>
        <v>0</v>
      </c>
    </row>
    <row r="351" customFormat="false" ht="15" hidden="false" customHeight="true" outlineLevel="0" collapsed="false">
      <c r="A351" s="95" t="n">
        <v>39</v>
      </c>
      <c r="B351" s="116" t="s">
        <v>567</v>
      </c>
      <c r="C351" s="96" t="n">
        <v>416500</v>
      </c>
      <c r="D351" s="123" t="n">
        <f aca="false">177000</f>
        <v>177000</v>
      </c>
      <c r="E351" s="97" t="n">
        <f aca="false">C351-D351</f>
        <v>239500</v>
      </c>
    </row>
    <row r="352" customFormat="false" ht="15.75" hidden="false" customHeight="true" outlineLevel="0" collapsed="false">
      <c r="A352" s="95" t="n">
        <v>40</v>
      </c>
      <c r="B352" s="116" t="s">
        <v>568</v>
      </c>
      <c r="C352" s="96" t="n">
        <v>416500</v>
      </c>
      <c r="D352" s="123"/>
      <c r="E352" s="97" t="n">
        <f aca="false">C352-D352</f>
        <v>416500</v>
      </c>
    </row>
    <row r="353" customFormat="false" ht="15" hidden="false" customHeight="false" outlineLevel="0" collapsed="false">
      <c r="A353" s="95" t="n">
        <v>41</v>
      </c>
      <c r="B353" s="116" t="s">
        <v>569</v>
      </c>
      <c r="C353" s="96" t="n">
        <v>416500</v>
      </c>
      <c r="D353" s="123" t="n">
        <f aca="false">67000+150000</f>
        <v>217000</v>
      </c>
      <c r="E353" s="97" t="n">
        <f aca="false">C353-D353</f>
        <v>199500</v>
      </c>
    </row>
    <row r="354" customFormat="false" ht="15" hidden="false" customHeight="false" outlineLevel="0" collapsed="false">
      <c r="A354" s="95" t="n">
        <v>42</v>
      </c>
      <c r="B354" s="116" t="s">
        <v>570</v>
      </c>
      <c r="C354" s="96" t="n">
        <v>416500</v>
      </c>
      <c r="D354" s="123" t="n">
        <f aca="false">150000+266500</f>
        <v>416500</v>
      </c>
      <c r="E354" s="97" t="n">
        <f aca="false">C354-D354</f>
        <v>0</v>
      </c>
    </row>
    <row r="355" customFormat="false" ht="15" hidden="false" customHeight="false" outlineLevel="0" collapsed="false">
      <c r="A355" s="95" t="n">
        <v>43</v>
      </c>
      <c r="B355" s="116" t="s">
        <v>571</v>
      </c>
      <c r="C355" s="96" t="n">
        <v>416500</v>
      </c>
      <c r="D355" s="123"/>
      <c r="E355" s="97" t="n">
        <f aca="false">C355-D355</f>
        <v>416500</v>
      </c>
    </row>
    <row r="356" customFormat="false" ht="15" hidden="false" customHeight="false" outlineLevel="0" collapsed="false">
      <c r="A356" s="95" t="n">
        <v>44</v>
      </c>
      <c r="B356" s="116" t="s">
        <v>572</v>
      </c>
      <c r="C356" s="96" t="n">
        <v>416500</v>
      </c>
      <c r="D356" s="123" t="n">
        <f aca="false">108500+175000+133000</f>
        <v>416500</v>
      </c>
      <c r="E356" s="97" t="n">
        <f aca="false">C356-D356</f>
        <v>0</v>
      </c>
    </row>
    <row r="357" customFormat="false" ht="17.35" hidden="false" customHeight="false" outlineLevel="0" collapsed="false">
      <c r="A357" s="112"/>
      <c r="B357" s="100" t="s">
        <v>22</v>
      </c>
      <c r="C357" s="101" t="n">
        <f aca="false">SUM(C313:C356)</f>
        <v>18309500</v>
      </c>
      <c r="D357" s="102" t="n">
        <f aca="false">SUM(D313:D356)</f>
        <v>10404000</v>
      </c>
      <c r="E357" s="103" t="n">
        <f aca="false">SUM(E313:E356)</f>
        <v>7905500</v>
      </c>
    </row>
    <row r="359" customFormat="false" ht="15" hidden="false" customHeight="false" outlineLevel="0" collapsed="false">
      <c r="A359" s="104"/>
    </row>
    <row r="360" customFormat="false" ht="17.35" hidden="false" customHeight="false" outlineLevel="0" collapsed="false">
      <c r="A360" s="108"/>
      <c r="B360" s="2" t="s">
        <v>0</v>
      </c>
    </row>
    <row r="361" customFormat="false" ht="15" hidden="false" customHeight="false" outlineLevel="0" collapsed="false">
      <c r="A361" s="104"/>
    </row>
    <row r="362" customFormat="false" ht="17.35" hidden="false" customHeight="false" outlineLevel="0" collapsed="false">
      <c r="A362" s="104"/>
      <c r="B362" s="91" t="s">
        <v>351</v>
      </c>
    </row>
    <row r="363" customFormat="false" ht="15" hidden="false" customHeight="false" outlineLevel="0" collapsed="false">
      <c r="A363" s="104"/>
      <c r="B363" s="4" t="s">
        <v>493</v>
      </c>
    </row>
    <row r="364" customFormat="false" ht="15" hidden="false" customHeight="false" outlineLevel="0" collapsed="false">
      <c r="A364" s="104"/>
    </row>
    <row r="365" customFormat="false" ht="15" hidden="false" customHeight="false" outlineLevel="0" collapsed="false">
      <c r="A365" s="92" t="s">
        <v>4</v>
      </c>
      <c r="B365" s="93" t="s">
        <v>285</v>
      </c>
      <c r="C365" s="8" t="s">
        <v>6</v>
      </c>
      <c r="D365" s="94" t="s">
        <v>7</v>
      </c>
      <c r="E365" s="10" t="s">
        <v>8</v>
      </c>
    </row>
    <row r="366" customFormat="false" ht="15" hidden="false" customHeight="false" outlineLevel="0" collapsed="false">
      <c r="A366" s="95" t="n">
        <v>1</v>
      </c>
      <c r="B366" s="116" t="s">
        <v>573</v>
      </c>
      <c r="C366" s="96" t="n">
        <v>416500</v>
      </c>
      <c r="D366" s="96"/>
      <c r="E366" s="97" t="n">
        <f aca="false">C366-D366</f>
        <v>416500</v>
      </c>
    </row>
    <row r="367" customFormat="false" ht="15" hidden="false" customHeight="false" outlineLevel="0" collapsed="false">
      <c r="A367" s="95" t="n">
        <v>2</v>
      </c>
      <c r="B367" s="116" t="s">
        <v>574</v>
      </c>
      <c r="C367" s="96" t="n">
        <v>416500</v>
      </c>
      <c r="D367" s="96" t="n">
        <f aca="false">20000+296500+100000</f>
        <v>416500</v>
      </c>
      <c r="E367" s="97" t="n">
        <f aca="false">C367-D367</f>
        <v>0</v>
      </c>
    </row>
    <row r="368" customFormat="false" ht="15" hidden="false" customHeight="false" outlineLevel="0" collapsed="false">
      <c r="A368" s="95" t="n">
        <v>3</v>
      </c>
      <c r="B368" s="116" t="s">
        <v>575</v>
      </c>
      <c r="C368" s="96" t="n">
        <v>416500</v>
      </c>
      <c r="D368" s="96" t="n">
        <v>416500</v>
      </c>
      <c r="E368" s="97" t="n">
        <f aca="false">C368-D368</f>
        <v>0</v>
      </c>
    </row>
    <row r="369" customFormat="false" ht="15" hidden="false" customHeight="false" outlineLevel="0" collapsed="false">
      <c r="A369" s="95" t="n">
        <v>4</v>
      </c>
      <c r="B369" s="116" t="s">
        <v>576</v>
      </c>
      <c r="C369" s="96" t="n">
        <v>416500</v>
      </c>
      <c r="D369" s="96" t="n">
        <v>416500</v>
      </c>
      <c r="E369" s="97" t="n">
        <f aca="false">C369-D369</f>
        <v>0</v>
      </c>
    </row>
    <row r="370" customFormat="false" ht="15" hidden="false" customHeight="false" outlineLevel="0" collapsed="false">
      <c r="A370" s="95" t="n">
        <v>5</v>
      </c>
      <c r="B370" s="116" t="s">
        <v>577</v>
      </c>
      <c r="C370" s="96" t="n">
        <v>416500</v>
      </c>
      <c r="D370" s="96" t="n">
        <f aca="false">7000+410000</f>
        <v>417000</v>
      </c>
      <c r="E370" s="97" t="n">
        <f aca="false">C370-D370</f>
        <v>-500</v>
      </c>
    </row>
    <row r="371" customFormat="false" ht="15" hidden="false" customHeight="false" outlineLevel="0" collapsed="false">
      <c r="A371" s="95" t="n">
        <v>6</v>
      </c>
      <c r="B371" s="116" t="s">
        <v>578</v>
      </c>
      <c r="C371" s="96" t="n">
        <v>416500</v>
      </c>
      <c r="D371" s="96" t="n">
        <f aca="false">16500+250000+150000</f>
        <v>416500</v>
      </c>
      <c r="E371" s="97" t="n">
        <f aca="false">C371-D371</f>
        <v>0</v>
      </c>
      <c r="F371" s="38"/>
    </row>
    <row r="372" customFormat="false" ht="15" hidden="false" customHeight="false" outlineLevel="0" collapsed="false">
      <c r="A372" s="95" t="n">
        <v>7</v>
      </c>
      <c r="B372" s="116" t="s">
        <v>579</v>
      </c>
      <c r="C372" s="96" t="n">
        <v>416500</v>
      </c>
      <c r="D372" s="96" t="n">
        <f aca="false">3500+200000+213000</f>
        <v>416500</v>
      </c>
      <c r="E372" s="97" t="n">
        <f aca="false">C372-D372</f>
        <v>0</v>
      </c>
    </row>
    <row r="373" customFormat="false" ht="15" hidden="false" customHeight="false" outlineLevel="0" collapsed="false">
      <c r="A373" s="95" t="n">
        <v>8</v>
      </c>
      <c r="B373" s="116" t="s">
        <v>580</v>
      </c>
      <c r="C373" s="96" t="n">
        <v>416500</v>
      </c>
      <c r="D373" s="96"/>
      <c r="E373" s="97" t="n">
        <f aca="false">C373-D373</f>
        <v>416500</v>
      </c>
    </row>
    <row r="374" customFormat="false" ht="15" hidden="false" customHeight="false" outlineLevel="0" collapsed="false">
      <c r="A374" s="95" t="n">
        <v>9</v>
      </c>
      <c r="B374" s="116" t="s">
        <v>581</v>
      </c>
      <c r="C374" s="96" t="n">
        <v>416500</v>
      </c>
      <c r="D374" s="96" t="n">
        <f aca="false">250000+166500</f>
        <v>416500</v>
      </c>
      <c r="E374" s="97" t="n">
        <f aca="false">C374-D374</f>
        <v>0</v>
      </c>
    </row>
    <row r="375" customFormat="false" ht="15" hidden="false" customHeight="false" outlineLevel="0" collapsed="false">
      <c r="A375" s="95" t="n">
        <v>10</v>
      </c>
      <c r="B375" s="116" t="s">
        <v>582</v>
      </c>
      <c r="C375" s="96" t="n">
        <v>416500</v>
      </c>
      <c r="D375" s="96"/>
      <c r="E375" s="97" t="n">
        <f aca="false">C375-D375</f>
        <v>416500</v>
      </c>
    </row>
    <row r="376" customFormat="false" ht="15" hidden="false" customHeight="false" outlineLevel="0" collapsed="false">
      <c r="A376" s="95" t="n">
        <v>11</v>
      </c>
      <c r="B376" s="116" t="s">
        <v>583</v>
      </c>
      <c r="C376" s="96" t="n">
        <v>416500</v>
      </c>
      <c r="D376" s="96"/>
      <c r="E376" s="97" t="n">
        <f aca="false">C376-D376</f>
        <v>416500</v>
      </c>
    </row>
    <row r="377" customFormat="false" ht="15" hidden="false" customHeight="false" outlineLevel="0" collapsed="false">
      <c r="A377" s="95" t="n">
        <v>12</v>
      </c>
      <c r="B377" s="116" t="s">
        <v>584</v>
      </c>
      <c r="C377" s="96" t="n">
        <v>416500</v>
      </c>
      <c r="D377" s="96" t="n">
        <v>416500</v>
      </c>
      <c r="E377" s="97" t="n">
        <f aca="false">C377-D377</f>
        <v>0</v>
      </c>
    </row>
    <row r="378" customFormat="false" ht="15" hidden="false" customHeight="false" outlineLevel="0" collapsed="false">
      <c r="A378" s="95" t="n">
        <v>13</v>
      </c>
      <c r="B378" s="73" t="s">
        <v>585</v>
      </c>
      <c r="C378" s="96" t="n">
        <v>416500</v>
      </c>
      <c r="D378" s="96" t="n">
        <f aca="false">100000+25000+55500+50000+25000+25000+56000+55000+25000</f>
        <v>416500</v>
      </c>
      <c r="E378" s="97" t="n">
        <f aca="false">C378-D378</f>
        <v>0</v>
      </c>
    </row>
    <row r="379" customFormat="false" ht="15" hidden="false" customHeight="false" outlineLevel="0" collapsed="false">
      <c r="A379" s="95" t="n">
        <v>14</v>
      </c>
      <c r="B379" s="116" t="s">
        <v>586</v>
      </c>
      <c r="C379" s="96" t="n">
        <v>416500</v>
      </c>
      <c r="D379" s="96"/>
      <c r="E379" s="97" t="n">
        <f aca="false">C379-D379</f>
        <v>416500</v>
      </c>
    </row>
    <row r="380" customFormat="false" ht="15" hidden="false" customHeight="false" outlineLevel="0" collapsed="false">
      <c r="A380" s="95" t="n">
        <v>15</v>
      </c>
      <c r="B380" s="116" t="s">
        <v>587</v>
      </c>
      <c r="C380" s="96" t="n">
        <v>416500</v>
      </c>
      <c r="D380" s="96"/>
      <c r="E380" s="97" t="n">
        <f aca="false">C380-D380</f>
        <v>416500</v>
      </c>
    </row>
    <row r="381" customFormat="false" ht="15" hidden="false" customHeight="true" outlineLevel="0" collapsed="false">
      <c r="A381" s="95" t="n">
        <v>16</v>
      </c>
      <c r="B381" s="116" t="s">
        <v>588</v>
      </c>
      <c r="C381" s="96" t="n">
        <v>416500</v>
      </c>
      <c r="D381" s="96"/>
      <c r="E381" s="97" t="n">
        <f aca="false">C381-D381</f>
        <v>416500</v>
      </c>
    </row>
    <row r="382" customFormat="false" ht="15.75" hidden="false" customHeight="true" outlineLevel="0" collapsed="false">
      <c r="A382" s="95" t="n">
        <v>17</v>
      </c>
      <c r="B382" s="116" t="s">
        <v>589</v>
      </c>
      <c r="C382" s="96" t="n">
        <v>416500</v>
      </c>
      <c r="D382" s="96" t="n">
        <f aca="false">53500+12000+50000+100000+50000+80000+110000+14000</f>
        <v>469500</v>
      </c>
      <c r="E382" s="97" t="n">
        <f aca="false">C382-D382</f>
        <v>-53000</v>
      </c>
    </row>
    <row r="383" customFormat="false" ht="15" hidden="false" customHeight="true" outlineLevel="0" collapsed="false">
      <c r="A383" s="95" t="n">
        <v>18</v>
      </c>
      <c r="B383" s="116" t="s">
        <v>590</v>
      </c>
      <c r="C383" s="96" t="n">
        <v>416500</v>
      </c>
      <c r="D383" s="96"/>
      <c r="E383" s="97" t="n">
        <f aca="false">C383-D383</f>
        <v>416500</v>
      </c>
    </row>
    <row r="384" customFormat="false" ht="15.75" hidden="false" customHeight="true" outlineLevel="0" collapsed="false">
      <c r="A384" s="112"/>
      <c r="B384" s="100" t="s">
        <v>22</v>
      </c>
      <c r="C384" s="101" t="n">
        <f aca="false">SUM(C366:C383)</f>
        <v>7497000</v>
      </c>
      <c r="D384" s="102" t="n">
        <f aca="false">SUM(D366:D383)</f>
        <v>4218500</v>
      </c>
      <c r="E384" s="103" t="n">
        <f aca="false">SUM(E366:E383)</f>
        <v>3278500</v>
      </c>
    </row>
    <row r="385" customFormat="false" ht="15.75" hidden="false" customHeight="true" outlineLevel="0" collapsed="false"/>
    <row r="387" customFormat="false" ht="17.35" hidden="false" customHeight="false" outlineLevel="0" collapsed="false">
      <c r="A387" s="104"/>
      <c r="B387" s="2" t="s">
        <v>0</v>
      </c>
      <c r="C387" s="2"/>
      <c r="D387" s="2"/>
    </row>
    <row r="388" customFormat="false" ht="15" hidden="false" customHeight="false" outlineLevel="0" collapsed="false">
      <c r="A388" s="104"/>
    </row>
    <row r="389" customFormat="false" ht="17.35" hidden="false" customHeight="false" outlineLevel="0" collapsed="false">
      <c r="A389" s="104"/>
      <c r="B389" s="91" t="s">
        <v>283</v>
      </c>
    </row>
    <row r="390" customFormat="false" ht="15" hidden="false" customHeight="false" outlineLevel="0" collapsed="false">
      <c r="A390" s="104"/>
      <c r="B390" s="4" t="s">
        <v>591</v>
      </c>
    </row>
    <row r="391" customFormat="false" ht="15" hidden="false" customHeight="false" outlineLevel="0" collapsed="false">
      <c r="A391" s="104"/>
    </row>
    <row r="392" customFormat="false" ht="15" hidden="false" customHeight="false" outlineLevel="0" collapsed="false">
      <c r="A392" s="92" t="s">
        <v>4</v>
      </c>
      <c r="B392" s="93" t="s">
        <v>285</v>
      </c>
      <c r="C392" s="8" t="s">
        <v>6</v>
      </c>
      <c r="D392" s="94" t="s">
        <v>7</v>
      </c>
      <c r="E392" s="10" t="s">
        <v>8</v>
      </c>
    </row>
    <row r="393" customFormat="false" ht="15" hidden="false" customHeight="false" outlineLevel="0" collapsed="false">
      <c r="A393" s="95" t="n">
        <v>1</v>
      </c>
      <c r="B393" s="116" t="s">
        <v>592</v>
      </c>
      <c r="C393" s="96" t="n">
        <v>416500</v>
      </c>
      <c r="D393" s="96" t="n">
        <f aca="false">200000+100000+116500</f>
        <v>416500</v>
      </c>
      <c r="E393" s="97" t="n">
        <f aca="false">C393-D393</f>
        <v>0</v>
      </c>
    </row>
    <row r="394" customFormat="false" ht="15" hidden="false" customHeight="false" outlineLevel="0" collapsed="false">
      <c r="A394" s="95" t="n">
        <v>2</v>
      </c>
      <c r="B394" s="116" t="s">
        <v>593</v>
      </c>
      <c r="C394" s="96" t="n">
        <v>416500</v>
      </c>
      <c r="D394" s="96" t="n">
        <f aca="false">100000+116500+200000</f>
        <v>416500</v>
      </c>
      <c r="E394" s="97" t="n">
        <f aca="false">C394-D394</f>
        <v>0</v>
      </c>
    </row>
    <row r="395" customFormat="false" ht="15" hidden="false" customHeight="false" outlineLevel="0" collapsed="false">
      <c r="A395" s="95" t="n">
        <v>3</v>
      </c>
      <c r="B395" s="116" t="s">
        <v>594</v>
      </c>
      <c r="C395" s="96" t="n">
        <v>416500</v>
      </c>
      <c r="D395" s="96" t="n">
        <f aca="false">116500+300000</f>
        <v>416500</v>
      </c>
      <c r="E395" s="97" t="n">
        <f aca="false">C395-D395</f>
        <v>0</v>
      </c>
    </row>
    <row r="396" customFormat="false" ht="15" hidden="false" customHeight="false" outlineLevel="0" collapsed="false">
      <c r="A396" s="95" t="n">
        <v>4</v>
      </c>
      <c r="B396" s="116" t="s">
        <v>595</v>
      </c>
      <c r="C396" s="96" t="n">
        <v>416500</v>
      </c>
      <c r="D396" s="96" t="n">
        <f aca="false">200000+100000+116000+500</f>
        <v>416500</v>
      </c>
      <c r="E396" s="97" t="n">
        <f aca="false">C396-D396</f>
        <v>0</v>
      </c>
    </row>
    <row r="397" customFormat="false" ht="15" hidden="false" customHeight="false" outlineLevel="0" collapsed="false">
      <c r="A397" s="95" t="n">
        <v>5</v>
      </c>
      <c r="B397" s="116" t="s">
        <v>596</v>
      </c>
      <c r="C397" s="96" t="n">
        <v>416500</v>
      </c>
      <c r="D397" s="96" t="n">
        <f aca="false">216500+200000</f>
        <v>416500</v>
      </c>
      <c r="E397" s="97" t="n">
        <f aca="false">C397-D397</f>
        <v>0</v>
      </c>
    </row>
    <row r="398" customFormat="false" ht="15" hidden="false" customHeight="false" outlineLevel="0" collapsed="false">
      <c r="A398" s="95" t="n">
        <v>6</v>
      </c>
      <c r="B398" s="116" t="s">
        <v>597</v>
      </c>
      <c r="C398" s="96" t="n">
        <v>416500</v>
      </c>
      <c r="D398" s="96" t="n">
        <f aca="false">210500+206000</f>
        <v>416500</v>
      </c>
      <c r="E398" s="97" t="n">
        <f aca="false">C398-D398</f>
        <v>0</v>
      </c>
    </row>
    <row r="399" customFormat="false" ht="15" hidden="false" customHeight="false" outlineLevel="0" collapsed="false">
      <c r="A399" s="95" t="n">
        <v>7</v>
      </c>
      <c r="B399" s="116" t="s">
        <v>598</v>
      </c>
      <c r="C399" s="96" t="n">
        <v>416500</v>
      </c>
      <c r="D399" s="96" t="n">
        <f aca="false">23500+40000</f>
        <v>63500</v>
      </c>
      <c r="E399" s="97" t="n">
        <f aca="false">C399-D399</f>
        <v>353000</v>
      </c>
    </row>
    <row r="400" customFormat="false" ht="15" hidden="false" customHeight="false" outlineLevel="0" collapsed="false">
      <c r="A400" s="95" t="n">
        <v>8</v>
      </c>
      <c r="B400" s="41" t="s">
        <v>599</v>
      </c>
      <c r="C400" s="96" t="n">
        <v>416500</v>
      </c>
      <c r="D400" s="96" t="n">
        <f aca="false">225000</f>
        <v>225000</v>
      </c>
      <c r="E400" s="96" t="n">
        <f aca="false">+C400-D400</f>
        <v>191500</v>
      </c>
      <c r="F400" s="1"/>
    </row>
    <row r="401" customFormat="false" ht="15" hidden="false" customHeight="false" outlineLevel="0" collapsed="false">
      <c r="A401" s="95" t="n">
        <v>9</v>
      </c>
      <c r="B401" s="116" t="s">
        <v>600</v>
      </c>
      <c r="C401" s="96" t="n">
        <v>416500</v>
      </c>
      <c r="D401" s="96" t="n">
        <f aca="false">215500+201000</f>
        <v>416500</v>
      </c>
      <c r="E401" s="97" t="n">
        <f aca="false">C401-D401</f>
        <v>0</v>
      </c>
    </row>
    <row r="402" customFormat="false" ht="15" hidden="false" customHeight="false" outlineLevel="0" collapsed="false">
      <c r="A402" s="95" t="n">
        <v>10</v>
      </c>
      <c r="B402" s="116" t="s">
        <v>601</v>
      </c>
      <c r="C402" s="96" t="n">
        <v>416500</v>
      </c>
      <c r="D402" s="96" t="n">
        <f aca="false">116500+100000+100000+100000</f>
        <v>416500</v>
      </c>
      <c r="E402" s="97" t="n">
        <f aca="false">C402-D402</f>
        <v>0</v>
      </c>
    </row>
    <row r="403" customFormat="false" ht="15" hidden="false" customHeight="false" outlineLevel="0" collapsed="false">
      <c r="A403" s="95" t="n">
        <v>11</v>
      </c>
      <c r="B403" s="116" t="s">
        <v>602</v>
      </c>
      <c r="C403" s="96" t="n">
        <v>416500</v>
      </c>
      <c r="D403" s="96" t="n">
        <f aca="false">100000+100050+216500</f>
        <v>416550</v>
      </c>
      <c r="E403" s="97" t="n">
        <f aca="false">C403-D403</f>
        <v>-50</v>
      </c>
    </row>
    <row r="404" customFormat="false" ht="15" hidden="false" customHeight="true" outlineLevel="0" collapsed="false">
      <c r="A404" s="95" t="n">
        <v>12</v>
      </c>
      <c r="B404" s="116" t="s">
        <v>603</v>
      </c>
      <c r="C404" s="96" t="n">
        <v>416500</v>
      </c>
      <c r="D404" s="96" t="n">
        <f aca="false">216000+200000+500</f>
        <v>416500</v>
      </c>
      <c r="E404" s="97" t="n">
        <f aca="false">C404-D404</f>
        <v>0</v>
      </c>
    </row>
    <row r="405" customFormat="false" ht="15.75" hidden="false" customHeight="true" outlineLevel="0" collapsed="false">
      <c r="A405" s="95" t="n">
        <v>13</v>
      </c>
      <c r="B405" s="116" t="s">
        <v>604</v>
      </c>
      <c r="C405" s="96" t="n">
        <v>416500</v>
      </c>
      <c r="D405" s="96" t="n">
        <f aca="false">249950+166500</f>
        <v>416450</v>
      </c>
      <c r="E405" s="97" t="n">
        <f aca="false">C405-D405</f>
        <v>50</v>
      </c>
    </row>
    <row r="406" customFormat="false" ht="15" hidden="false" customHeight="false" outlineLevel="0" collapsed="false">
      <c r="A406" s="95" t="n">
        <v>14</v>
      </c>
      <c r="B406" s="116" t="s">
        <v>605</v>
      </c>
      <c r="C406" s="96" t="n">
        <v>416500</v>
      </c>
      <c r="D406" s="96" t="n">
        <f aca="false">216500+200000</f>
        <v>416500</v>
      </c>
      <c r="E406" s="97" t="n">
        <f aca="false">C406-D406</f>
        <v>0</v>
      </c>
    </row>
    <row r="407" customFormat="false" ht="15" hidden="false" customHeight="false" outlineLevel="0" collapsed="false">
      <c r="A407" s="95" t="n">
        <v>15</v>
      </c>
      <c r="B407" s="116" t="s">
        <v>606</v>
      </c>
      <c r="C407" s="96" t="n">
        <v>416500</v>
      </c>
      <c r="D407" s="96" t="n">
        <f aca="false">170000+100000+146500</f>
        <v>416500</v>
      </c>
      <c r="E407" s="97" t="n">
        <f aca="false">C407-D407</f>
        <v>0</v>
      </c>
    </row>
    <row r="408" customFormat="false" ht="15" hidden="false" customHeight="false" outlineLevel="0" collapsed="false">
      <c r="A408" s="95" t="n">
        <v>16</v>
      </c>
      <c r="B408" s="116" t="s">
        <v>607</v>
      </c>
      <c r="C408" s="96" t="n">
        <v>416500</v>
      </c>
      <c r="D408" s="96" t="n">
        <f aca="false">216500+50000+50000+100000</f>
        <v>416500</v>
      </c>
      <c r="E408" s="97" t="n">
        <f aca="false">C408-D408</f>
        <v>0</v>
      </c>
    </row>
    <row r="409" customFormat="false" ht="15" hidden="false" customHeight="false" outlineLevel="0" collapsed="false">
      <c r="A409" s="132" t="n">
        <v>17</v>
      </c>
      <c r="B409" s="133" t="s">
        <v>608</v>
      </c>
      <c r="C409" s="96" t="n">
        <v>416500</v>
      </c>
      <c r="D409" s="96" t="n">
        <f aca="false">216500+200000</f>
        <v>416500</v>
      </c>
      <c r="E409" s="97" t="n">
        <f aca="false">C409-D409</f>
        <v>0</v>
      </c>
    </row>
    <row r="410" customFormat="false" ht="17.35" hidden="false" customHeight="false" outlineLevel="0" collapsed="false">
      <c r="A410" s="116"/>
      <c r="B410" s="134" t="s">
        <v>22</v>
      </c>
      <c r="C410" s="101" t="n">
        <f aca="false">SUM(C393:C409)</f>
        <v>7080500</v>
      </c>
      <c r="D410" s="102" t="n">
        <f aca="false">SUM(D393:D409)</f>
        <v>6536000</v>
      </c>
      <c r="E410" s="103" t="n">
        <f aca="false">SUM(E393:E409)</f>
        <v>544500</v>
      </c>
    </row>
    <row r="412" customFormat="false" ht="15" hidden="false" customHeight="false" outlineLevel="0" collapsed="false">
      <c r="A412" s="104"/>
    </row>
    <row r="413" customFormat="false" ht="17.35" hidden="false" customHeight="false" outlineLevel="0" collapsed="false">
      <c r="A413" s="104"/>
      <c r="B413" s="135" t="s">
        <v>0</v>
      </c>
      <c r="C413" s="135"/>
      <c r="D413" s="135"/>
      <c r="E413" s="135"/>
    </row>
    <row r="414" customFormat="false" ht="15" hidden="false" customHeight="false" outlineLevel="0" collapsed="false">
      <c r="A414" s="104"/>
    </row>
    <row r="415" customFormat="false" ht="17.35" hidden="false" customHeight="false" outlineLevel="0" collapsed="false">
      <c r="A415" s="104"/>
      <c r="B415" s="91" t="s">
        <v>314</v>
      </c>
    </row>
    <row r="416" customFormat="false" ht="15" hidden="false" customHeight="false" outlineLevel="0" collapsed="false">
      <c r="A416" s="104"/>
      <c r="B416" s="4" t="s">
        <v>591</v>
      </c>
    </row>
    <row r="417" customFormat="false" ht="15" hidden="false" customHeight="false" outlineLevel="0" collapsed="false">
      <c r="A417" s="92" t="s">
        <v>4</v>
      </c>
      <c r="B417" s="93" t="s">
        <v>285</v>
      </c>
      <c r="C417" s="8" t="s">
        <v>6</v>
      </c>
      <c r="D417" s="94" t="s">
        <v>7</v>
      </c>
      <c r="E417" s="10" t="s">
        <v>8</v>
      </c>
    </row>
    <row r="418" customFormat="false" ht="15" hidden="false" customHeight="false" outlineLevel="0" collapsed="false">
      <c r="A418" s="95" t="n">
        <v>1</v>
      </c>
      <c r="B418" s="116" t="s">
        <v>609</v>
      </c>
      <c r="C418" s="96" t="n">
        <v>416500</v>
      </c>
      <c r="D418" s="96" t="n">
        <f aca="false">100000+100000+216500</f>
        <v>416500</v>
      </c>
      <c r="E418" s="97" t="n">
        <f aca="false">C418-D418</f>
        <v>0</v>
      </c>
    </row>
    <row r="419" customFormat="false" ht="15" hidden="false" customHeight="false" outlineLevel="0" collapsed="false">
      <c r="A419" s="95" t="n">
        <v>2</v>
      </c>
      <c r="B419" s="116" t="s">
        <v>610</v>
      </c>
      <c r="C419" s="96" t="n">
        <v>416500</v>
      </c>
      <c r="D419" s="96" t="n">
        <f aca="false">116500+100000+50000+120000+30000</f>
        <v>416500</v>
      </c>
      <c r="E419" s="97" t="n">
        <f aca="false">C419-D419</f>
        <v>0</v>
      </c>
    </row>
    <row r="420" customFormat="false" ht="15" hidden="false" customHeight="false" outlineLevel="0" collapsed="false">
      <c r="A420" s="95" t="n">
        <v>3</v>
      </c>
      <c r="B420" s="118" t="s">
        <v>611</v>
      </c>
      <c r="C420" s="96" t="n">
        <v>416500</v>
      </c>
      <c r="D420" s="96" t="n">
        <f aca="false">83000+200000+140000</f>
        <v>423000</v>
      </c>
      <c r="E420" s="136" t="n">
        <f aca="false">C420-D420</f>
        <v>-6500</v>
      </c>
    </row>
    <row r="421" customFormat="false" ht="15" hidden="false" customHeight="false" outlineLevel="0" collapsed="false">
      <c r="A421" s="95" t="n">
        <v>4</v>
      </c>
      <c r="B421" s="116" t="s">
        <v>612</v>
      </c>
      <c r="C421" s="96" t="n">
        <v>416500</v>
      </c>
      <c r="D421" s="96" t="n">
        <f aca="false">116500+300000</f>
        <v>416500</v>
      </c>
      <c r="E421" s="97" t="n">
        <f aca="false">C421-D421</f>
        <v>0</v>
      </c>
    </row>
    <row r="422" customFormat="false" ht="15" hidden="false" customHeight="false" outlineLevel="0" collapsed="false">
      <c r="A422" s="95" t="n">
        <v>5</v>
      </c>
      <c r="B422" s="116" t="s">
        <v>613</v>
      </c>
      <c r="C422" s="96" t="n">
        <v>416500</v>
      </c>
      <c r="D422" s="96" t="n">
        <f aca="false">100000+316500</f>
        <v>416500</v>
      </c>
      <c r="E422" s="97" t="n">
        <f aca="false">C422-D422</f>
        <v>0</v>
      </c>
    </row>
    <row r="423" customFormat="false" ht="15" hidden="false" customHeight="false" outlineLevel="0" collapsed="false">
      <c r="A423" s="95" t="n">
        <v>6</v>
      </c>
      <c r="B423" s="116" t="s">
        <v>614</v>
      </c>
      <c r="C423" s="96" t="n">
        <v>416500</v>
      </c>
      <c r="D423" s="96" t="n">
        <f aca="false">100000+100000+216500</f>
        <v>416500</v>
      </c>
      <c r="E423" s="97" t="n">
        <f aca="false">C423-D423</f>
        <v>0</v>
      </c>
    </row>
    <row r="424" customFormat="false" ht="15" hidden="false" customHeight="false" outlineLevel="0" collapsed="false">
      <c r="A424" s="95" t="n">
        <v>7</v>
      </c>
      <c r="B424" s="116" t="s">
        <v>615</v>
      </c>
      <c r="C424" s="96" t="n">
        <v>416500</v>
      </c>
      <c r="D424" s="96" t="n">
        <f aca="false">210000+90000+116500</f>
        <v>416500</v>
      </c>
      <c r="E424" s="97" t="n">
        <f aca="false">C424-D424</f>
        <v>0</v>
      </c>
    </row>
    <row r="425" customFormat="false" ht="15" hidden="false" customHeight="false" outlineLevel="0" collapsed="false">
      <c r="A425" s="95" t="n">
        <v>8</v>
      </c>
      <c r="B425" s="116" t="s">
        <v>616</v>
      </c>
      <c r="C425" s="96" t="n">
        <v>416550</v>
      </c>
      <c r="D425" s="96" t="n">
        <f aca="false">150000+266500</f>
        <v>416500</v>
      </c>
      <c r="E425" s="97" t="n">
        <v>100</v>
      </c>
      <c r="F425" s="38"/>
      <c r="G425" s="38"/>
    </row>
    <row r="426" customFormat="false" ht="15" hidden="false" customHeight="false" outlineLevel="0" collapsed="false">
      <c r="A426" s="95" t="n">
        <v>9</v>
      </c>
      <c r="B426" s="116" t="s">
        <v>617</v>
      </c>
      <c r="C426" s="96" t="n">
        <v>416500</v>
      </c>
      <c r="D426" s="96" t="n">
        <f aca="false">100000+50000+100000+66500+100000</f>
        <v>416500</v>
      </c>
      <c r="E426" s="97" t="n">
        <f aca="false">C426-D426</f>
        <v>0</v>
      </c>
      <c r="O426" s="1"/>
    </row>
    <row r="427" customFormat="false" ht="15" hidden="false" customHeight="false" outlineLevel="0" collapsed="false">
      <c r="A427" s="95" t="n">
        <v>10</v>
      </c>
      <c r="B427" s="116" t="s">
        <v>618</v>
      </c>
      <c r="C427" s="96" t="n">
        <v>416500</v>
      </c>
      <c r="D427" s="96" t="n">
        <f aca="false">216500+200000</f>
        <v>416500</v>
      </c>
      <c r="E427" s="97" t="n">
        <f aca="false">C427-D427</f>
        <v>0</v>
      </c>
    </row>
    <row r="428" customFormat="false" ht="15" hidden="false" customHeight="true" outlineLevel="0" collapsed="false">
      <c r="A428" s="95" t="n">
        <v>11</v>
      </c>
      <c r="B428" s="116" t="s">
        <v>619</v>
      </c>
      <c r="C428" s="96" t="n">
        <v>416500</v>
      </c>
      <c r="D428" s="96" t="n">
        <f aca="false">416500</f>
        <v>416500</v>
      </c>
      <c r="E428" s="97" t="n">
        <f aca="false">C428-D428</f>
        <v>0</v>
      </c>
    </row>
    <row r="429" customFormat="false" ht="15.75" hidden="false" customHeight="true" outlineLevel="0" collapsed="false">
      <c r="A429" s="95" t="n">
        <v>12</v>
      </c>
      <c r="B429" s="116" t="s">
        <v>620</v>
      </c>
      <c r="C429" s="96" t="n">
        <v>416500</v>
      </c>
      <c r="D429" s="96" t="n">
        <f aca="false">200000+216500</f>
        <v>416500</v>
      </c>
      <c r="E429" s="97" t="n">
        <f aca="false">C429-D429</f>
        <v>0</v>
      </c>
    </row>
    <row r="430" customFormat="false" ht="15.75" hidden="false" customHeight="true" outlineLevel="0" collapsed="false">
      <c r="A430" s="95" t="n">
        <v>13</v>
      </c>
      <c r="B430" s="116" t="s">
        <v>621</v>
      </c>
      <c r="C430" s="96" t="n">
        <v>416500</v>
      </c>
      <c r="D430" s="96" t="n">
        <f aca="false">100000+50000+70000+50000+30000+116500</f>
        <v>416500</v>
      </c>
      <c r="E430" s="97" t="n">
        <f aca="false">C430-D430</f>
        <v>0</v>
      </c>
    </row>
    <row r="431" customFormat="false" ht="16.5" hidden="false" customHeight="true" outlineLevel="0" collapsed="false">
      <c r="A431" s="112"/>
      <c r="B431" s="120" t="s">
        <v>22</v>
      </c>
      <c r="C431" s="101" t="n">
        <f aca="false">SUM(C418:C430)</f>
        <v>5414550</v>
      </c>
      <c r="D431" s="102" t="n">
        <f aca="false">SUM(D418:D430)</f>
        <v>5421000</v>
      </c>
      <c r="E431" s="103" t="n">
        <f aca="false">SUM(E418:E430)</f>
        <v>-6400</v>
      </c>
    </row>
    <row r="432" customFormat="false" ht="17.25" hidden="false" customHeight="true" outlineLevel="0" collapsed="false">
      <c r="A432" s="104"/>
    </row>
    <row r="433" customFormat="false" ht="17.35" hidden="false" customHeight="false" outlineLevel="0" collapsed="false">
      <c r="A433" s="108"/>
    </row>
    <row r="434" customFormat="false" ht="17.35" hidden="false" customHeight="false" outlineLevel="0" collapsed="false">
      <c r="A434" s="104"/>
      <c r="B434" s="2" t="s">
        <v>0</v>
      </c>
    </row>
    <row r="435" customFormat="false" ht="15" hidden="false" customHeight="false" outlineLevel="0" collapsed="false">
      <c r="A435" s="104"/>
    </row>
    <row r="436" customFormat="false" ht="17.35" hidden="false" customHeight="false" outlineLevel="0" collapsed="false">
      <c r="A436" s="104"/>
      <c r="B436" s="91" t="s">
        <v>622</v>
      </c>
    </row>
    <row r="437" customFormat="false" ht="15" hidden="false" customHeight="false" outlineLevel="0" collapsed="false">
      <c r="A437" s="104"/>
      <c r="B437" s="4" t="s">
        <v>623</v>
      </c>
    </row>
    <row r="438" customFormat="false" ht="15" hidden="false" customHeight="false" outlineLevel="0" collapsed="false">
      <c r="A438" s="92" t="s">
        <v>4</v>
      </c>
      <c r="B438" s="93" t="s">
        <v>285</v>
      </c>
      <c r="C438" s="8" t="s">
        <v>6</v>
      </c>
      <c r="D438" s="94" t="s">
        <v>7</v>
      </c>
      <c r="E438" s="10" t="s">
        <v>8</v>
      </c>
    </row>
    <row r="439" customFormat="false" ht="15" hidden="false" customHeight="false" outlineLevel="0" collapsed="false">
      <c r="A439" s="95" t="n">
        <v>1</v>
      </c>
      <c r="B439" s="72" t="s">
        <v>624</v>
      </c>
      <c r="C439" s="96" t="n">
        <v>416500</v>
      </c>
      <c r="D439" s="96" t="n">
        <f aca="false">220000+196500</f>
        <v>416500</v>
      </c>
      <c r="E439" s="97" t="n">
        <f aca="false">C439-D439</f>
        <v>0</v>
      </c>
    </row>
    <row r="440" customFormat="false" ht="15" hidden="false" customHeight="false" outlineLevel="0" collapsed="false">
      <c r="A440" s="95" t="n">
        <v>2</v>
      </c>
      <c r="B440" s="72" t="s">
        <v>625</v>
      </c>
      <c r="C440" s="130" t="s">
        <v>349</v>
      </c>
      <c r="D440" s="130"/>
      <c r="E440" s="131" t="s">
        <v>349</v>
      </c>
      <c r="F440" s="1"/>
    </row>
    <row r="441" customFormat="false" ht="15" hidden="false" customHeight="false" outlineLevel="0" collapsed="false">
      <c r="A441" s="95" t="n">
        <v>3</v>
      </c>
      <c r="B441" s="137" t="s">
        <v>626</v>
      </c>
      <c r="C441" s="96" t="n">
        <v>416500</v>
      </c>
      <c r="D441" s="96"/>
      <c r="E441" s="97" t="n">
        <f aca="false">C441-D441</f>
        <v>416500</v>
      </c>
    </row>
    <row r="442" customFormat="false" ht="15" hidden="false" customHeight="false" outlineLevel="0" collapsed="false">
      <c r="A442" s="95" t="n">
        <v>4</v>
      </c>
      <c r="B442" s="72" t="s">
        <v>627</v>
      </c>
      <c r="C442" s="96" t="n">
        <v>416500</v>
      </c>
      <c r="D442" s="96" t="n">
        <f aca="false">210000+206500</f>
        <v>416500</v>
      </c>
      <c r="E442" s="97" t="n">
        <f aca="false">C442-D442</f>
        <v>0</v>
      </c>
    </row>
    <row r="443" customFormat="false" ht="15" hidden="false" customHeight="false" outlineLevel="0" collapsed="false">
      <c r="A443" s="95" t="n">
        <v>5</v>
      </c>
      <c r="B443" s="137" t="s">
        <v>628</v>
      </c>
      <c r="C443" s="96" t="n">
        <v>416500</v>
      </c>
      <c r="D443" s="96"/>
      <c r="E443" s="97" t="n">
        <f aca="false">C443-D443</f>
        <v>416500</v>
      </c>
    </row>
    <row r="444" customFormat="false" ht="15" hidden="false" customHeight="false" outlineLevel="0" collapsed="false">
      <c r="A444" s="95" t="n">
        <v>6</v>
      </c>
      <c r="B444" s="72" t="s">
        <v>629</v>
      </c>
      <c r="C444" s="96" t="n">
        <v>416500</v>
      </c>
      <c r="D444" s="96" t="n">
        <f aca="false">414500+2000</f>
        <v>416500</v>
      </c>
      <c r="E444" s="97" t="n">
        <f aca="false">C444-D444</f>
        <v>0</v>
      </c>
    </row>
    <row r="445" customFormat="false" ht="15" hidden="false" customHeight="false" outlineLevel="0" collapsed="false">
      <c r="A445" s="95" t="n">
        <v>7</v>
      </c>
      <c r="B445" s="72" t="s">
        <v>630</v>
      </c>
      <c r="C445" s="96" t="n">
        <v>416500</v>
      </c>
      <c r="D445" s="96" t="n">
        <f aca="false">100000+316000+500</f>
        <v>416500</v>
      </c>
      <c r="E445" s="97" t="n">
        <f aca="false">C445-D445</f>
        <v>0</v>
      </c>
    </row>
    <row r="446" customFormat="false" ht="15" hidden="false" customHeight="false" outlineLevel="0" collapsed="false">
      <c r="A446" s="95" t="n">
        <v>8</v>
      </c>
      <c r="B446" s="72" t="s">
        <v>631</v>
      </c>
      <c r="C446" s="130" t="s">
        <v>349</v>
      </c>
      <c r="D446" s="130"/>
      <c r="E446" s="131" t="s">
        <v>349</v>
      </c>
      <c r="F446" s="1"/>
    </row>
    <row r="447" customFormat="false" ht="15" hidden="false" customHeight="false" outlineLevel="0" collapsed="false">
      <c r="A447" s="95" t="n">
        <v>9</v>
      </c>
      <c r="B447" s="72" t="s">
        <v>632</v>
      </c>
      <c r="C447" s="96" t="n">
        <v>416500</v>
      </c>
      <c r="D447" s="96" t="n">
        <f aca="false">200000+216000+500</f>
        <v>416500</v>
      </c>
      <c r="E447" s="97" t="n">
        <f aca="false">C447-D447</f>
        <v>0</v>
      </c>
    </row>
    <row r="448" customFormat="false" ht="15" hidden="false" customHeight="false" outlineLevel="0" collapsed="false">
      <c r="A448" s="95" t="n">
        <v>10</v>
      </c>
      <c r="B448" s="137" t="s">
        <v>633</v>
      </c>
      <c r="C448" s="130" t="s">
        <v>349</v>
      </c>
      <c r="D448" s="130"/>
      <c r="E448" s="131" t="s">
        <v>349</v>
      </c>
      <c r="F448" s="1"/>
    </row>
    <row r="449" customFormat="false" ht="15" hidden="false" customHeight="false" outlineLevel="0" collapsed="false">
      <c r="A449" s="95" t="n">
        <v>11</v>
      </c>
      <c r="B449" s="137" t="s">
        <v>634</v>
      </c>
      <c r="C449" s="130" t="s">
        <v>349</v>
      </c>
      <c r="D449" s="130"/>
      <c r="E449" s="131" t="s">
        <v>349</v>
      </c>
      <c r="F449" s="1"/>
    </row>
    <row r="450" customFormat="false" ht="15" hidden="false" customHeight="false" outlineLevel="0" collapsed="false">
      <c r="A450" s="95" t="n">
        <v>12</v>
      </c>
      <c r="B450" s="72" t="s">
        <v>635</v>
      </c>
      <c r="C450" s="96" t="n">
        <v>416500</v>
      </c>
      <c r="D450" s="96" t="n">
        <f aca="false">216500+200000</f>
        <v>416500</v>
      </c>
      <c r="E450" s="97" t="n">
        <f aca="false">C450-D450</f>
        <v>0</v>
      </c>
    </row>
    <row r="451" customFormat="false" ht="15" hidden="false" customHeight="true" outlineLevel="0" collapsed="false">
      <c r="A451" s="95" t="n">
        <v>13</v>
      </c>
      <c r="B451" s="72" t="s">
        <v>636</v>
      </c>
      <c r="C451" s="96" t="n">
        <v>416500</v>
      </c>
      <c r="D451" s="96" t="n">
        <f aca="false">250000+150000</f>
        <v>400000</v>
      </c>
      <c r="E451" s="97" t="n">
        <f aca="false">C451-D451</f>
        <v>16500</v>
      </c>
    </row>
    <row r="452" customFormat="false" ht="15.75" hidden="false" customHeight="true" outlineLevel="0" collapsed="false">
      <c r="A452" s="95" t="n">
        <v>14</v>
      </c>
      <c r="B452" s="72" t="s">
        <v>637</v>
      </c>
      <c r="C452" s="96" t="n">
        <v>416500</v>
      </c>
      <c r="D452" s="96" t="n">
        <f aca="false">50000+366500</f>
        <v>416500</v>
      </c>
      <c r="E452" s="97" t="n">
        <f aca="false">C452-D452</f>
        <v>0</v>
      </c>
    </row>
    <row r="453" customFormat="false" ht="15.75" hidden="false" customHeight="true" outlineLevel="0" collapsed="false">
      <c r="A453" s="112"/>
      <c r="B453" s="100" t="s">
        <v>22</v>
      </c>
      <c r="C453" s="101" t="n">
        <f aca="false">SUM(C439:C452)</f>
        <v>4165000</v>
      </c>
      <c r="D453" s="102" t="n">
        <f aca="false">SUM(D439:D452)</f>
        <v>3315500</v>
      </c>
      <c r="E453" s="103" t="n">
        <f aca="false">SUM(E439:E452)</f>
        <v>849500</v>
      </c>
    </row>
    <row r="454" customFormat="false" ht="15.75" hidden="false" customHeight="true" outlineLevel="0" collapsed="false"/>
    <row r="455" customFormat="false" ht="17.35" hidden="false" customHeight="false" outlineLevel="0" collapsed="false">
      <c r="A455" s="108"/>
    </row>
    <row r="456" customFormat="false" ht="17.35" hidden="false" customHeight="false" outlineLevel="0" collapsed="false">
      <c r="A456" s="104"/>
      <c r="B456" s="2" t="s">
        <v>0</v>
      </c>
    </row>
    <row r="457" customFormat="false" ht="15" hidden="false" customHeight="false" outlineLevel="0" collapsed="false">
      <c r="A457" s="104"/>
    </row>
    <row r="458" customFormat="false" ht="17.35" hidden="false" customHeight="false" outlineLevel="0" collapsed="false">
      <c r="A458" s="104"/>
      <c r="B458" s="91" t="s">
        <v>638</v>
      </c>
    </row>
    <row r="459" customFormat="false" ht="15" hidden="false" customHeight="false" outlineLevel="0" collapsed="false">
      <c r="A459" s="104"/>
      <c r="B459" s="4" t="s">
        <v>623</v>
      </c>
    </row>
    <row r="460" customFormat="false" ht="15" hidden="false" customHeight="false" outlineLevel="0" collapsed="false">
      <c r="A460" s="92" t="s">
        <v>4</v>
      </c>
      <c r="B460" s="93" t="s">
        <v>285</v>
      </c>
      <c r="C460" s="8" t="s">
        <v>6</v>
      </c>
      <c r="D460" s="94" t="s">
        <v>7</v>
      </c>
      <c r="E460" s="10" t="s">
        <v>8</v>
      </c>
    </row>
    <row r="461" customFormat="false" ht="15" hidden="false" customHeight="false" outlineLevel="0" collapsed="false">
      <c r="A461" s="138" t="n">
        <v>1</v>
      </c>
      <c r="B461" s="139" t="s">
        <v>639</v>
      </c>
      <c r="C461" s="130" t="s">
        <v>349</v>
      </c>
      <c r="D461" s="96"/>
      <c r="E461" s="131" t="s">
        <v>349</v>
      </c>
    </row>
    <row r="462" customFormat="false" ht="15" hidden="false" customHeight="false" outlineLevel="0" collapsed="false">
      <c r="A462" s="95" t="n">
        <v>2</v>
      </c>
      <c r="B462" s="73" t="s">
        <v>640</v>
      </c>
      <c r="C462" s="96" t="n">
        <v>416550</v>
      </c>
      <c r="D462" s="96" t="n">
        <f aca="false">216500+200000</f>
        <v>416500</v>
      </c>
      <c r="E462" s="97" t="n">
        <f aca="false">C462-D462</f>
        <v>50</v>
      </c>
      <c r="F462" s="38"/>
    </row>
    <row r="463" customFormat="false" ht="15" hidden="false" customHeight="false" outlineLevel="0" collapsed="false">
      <c r="A463" s="95" t="n">
        <v>3</v>
      </c>
      <c r="B463" s="73" t="s">
        <v>641</v>
      </c>
      <c r="C463" s="96" t="n">
        <v>416500</v>
      </c>
      <c r="D463" s="96" t="n">
        <f aca="false">126500+290000</f>
        <v>416500</v>
      </c>
      <c r="E463" s="97" t="n">
        <f aca="false">C463-D463</f>
        <v>0</v>
      </c>
    </row>
    <row r="464" customFormat="false" ht="15" hidden="false" customHeight="false" outlineLevel="0" collapsed="false">
      <c r="A464" s="95" t="n">
        <v>4</v>
      </c>
      <c r="B464" s="73" t="s">
        <v>642</v>
      </c>
      <c r="C464" s="96" t="n">
        <v>416500</v>
      </c>
      <c r="D464" s="96" t="n">
        <f aca="false">50000+50000</f>
        <v>100000</v>
      </c>
      <c r="E464" s="97" t="n">
        <f aca="false">C464-D464</f>
        <v>316500</v>
      </c>
    </row>
    <row r="465" customFormat="false" ht="15" hidden="false" customHeight="false" outlineLevel="0" collapsed="false">
      <c r="A465" s="95" t="n">
        <v>5</v>
      </c>
      <c r="B465" s="73" t="s">
        <v>643</v>
      </c>
      <c r="C465" s="96" t="n">
        <v>416500</v>
      </c>
      <c r="D465" s="96" t="n">
        <f aca="false">200000</f>
        <v>200000</v>
      </c>
      <c r="E465" s="97" t="n">
        <f aca="false">C465-D465</f>
        <v>216500</v>
      </c>
    </row>
    <row r="466" customFormat="false" ht="15" hidden="false" customHeight="false" outlineLevel="0" collapsed="false">
      <c r="A466" s="95" t="n">
        <v>6</v>
      </c>
      <c r="B466" s="73" t="s">
        <v>644</v>
      </c>
      <c r="C466" s="96" t="n">
        <v>416500</v>
      </c>
      <c r="D466" s="96" t="n">
        <f aca="false">300000+116500</f>
        <v>416500</v>
      </c>
      <c r="E466" s="97" t="n">
        <f aca="false">C466-D466</f>
        <v>0</v>
      </c>
    </row>
    <row r="467" customFormat="false" ht="15" hidden="false" customHeight="false" outlineLevel="0" collapsed="false">
      <c r="A467" s="95" t="n">
        <v>7</v>
      </c>
      <c r="B467" s="73" t="s">
        <v>645</v>
      </c>
      <c r="C467" s="96" t="n">
        <v>416500</v>
      </c>
      <c r="D467" s="96"/>
      <c r="E467" s="97" t="n">
        <f aca="false">C467-D467</f>
        <v>416500</v>
      </c>
    </row>
    <row r="468" customFormat="false" ht="15" hidden="false" customHeight="false" outlineLevel="0" collapsed="false">
      <c r="A468" s="95" t="n">
        <v>8</v>
      </c>
      <c r="B468" s="73" t="s">
        <v>646</v>
      </c>
      <c r="C468" s="96" t="n">
        <v>416500</v>
      </c>
      <c r="D468" s="96" t="n">
        <f aca="false">50000+366500</f>
        <v>416500</v>
      </c>
      <c r="E468" s="97" t="n">
        <f aca="false">C468-D468</f>
        <v>0</v>
      </c>
      <c r="F468" s="38"/>
    </row>
    <row r="469" customFormat="false" ht="15" hidden="false" customHeight="false" outlineLevel="0" collapsed="false">
      <c r="A469" s="95" t="n">
        <v>9</v>
      </c>
      <c r="B469" s="140" t="s">
        <v>647</v>
      </c>
      <c r="C469" s="96" t="n">
        <v>416500</v>
      </c>
      <c r="D469" s="96" t="n">
        <f aca="false">200000+100000+116500</f>
        <v>416500</v>
      </c>
      <c r="E469" s="97" t="n">
        <f aca="false">C469-D469</f>
        <v>0</v>
      </c>
    </row>
    <row r="470" customFormat="false" ht="15" hidden="false" customHeight="false" outlineLevel="0" collapsed="false">
      <c r="A470" s="95" t="n">
        <v>10</v>
      </c>
      <c r="B470" s="99" t="s">
        <v>648</v>
      </c>
      <c r="C470" s="96" t="n">
        <v>416500</v>
      </c>
      <c r="D470" s="96"/>
      <c r="E470" s="97" t="n">
        <f aca="false">C470-D470</f>
        <v>416500</v>
      </c>
    </row>
    <row r="471" customFormat="false" ht="15" hidden="false" customHeight="false" outlineLevel="0" collapsed="false">
      <c r="A471" s="95" t="n">
        <v>11</v>
      </c>
      <c r="B471" s="73" t="s">
        <v>649</v>
      </c>
      <c r="C471" s="96" t="n">
        <v>416500</v>
      </c>
      <c r="D471" s="96" t="n">
        <f aca="false">200000+216500</f>
        <v>416500</v>
      </c>
      <c r="E471" s="97" t="n">
        <f aca="false">C471-D471</f>
        <v>0</v>
      </c>
    </row>
    <row r="472" customFormat="false" ht="15" hidden="false" customHeight="false" outlineLevel="0" collapsed="false">
      <c r="A472" s="95" t="n">
        <v>12</v>
      </c>
      <c r="B472" s="73" t="s">
        <v>650</v>
      </c>
      <c r="C472" s="96" t="n">
        <v>416500</v>
      </c>
      <c r="D472" s="96" t="n">
        <f aca="false">18500+398000</f>
        <v>416500</v>
      </c>
      <c r="E472" s="97" t="n">
        <f aca="false">C472-D472</f>
        <v>0</v>
      </c>
    </row>
    <row r="473" customFormat="false" ht="19.7" hidden="false" customHeight="false" outlineLevel="0" collapsed="false">
      <c r="A473" s="112"/>
      <c r="B473" s="141" t="s">
        <v>22</v>
      </c>
      <c r="C473" s="101" t="n">
        <f aca="false">SUM(C462:C472)</f>
        <v>4581550</v>
      </c>
      <c r="D473" s="102" t="n">
        <f aca="false">SUM(D462:D472)</f>
        <v>3215500</v>
      </c>
      <c r="E473" s="103" t="n">
        <f aca="false">SUM(E462:E472)</f>
        <v>1366050</v>
      </c>
    </row>
    <row r="475" customFormat="false" ht="16.5" hidden="false" customHeight="true" outlineLevel="0" collapsed="false">
      <c r="A475" s="108"/>
    </row>
    <row r="476" customFormat="false" ht="17.35" hidden="false" customHeight="false" outlineLevel="0" collapsed="false">
      <c r="A476" s="104"/>
      <c r="B476" s="2" t="s">
        <v>0</v>
      </c>
    </row>
    <row r="477" customFormat="false" ht="15" hidden="false" customHeight="false" outlineLevel="0" collapsed="false">
      <c r="A477" s="104"/>
    </row>
    <row r="478" customFormat="false" ht="17.35" hidden="false" customHeight="false" outlineLevel="0" collapsed="false">
      <c r="A478" s="104"/>
      <c r="B478" s="91" t="s">
        <v>651</v>
      </c>
    </row>
    <row r="479" customFormat="false" ht="15" hidden="false" customHeight="false" outlineLevel="0" collapsed="false">
      <c r="A479" s="104"/>
      <c r="B479" s="4" t="s">
        <v>623</v>
      </c>
    </row>
    <row r="480" customFormat="false" ht="15" hidden="false" customHeight="false" outlineLevel="0" collapsed="false">
      <c r="A480" s="92" t="s">
        <v>4</v>
      </c>
      <c r="B480" s="93" t="s">
        <v>285</v>
      </c>
      <c r="C480" s="8" t="s">
        <v>6</v>
      </c>
      <c r="D480" s="94" t="s">
        <v>7</v>
      </c>
      <c r="E480" s="10" t="s">
        <v>8</v>
      </c>
    </row>
    <row r="481" customFormat="false" ht="15" hidden="false" customHeight="false" outlineLevel="0" collapsed="false">
      <c r="A481" s="95" t="n">
        <v>1</v>
      </c>
      <c r="B481" s="58" t="s">
        <v>652</v>
      </c>
      <c r="C481" s="96" t="n">
        <v>416500</v>
      </c>
      <c r="D481" s="96" t="n">
        <f aca="false">416500</f>
        <v>416500</v>
      </c>
      <c r="E481" s="97" t="n">
        <f aca="false">C481-D481</f>
        <v>0</v>
      </c>
    </row>
    <row r="482" customFormat="false" ht="15" hidden="false" customHeight="false" outlineLevel="0" collapsed="false">
      <c r="A482" s="95" t="n">
        <v>2</v>
      </c>
      <c r="B482" s="116" t="s">
        <v>653</v>
      </c>
      <c r="C482" s="96" t="n">
        <v>416500</v>
      </c>
      <c r="D482" s="96" t="n">
        <v>416500</v>
      </c>
      <c r="E482" s="97" t="n">
        <f aca="false">C482-D482</f>
        <v>0</v>
      </c>
    </row>
    <row r="483" customFormat="false" ht="15" hidden="false" customHeight="false" outlineLevel="0" collapsed="false">
      <c r="A483" s="95" t="n">
        <v>3</v>
      </c>
      <c r="B483" s="116" t="s">
        <v>654</v>
      </c>
      <c r="C483" s="96" t="n">
        <v>416500</v>
      </c>
      <c r="D483" s="96" t="n">
        <f aca="false">100000+100000+100000+116500</f>
        <v>416500</v>
      </c>
      <c r="E483" s="97" t="n">
        <f aca="false">C483-D483</f>
        <v>0</v>
      </c>
    </row>
    <row r="484" customFormat="false" ht="15" hidden="false" customHeight="false" outlineLevel="0" collapsed="false">
      <c r="A484" s="95" t="n">
        <v>4</v>
      </c>
      <c r="B484" s="116" t="s">
        <v>655</v>
      </c>
      <c r="C484" s="96" t="n">
        <v>416500</v>
      </c>
      <c r="D484" s="96" t="n">
        <v>416500</v>
      </c>
      <c r="E484" s="97" t="n">
        <f aca="false">C484-D484</f>
        <v>0</v>
      </c>
    </row>
    <row r="485" customFormat="false" ht="15" hidden="false" customHeight="false" outlineLevel="0" collapsed="false">
      <c r="A485" s="95" t="n">
        <v>5</v>
      </c>
      <c r="B485" s="116" t="s">
        <v>656</v>
      </c>
      <c r="C485" s="96" t="n">
        <v>416500</v>
      </c>
      <c r="D485" s="96" t="n">
        <f aca="false">216500+200000</f>
        <v>416500</v>
      </c>
      <c r="E485" s="97" t="n">
        <f aca="false">C485-D485</f>
        <v>0</v>
      </c>
    </row>
    <row r="486" customFormat="false" ht="15" hidden="false" customHeight="false" outlineLevel="0" collapsed="false">
      <c r="A486" s="95" t="n">
        <v>6</v>
      </c>
      <c r="B486" s="116" t="s">
        <v>657</v>
      </c>
      <c r="C486" s="96" t="n">
        <v>416500</v>
      </c>
      <c r="D486" s="96" t="n">
        <f aca="false">150000+66500+200000</f>
        <v>416500</v>
      </c>
      <c r="E486" s="97" t="n">
        <f aca="false">C486-D486</f>
        <v>0</v>
      </c>
    </row>
    <row r="487" customFormat="false" ht="15" hidden="false" customHeight="false" outlineLevel="0" collapsed="false">
      <c r="A487" s="95" t="n">
        <v>7</v>
      </c>
      <c r="B487" s="116" t="s">
        <v>658</v>
      </c>
      <c r="C487" s="96" t="n">
        <v>416500</v>
      </c>
      <c r="D487" s="96" t="n">
        <f aca="false">210000+160000+46500</f>
        <v>416500</v>
      </c>
      <c r="E487" s="97" t="n">
        <f aca="false">C487-D487</f>
        <v>0</v>
      </c>
    </row>
    <row r="488" customFormat="false" ht="15" hidden="false" customHeight="false" outlineLevel="0" collapsed="false">
      <c r="A488" s="95" t="n">
        <v>8</v>
      </c>
      <c r="B488" s="116" t="s">
        <v>659</v>
      </c>
      <c r="C488" s="96" t="n">
        <v>416500</v>
      </c>
      <c r="D488" s="96" t="n">
        <f aca="false">116500+250000+50000</f>
        <v>416500</v>
      </c>
      <c r="E488" s="97" t="n">
        <f aca="false">C488-D488</f>
        <v>0</v>
      </c>
    </row>
    <row r="489" customFormat="false" ht="15" hidden="false" customHeight="false" outlineLevel="0" collapsed="false">
      <c r="A489" s="95" t="n">
        <v>9</v>
      </c>
      <c r="B489" s="116" t="s">
        <v>660</v>
      </c>
      <c r="C489" s="96" t="n">
        <v>416500</v>
      </c>
      <c r="D489" s="96" t="n">
        <v>416500</v>
      </c>
      <c r="E489" s="97" t="n">
        <f aca="false">C489-D489</f>
        <v>0</v>
      </c>
    </row>
    <row r="490" customFormat="false" ht="15" hidden="false" customHeight="false" outlineLevel="0" collapsed="false">
      <c r="A490" s="95" t="n">
        <v>10</v>
      </c>
      <c r="B490" s="116" t="s">
        <v>661</v>
      </c>
      <c r="C490" s="96" t="n">
        <v>416500</v>
      </c>
      <c r="D490" s="96" t="n">
        <v>416500</v>
      </c>
      <c r="E490" s="97" t="n">
        <f aca="false">C490-D490</f>
        <v>0</v>
      </c>
    </row>
    <row r="491" customFormat="false" ht="15" hidden="false" customHeight="false" outlineLevel="0" collapsed="false">
      <c r="A491" s="95" t="n">
        <v>11</v>
      </c>
      <c r="B491" s="116" t="s">
        <v>662</v>
      </c>
      <c r="C491" s="96" t="n">
        <v>416500</v>
      </c>
      <c r="D491" s="96"/>
      <c r="E491" s="97" t="n">
        <f aca="false">C491-D491</f>
        <v>416500</v>
      </c>
    </row>
    <row r="492" customFormat="false" ht="15" hidden="false" customHeight="false" outlineLevel="0" collapsed="false">
      <c r="A492" s="95" t="n">
        <v>12</v>
      </c>
      <c r="B492" s="116" t="s">
        <v>663</v>
      </c>
      <c r="C492" s="96" t="n">
        <v>416500</v>
      </c>
      <c r="D492" s="96" t="n">
        <v>416500</v>
      </c>
      <c r="E492" s="97" t="n">
        <f aca="false">C492-D492</f>
        <v>0</v>
      </c>
    </row>
    <row r="493" customFormat="false" ht="15" hidden="false" customHeight="false" outlineLevel="0" collapsed="false">
      <c r="A493" s="95" t="n">
        <v>13</v>
      </c>
      <c r="B493" s="116" t="s">
        <v>664</v>
      </c>
      <c r="C493" s="96" t="n">
        <v>416500</v>
      </c>
      <c r="D493" s="96" t="n">
        <f aca="false">216500+200000</f>
        <v>416500</v>
      </c>
      <c r="E493" s="97" t="n">
        <f aca="false">C493-D493</f>
        <v>0</v>
      </c>
    </row>
    <row r="494" customFormat="false" ht="15" hidden="false" customHeight="false" outlineLevel="0" collapsed="false">
      <c r="A494" s="95" t="n">
        <v>14</v>
      </c>
      <c r="B494" s="116" t="s">
        <v>665</v>
      </c>
      <c r="C494" s="96" t="n">
        <v>416500</v>
      </c>
      <c r="D494" s="96" t="n">
        <v>416500</v>
      </c>
      <c r="E494" s="97" t="n">
        <f aca="false">C494-D494</f>
        <v>0</v>
      </c>
    </row>
    <row r="495" customFormat="false" ht="15" hidden="false" customHeight="false" outlineLevel="0" collapsed="false">
      <c r="A495" s="95" t="n">
        <v>15</v>
      </c>
      <c r="B495" s="116" t="s">
        <v>666</v>
      </c>
      <c r="C495" s="96" t="n">
        <v>416500</v>
      </c>
      <c r="D495" s="96" t="n">
        <v>416500</v>
      </c>
      <c r="E495" s="97" t="n">
        <f aca="false">C495-D495</f>
        <v>0</v>
      </c>
    </row>
    <row r="496" customFormat="false" ht="15" hidden="false" customHeight="false" outlineLevel="0" collapsed="false">
      <c r="A496" s="95" t="n">
        <v>16</v>
      </c>
      <c r="B496" s="116" t="s">
        <v>667</v>
      </c>
      <c r="C496" s="96" t="n">
        <v>416500</v>
      </c>
      <c r="D496" s="96"/>
      <c r="E496" s="97" t="n">
        <f aca="false">C496-D496</f>
        <v>416500</v>
      </c>
    </row>
    <row r="497" customFormat="false" ht="15" hidden="false" customHeight="false" outlineLevel="0" collapsed="false">
      <c r="A497" s="95" t="n">
        <v>17</v>
      </c>
      <c r="B497" s="116" t="s">
        <v>668</v>
      </c>
      <c r="C497" s="96" t="n">
        <v>416500</v>
      </c>
      <c r="D497" s="96" t="n">
        <f aca="false">226500+190000</f>
        <v>416500</v>
      </c>
      <c r="E497" s="97" t="n">
        <f aca="false">C497-D497</f>
        <v>0</v>
      </c>
    </row>
    <row r="498" customFormat="false" ht="15" hidden="false" customHeight="false" outlineLevel="0" collapsed="false">
      <c r="A498" s="95" t="n">
        <v>18</v>
      </c>
      <c r="B498" s="116" t="s">
        <v>669</v>
      </c>
      <c r="C498" s="96" t="n">
        <v>416500</v>
      </c>
      <c r="D498" s="96" t="n">
        <f aca="false">166500+250000</f>
        <v>416500</v>
      </c>
      <c r="E498" s="97" t="n">
        <f aca="false">C498-D498</f>
        <v>0</v>
      </c>
    </row>
    <row r="499" customFormat="false" ht="17.35" hidden="false" customHeight="false" outlineLevel="0" collapsed="false">
      <c r="A499" s="112"/>
      <c r="B499" s="100" t="s">
        <v>22</v>
      </c>
      <c r="C499" s="101" t="n">
        <f aca="false">SUM(C481:C498)</f>
        <v>7497000</v>
      </c>
      <c r="D499" s="102" t="n">
        <f aca="false">SUM(D481:D498)</f>
        <v>6664000</v>
      </c>
      <c r="E499" s="103" t="n">
        <f aca="false">SUM(E481:E498)</f>
        <v>833000</v>
      </c>
    </row>
    <row r="500" customFormat="false" ht="15" hidden="false" customHeight="false" outlineLevel="0" collapsed="false">
      <c r="A500" s="104"/>
    </row>
    <row r="501" customFormat="false" ht="17.35" hidden="false" customHeight="false" outlineLevel="0" collapsed="false">
      <c r="A501" s="104"/>
      <c r="B501" s="2" t="s">
        <v>0</v>
      </c>
      <c r="C501" s="2"/>
    </row>
    <row r="502" customFormat="false" ht="15" hidden="false" customHeight="false" outlineLevel="0" collapsed="false">
      <c r="A502" s="104"/>
    </row>
    <row r="503" customFormat="false" ht="17.35" hidden="false" customHeight="false" outlineLevel="0" collapsed="false">
      <c r="A503" s="104"/>
      <c r="B503" s="91" t="s">
        <v>670</v>
      </c>
    </row>
    <row r="504" customFormat="false" ht="15" hidden="false" customHeight="false" outlineLevel="0" collapsed="false">
      <c r="A504" s="104"/>
      <c r="B504" s="4" t="s">
        <v>671</v>
      </c>
    </row>
    <row r="505" customFormat="false" ht="15" hidden="false" customHeight="false" outlineLevel="0" collapsed="false">
      <c r="A505" s="92" t="s">
        <v>4</v>
      </c>
      <c r="B505" s="93" t="s">
        <v>285</v>
      </c>
      <c r="C505" s="8" t="s">
        <v>6</v>
      </c>
      <c r="D505" s="94" t="s">
        <v>7</v>
      </c>
      <c r="E505" s="10" t="s">
        <v>8</v>
      </c>
    </row>
    <row r="506" customFormat="false" ht="15" hidden="false" customHeight="false" outlineLevel="0" collapsed="false">
      <c r="A506" s="142" t="n">
        <v>1</v>
      </c>
      <c r="B506" s="41" t="s">
        <v>672</v>
      </c>
      <c r="C506" s="96" t="n">
        <v>416500</v>
      </c>
      <c r="D506" s="96"/>
      <c r="E506" s="97" t="n">
        <f aca="false">C506-D506</f>
        <v>416500</v>
      </c>
    </row>
    <row r="507" customFormat="false" ht="15" hidden="false" customHeight="false" outlineLevel="0" collapsed="false">
      <c r="A507" s="95" t="n">
        <v>2</v>
      </c>
      <c r="B507" s="41" t="s">
        <v>673</v>
      </c>
      <c r="C507" s="96" t="n">
        <v>416500</v>
      </c>
      <c r="D507" s="96" t="n">
        <f aca="false">265000+151500</f>
        <v>416500</v>
      </c>
      <c r="E507" s="97" t="n">
        <f aca="false">C507-D507</f>
        <v>0</v>
      </c>
    </row>
    <row r="508" customFormat="false" ht="15" hidden="false" customHeight="false" outlineLevel="0" collapsed="false">
      <c r="A508" s="142" t="n">
        <v>3</v>
      </c>
      <c r="B508" s="143" t="s">
        <v>674</v>
      </c>
      <c r="C508" s="96" t="n">
        <v>416500</v>
      </c>
      <c r="D508" s="96" t="n">
        <f aca="false">80000+165000+51000+50000+70500</f>
        <v>416500</v>
      </c>
      <c r="E508" s="97" t="n">
        <f aca="false">C508-D508</f>
        <v>0</v>
      </c>
    </row>
    <row r="509" customFormat="false" ht="15" hidden="false" customHeight="false" outlineLevel="0" collapsed="false">
      <c r="A509" s="95" t="n">
        <v>4</v>
      </c>
      <c r="B509" s="41" t="s">
        <v>675</v>
      </c>
      <c r="C509" s="96" t="n">
        <v>416500</v>
      </c>
      <c r="D509" s="96" t="n">
        <f aca="false">250000+166500</f>
        <v>416500</v>
      </c>
      <c r="E509" s="97" t="n">
        <f aca="false">C509-D509</f>
        <v>0</v>
      </c>
    </row>
    <row r="510" customFormat="false" ht="15" hidden="false" customHeight="false" outlineLevel="0" collapsed="false">
      <c r="A510" s="142" t="n">
        <v>5</v>
      </c>
      <c r="B510" s="56" t="s">
        <v>676</v>
      </c>
      <c r="C510" s="96" t="n">
        <v>416500</v>
      </c>
      <c r="D510" s="96" t="n">
        <f aca="false">201500+50000+50000+50000+65000</f>
        <v>416500</v>
      </c>
      <c r="E510" s="97" t="n">
        <f aca="false">C510-D510</f>
        <v>0</v>
      </c>
    </row>
    <row r="511" customFormat="false" ht="15" hidden="false" customHeight="false" outlineLevel="0" collapsed="false">
      <c r="A511" s="142" t="n">
        <v>6</v>
      </c>
      <c r="B511" s="41" t="s">
        <v>677</v>
      </c>
      <c r="C511" s="96" t="n">
        <v>416500</v>
      </c>
      <c r="D511" s="96" t="n">
        <f aca="false">33500</f>
        <v>33500</v>
      </c>
      <c r="E511" s="97" t="n">
        <f aca="false">C511-D511</f>
        <v>383000</v>
      </c>
    </row>
    <row r="512" customFormat="false" ht="15" hidden="false" customHeight="false" outlineLevel="0" collapsed="false">
      <c r="A512" s="95" t="n">
        <v>7</v>
      </c>
      <c r="B512" s="41" t="s">
        <v>678</v>
      </c>
      <c r="C512" s="96" t="n">
        <v>416500</v>
      </c>
      <c r="D512" s="96" t="n">
        <f aca="false">50000+150000+60000+126000+30000+500</f>
        <v>416500</v>
      </c>
      <c r="E512" s="97" t="n">
        <f aca="false">C512-D512</f>
        <v>0</v>
      </c>
    </row>
    <row r="513" customFormat="false" ht="15" hidden="false" customHeight="false" outlineLevel="0" collapsed="false">
      <c r="A513" s="144" t="n">
        <v>8</v>
      </c>
      <c r="B513" s="41" t="s">
        <v>679</v>
      </c>
      <c r="C513" s="96" t="n">
        <v>416500</v>
      </c>
      <c r="D513" s="96" t="n">
        <f aca="false">100000+316500</f>
        <v>416500</v>
      </c>
      <c r="E513" s="97" t="n">
        <f aca="false">C513-D513</f>
        <v>0</v>
      </c>
    </row>
    <row r="514" customFormat="false" ht="15" hidden="false" customHeight="false" outlineLevel="0" collapsed="false">
      <c r="A514" s="144" t="n">
        <v>9</v>
      </c>
      <c r="B514" s="41" t="s">
        <v>680</v>
      </c>
      <c r="C514" s="96" t="n">
        <v>416500</v>
      </c>
      <c r="D514" s="96" t="n">
        <f aca="false">216000+200500</f>
        <v>416500</v>
      </c>
      <c r="E514" s="97" t="n">
        <f aca="false">C514-D514</f>
        <v>0</v>
      </c>
    </row>
    <row r="515" customFormat="false" ht="15" hidden="false" customHeight="false" outlineLevel="0" collapsed="false">
      <c r="A515" s="142" t="n">
        <v>10</v>
      </c>
      <c r="B515" s="56" t="s">
        <v>681</v>
      </c>
      <c r="C515" s="96" t="n">
        <v>416500</v>
      </c>
      <c r="D515" s="96" t="n">
        <v>0</v>
      </c>
      <c r="E515" s="97" t="n">
        <f aca="false">C515-D515</f>
        <v>416500</v>
      </c>
    </row>
    <row r="516" customFormat="false" ht="19.7" hidden="false" customHeight="false" outlineLevel="0" collapsed="false">
      <c r="A516" s="112"/>
      <c r="B516" s="141" t="s">
        <v>22</v>
      </c>
      <c r="C516" s="101" t="n">
        <f aca="false">SUM(C507:C515)</f>
        <v>3748500</v>
      </c>
      <c r="D516" s="102" t="n">
        <f aca="false">SUM(D507:D515)</f>
        <v>2949000</v>
      </c>
      <c r="E516" s="103" t="n">
        <f aca="false">SUM(E507:E515)</f>
        <v>799500</v>
      </c>
    </row>
    <row r="518" customFormat="false" ht="17.35" hidden="false" customHeight="false" outlineLevel="0" collapsed="false">
      <c r="A518" s="108"/>
    </row>
    <row r="519" customFormat="false" ht="17.35" hidden="false" customHeight="false" outlineLevel="0" collapsed="false">
      <c r="A519" s="104"/>
      <c r="B519" s="2" t="s">
        <v>0</v>
      </c>
      <c r="C519" s="2"/>
    </row>
    <row r="520" customFormat="false" ht="15" hidden="false" customHeight="false" outlineLevel="0" collapsed="false">
      <c r="A520" s="104"/>
    </row>
    <row r="521" customFormat="false" ht="17.35" hidden="false" customHeight="false" outlineLevel="0" collapsed="false">
      <c r="A521" s="104"/>
      <c r="B521" s="91" t="s">
        <v>682</v>
      </c>
    </row>
    <row r="522" customFormat="false" ht="15" hidden="false" customHeight="false" outlineLevel="0" collapsed="false">
      <c r="A522" s="104"/>
      <c r="B522" s="4" t="s">
        <v>671</v>
      </c>
    </row>
    <row r="523" customFormat="false" ht="15" hidden="false" customHeight="false" outlineLevel="0" collapsed="false">
      <c r="A523" s="92" t="s">
        <v>4</v>
      </c>
      <c r="B523" s="93" t="s">
        <v>285</v>
      </c>
      <c r="C523" s="8" t="s">
        <v>6</v>
      </c>
      <c r="D523" s="94" t="s">
        <v>7</v>
      </c>
      <c r="E523" s="10" t="s">
        <v>8</v>
      </c>
    </row>
    <row r="524" customFormat="false" ht="15" hidden="false" customHeight="false" outlineLevel="0" collapsed="false">
      <c r="A524" s="142" t="n">
        <v>1</v>
      </c>
      <c r="B524" s="58" t="s">
        <v>683</v>
      </c>
      <c r="C524" s="96" t="n">
        <v>416500</v>
      </c>
      <c r="D524" s="96" t="n">
        <f aca="false">39000+100000+90000+200000</f>
        <v>429000</v>
      </c>
      <c r="E524" s="97" t="n">
        <f aca="false">C524-D524</f>
        <v>-12500</v>
      </c>
    </row>
    <row r="525" customFormat="false" ht="15" hidden="false" customHeight="false" outlineLevel="0" collapsed="false">
      <c r="A525" s="142" t="n">
        <v>2</v>
      </c>
      <c r="B525" s="116" t="s">
        <v>684</v>
      </c>
      <c r="C525" s="96" t="n">
        <v>416500</v>
      </c>
      <c r="D525" s="96" t="n">
        <f aca="false">416500</f>
        <v>416500</v>
      </c>
      <c r="E525" s="97" t="n">
        <f aca="false">C525-D525</f>
        <v>0</v>
      </c>
    </row>
    <row r="526" customFormat="false" ht="15" hidden="false" customHeight="false" outlineLevel="0" collapsed="false">
      <c r="A526" s="142" t="n">
        <v>3</v>
      </c>
      <c r="B526" s="116" t="s">
        <v>685</v>
      </c>
      <c r="C526" s="96" t="n">
        <v>416500</v>
      </c>
      <c r="D526" s="96" t="n">
        <v>416500</v>
      </c>
      <c r="E526" s="97" t="n">
        <f aca="false">C526-D526</f>
        <v>0</v>
      </c>
      <c r="F526" s="1"/>
    </row>
    <row r="527" customFormat="false" ht="15" hidden="false" customHeight="false" outlineLevel="0" collapsed="false">
      <c r="A527" s="95" t="n">
        <v>4</v>
      </c>
      <c r="B527" s="116" t="s">
        <v>686</v>
      </c>
      <c r="C527" s="96" t="n">
        <v>416500</v>
      </c>
      <c r="D527" s="96" t="n">
        <f aca="false">213500+202000+1000</f>
        <v>416500</v>
      </c>
      <c r="E527" s="97" t="n">
        <f aca="false">C527-D527</f>
        <v>0</v>
      </c>
    </row>
    <row r="528" customFormat="false" ht="15" hidden="false" customHeight="false" outlineLevel="0" collapsed="false">
      <c r="A528" s="95" t="n">
        <v>5</v>
      </c>
      <c r="B528" s="116" t="s">
        <v>687</v>
      </c>
      <c r="C528" s="96" t="n">
        <v>416500</v>
      </c>
      <c r="D528" s="96" t="n">
        <f aca="false">37000+100000+200000+79500</f>
        <v>416500</v>
      </c>
      <c r="E528" s="97" t="n">
        <f aca="false">C528-D528</f>
        <v>0</v>
      </c>
    </row>
    <row r="529" customFormat="false" ht="15" hidden="false" customHeight="false" outlineLevel="0" collapsed="false">
      <c r="A529" s="95" t="n">
        <v>6</v>
      </c>
      <c r="B529" s="116" t="s">
        <v>688</v>
      </c>
      <c r="C529" s="96" t="n">
        <v>416500</v>
      </c>
      <c r="D529" s="96"/>
      <c r="E529" s="97" t="n">
        <f aca="false">C529-D529</f>
        <v>416500</v>
      </c>
    </row>
    <row r="530" customFormat="false" ht="15" hidden="false" customHeight="false" outlineLevel="0" collapsed="false">
      <c r="A530" s="95" t="n">
        <v>7</v>
      </c>
      <c r="B530" s="116" t="s">
        <v>689</v>
      </c>
      <c r="C530" s="96" t="n">
        <v>416500</v>
      </c>
      <c r="D530" s="96" t="n">
        <f aca="false">116500+200000+100000</f>
        <v>416500</v>
      </c>
      <c r="E530" s="97" t="n">
        <f aca="false">C530-D530</f>
        <v>0</v>
      </c>
    </row>
    <row r="531" customFormat="false" ht="15" hidden="false" customHeight="false" outlineLevel="0" collapsed="false">
      <c r="A531" s="95" t="n">
        <v>8</v>
      </c>
      <c r="B531" s="116" t="s">
        <v>690</v>
      </c>
      <c r="C531" s="96" t="n">
        <v>416500</v>
      </c>
      <c r="D531" s="96"/>
      <c r="E531" s="97" t="n">
        <f aca="false">C531-D531</f>
        <v>416500</v>
      </c>
    </row>
    <row r="532" customFormat="false" ht="15" hidden="false" customHeight="false" outlineLevel="0" collapsed="false">
      <c r="A532" s="95" t="n">
        <v>9</v>
      </c>
      <c r="B532" s="116" t="s">
        <v>691</v>
      </c>
      <c r="C532" s="96" t="n">
        <v>416500</v>
      </c>
      <c r="D532" s="96"/>
      <c r="E532" s="97" t="n">
        <f aca="false">C532-D532</f>
        <v>416500</v>
      </c>
      <c r="F532" s="1"/>
    </row>
    <row r="533" customFormat="false" ht="15" hidden="false" customHeight="false" outlineLevel="0" collapsed="false">
      <c r="A533" s="95" t="n">
        <v>10</v>
      </c>
      <c r="B533" s="116" t="s">
        <v>692</v>
      </c>
      <c r="C533" s="96" t="n">
        <v>416500</v>
      </c>
      <c r="D533" s="96"/>
      <c r="E533" s="97" t="n">
        <f aca="false">C533-D533</f>
        <v>416500</v>
      </c>
    </row>
    <row r="534" customFormat="false" ht="15" hidden="false" customHeight="false" outlineLevel="0" collapsed="false">
      <c r="A534" s="95" t="n">
        <v>11</v>
      </c>
      <c r="B534" s="116" t="s">
        <v>693</v>
      </c>
      <c r="C534" s="96" t="n">
        <v>416500</v>
      </c>
      <c r="D534" s="96" t="n">
        <f aca="false">500+100000+100000+100000+116000</f>
        <v>416500</v>
      </c>
      <c r="E534" s="97" t="n">
        <f aca="false">C534-D534</f>
        <v>0</v>
      </c>
    </row>
    <row r="535" customFormat="false" ht="17.35" hidden="false" customHeight="false" outlineLevel="0" collapsed="false">
      <c r="A535" s="112"/>
      <c r="B535" s="100" t="s">
        <v>22</v>
      </c>
      <c r="C535" s="101" t="n">
        <f aca="false">SUM(C527:C534)</f>
        <v>3332000</v>
      </c>
      <c r="D535" s="102" t="n">
        <f aca="false">SUM(D527:D534)</f>
        <v>1666000</v>
      </c>
      <c r="E535" s="103" t="n">
        <f aca="false">SUM(E527:E534)</f>
        <v>1666000</v>
      </c>
    </row>
    <row r="537" customFormat="false" ht="17.35" hidden="false" customHeight="false" outlineLevel="0" collapsed="false">
      <c r="A537" s="108"/>
    </row>
    <row r="538" customFormat="false" ht="17.35" hidden="false" customHeight="false" outlineLevel="0" collapsed="false">
      <c r="A538" s="104"/>
      <c r="B538" s="2" t="s">
        <v>0</v>
      </c>
      <c r="C538" s="2"/>
    </row>
    <row r="539" customFormat="false" ht="15" hidden="false" customHeight="false" outlineLevel="0" collapsed="false">
      <c r="A539" s="104"/>
    </row>
    <row r="540" customFormat="false" ht="17.35" hidden="false" customHeight="false" outlineLevel="0" collapsed="false">
      <c r="A540" s="104"/>
      <c r="B540" s="91" t="s">
        <v>694</v>
      </c>
    </row>
    <row r="541" customFormat="false" ht="15" hidden="false" customHeight="false" outlineLevel="0" collapsed="false">
      <c r="A541" s="104"/>
      <c r="B541" s="4" t="s">
        <v>671</v>
      </c>
    </row>
    <row r="542" customFormat="false" ht="15" hidden="false" customHeight="false" outlineLevel="0" collapsed="false">
      <c r="A542" s="92" t="s">
        <v>4</v>
      </c>
      <c r="B542" s="93" t="s">
        <v>285</v>
      </c>
      <c r="C542" s="8" t="s">
        <v>6</v>
      </c>
      <c r="D542" s="94" t="s">
        <v>7</v>
      </c>
      <c r="E542" s="10" t="s">
        <v>8</v>
      </c>
    </row>
    <row r="543" customFormat="false" ht="15" hidden="false" customHeight="false" outlineLevel="0" collapsed="false">
      <c r="A543" s="95" t="n">
        <v>1</v>
      </c>
      <c r="B543" s="145" t="s">
        <v>695</v>
      </c>
      <c r="C543" s="96" t="n">
        <v>416500</v>
      </c>
      <c r="D543" s="96" t="n">
        <f aca="false">415000+1500</f>
        <v>416500</v>
      </c>
      <c r="E543" s="97" t="n">
        <f aca="false">C543-D543</f>
        <v>0</v>
      </c>
    </row>
    <row r="544" customFormat="false" ht="15" hidden="false" customHeight="false" outlineLevel="0" collapsed="false">
      <c r="A544" s="95" t="n">
        <v>2</v>
      </c>
      <c r="B544" s="129" t="s">
        <v>696</v>
      </c>
      <c r="C544" s="96" t="n">
        <v>416500</v>
      </c>
      <c r="D544" s="96" t="n">
        <f aca="false">116500+300000</f>
        <v>416500</v>
      </c>
      <c r="E544" s="97" t="n">
        <f aca="false">C544-D544</f>
        <v>0</v>
      </c>
    </row>
    <row r="545" customFormat="false" ht="15" hidden="false" customHeight="false" outlineLevel="0" collapsed="false">
      <c r="A545" s="95" t="n">
        <v>3</v>
      </c>
      <c r="B545" s="129" t="s">
        <v>697</v>
      </c>
      <c r="C545" s="96" t="n">
        <v>416500</v>
      </c>
      <c r="D545" s="96" t="n">
        <v>416500</v>
      </c>
      <c r="E545" s="97" t="n">
        <f aca="false">C545-D545</f>
        <v>0</v>
      </c>
    </row>
    <row r="546" customFormat="false" ht="15" hidden="false" customHeight="false" outlineLevel="0" collapsed="false">
      <c r="A546" s="95" t="n">
        <v>4</v>
      </c>
      <c r="B546" s="129" t="s">
        <v>698</v>
      </c>
      <c r="C546" s="96" t="n">
        <v>416500</v>
      </c>
      <c r="D546" s="96"/>
      <c r="E546" s="97" t="n">
        <f aca="false">C546-D546</f>
        <v>416500</v>
      </c>
    </row>
    <row r="547" customFormat="false" ht="15" hidden="false" customHeight="false" outlineLevel="0" collapsed="false">
      <c r="A547" s="95" t="n">
        <v>5</v>
      </c>
      <c r="B547" s="129" t="s">
        <v>699</v>
      </c>
      <c r="C547" s="96" t="n">
        <v>416500</v>
      </c>
      <c r="D547" s="96" t="n">
        <f aca="false">100000+116500+200000</f>
        <v>416500</v>
      </c>
      <c r="E547" s="97" t="n">
        <f aca="false">C547-D547</f>
        <v>0</v>
      </c>
    </row>
    <row r="548" customFormat="false" ht="15" hidden="false" customHeight="false" outlineLevel="0" collapsed="false">
      <c r="A548" s="95" t="n">
        <v>6</v>
      </c>
      <c r="B548" s="129" t="s">
        <v>700</v>
      </c>
      <c r="C548" s="96" t="n">
        <v>416500</v>
      </c>
      <c r="D548" s="96" t="n">
        <f aca="false">3000+413500</f>
        <v>416500</v>
      </c>
      <c r="E548" s="97" t="n">
        <f aca="false">C548-D548</f>
        <v>0</v>
      </c>
    </row>
    <row r="549" customFormat="false" ht="15" hidden="false" customHeight="false" outlineLevel="0" collapsed="false">
      <c r="A549" s="95" t="n">
        <v>7</v>
      </c>
      <c r="B549" s="129" t="s">
        <v>701</v>
      </c>
      <c r="C549" s="96" t="n">
        <v>416500</v>
      </c>
      <c r="D549" s="96" t="n">
        <f aca="false">50000+366500</f>
        <v>416500</v>
      </c>
      <c r="E549" s="97" t="n">
        <f aca="false">C549-D549</f>
        <v>0</v>
      </c>
    </row>
    <row r="550" customFormat="false" ht="15" hidden="false" customHeight="false" outlineLevel="0" collapsed="false">
      <c r="A550" s="95" t="n">
        <v>8</v>
      </c>
      <c r="B550" s="129" t="s">
        <v>702</v>
      </c>
      <c r="C550" s="96" t="n">
        <v>416500</v>
      </c>
      <c r="D550" s="96" t="n">
        <v>3500</v>
      </c>
      <c r="E550" s="97" t="n">
        <f aca="false">C550-D550</f>
        <v>413000</v>
      </c>
    </row>
    <row r="551" customFormat="false" ht="15" hidden="false" customHeight="false" outlineLevel="0" collapsed="false">
      <c r="A551" s="95" t="n">
        <v>9</v>
      </c>
      <c r="B551" s="146" t="s">
        <v>703</v>
      </c>
      <c r="C551" s="96" t="n">
        <v>416500</v>
      </c>
      <c r="D551" s="96" t="n">
        <v>416500</v>
      </c>
      <c r="E551" s="97" t="n">
        <f aca="false">C551-D551</f>
        <v>0</v>
      </c>
    </row>
    <row r="552" customFormat="false" ht="17.35" hidden="false" customHeight="false" outlineLevel="0" collapsed="false">
      <c r="A552" s="112"/>
      <c r="B552" s="100" t="s">
        <v>22</v>
      </c>
      <c r="C552" s="101" t="n">
        <f aca="false">SUM(C543:C551)</f>
        <v>3748500</v>
      </c>
      <c r="D552" s="102" t="n">
        <f aca="false">SUM(D543:D551)</f>
        <v>2919000</v>
      </c>
      <c r="E552" s="103" t="n">
        <v>4998000</v>
      </c>
    </row>
    <row r="553" customFormat="false" ht="15" hidden="false" customHeight="false" outlineLevel="0" collapsed="false">
      <c r="A553" s="104"/>
      <c r="D553" s="113"/>
      <c r="E553" s="114"/>
    </row>
    <row r="554" customFormat="false" ht="17.35" hidden="false" customHeight="false" outlineLevel="0" collapsed="false">
      <c r="A554" s="104"/>
      <c r="B554" s="2" t="s">
        <v>0</v>
      </c>
    </row>
    <row r="555" customFormat="false" ht="15" hidden="false" customHeight="false" outlineLevel="0" collapsed="false">
      <c r="A555" s="104"/>
    </row>
    <row r="556" customFormat="false" ht="17.35" hidden="false" customHeight="false" outlineLevel="0" collapsed="false">
      <c r="A556" s="104"/>
      <c r="B556" s="91" t="s">
        <v>704</v>
      </c>
    </row>
    <row r="557" customFormat="false" ht="15" hidden="false" customHeight="false" outlineLevel="0" collapsed="false">
      <c r="A557" s="104"/>
      <c r="B557" s="4" t="s">
        <v>705</v>
      </c>
    </row>
    <row r="558" customFormat="false" ht="15" hidden="false" customHeight="false" outlineLevel="0" collapsed="false">
      <c r="A558" s="92" t="s">
        <v>4</v>
      </c>
      <c r="B558" s="93" t="s">
        <v>285</v>
      </c>
      <c r="C558" s="8" t="s">
        <v>6</v>
      </c>
      <c r="D558" s="94" t="s">
        <v>7</v>
      </c>
      <c r="E558" s="10" t="s">
        <v>8</v>
      </c>
      <c r="K558" s="1"/>
    </row>
    <row r="559" customFormat="false" ht="15" hidden="false" customHeight="false" outlineLevel="0" collapsed="false">
      <c r="A559" s="95" t="n">
        <v>1</v>
      </c>
      <c r="B559" s="60" t="s">
        <v>706</v>
      </c>
      <c r="C559" s="96" t="n">
        <v>416500</v>
      </c>
      <c r="D559" s="96" t="n">
        <f aca="false">100000+100000+216500</f>
        <v>416500</v>
      </c>
      <c r="E559" s="97" t="n">
        <f aca="false">C559-D559</f>
        <v>0</v>
      </c>
    </row>
    <row r="560" customFormat="false" ht="15" hidden="false" customHeight="false" outlineLevel="0" collapsed="false">
      <c r="A560" s="95" t="n">
        <v>2</v>
      </c>
      <c r="B560" s="60" t="s">
        <v>707</v>
      </c>
      <c r="C560" s="96" t="n">
        <v>416500</v>
      </c>
      <c r="D560" s="96" t="n">
        <f aca="false">149500+200000+67000</f>
        <v>416500</v>
      </c>
      <c r="E560" s="97" t="n">
        <f aca="false">C560-D560</f>
        <v>0</v>
      </c>
    </row>
    <row r="561" customFormat="false" ht="15" hidden="false" customHeight="false" outlineLevel="0" collapsed="false">
      <c r="A561" s="95" t="n">
        <v>3</v>
      </c>
      <c r="B561" s="60" t="s">
        <v>708</v>
      </c>
      <c r="C561" s="96" t="n">
        <v>416500</v>
      </c>
      <c r="D561" s="96" t="n">
        <f aca="false">220000+120000+76500</f>
        <v>416500</v>
      </c>
      <c r="E561" s="97" t="n">
        <f aca="false">C561-D561</f>
        <v>0</v>
      </c>
    </row>
    <row r="562" customFormat="false" ht="15" hidden="false" customHeight="false" outlineLevel="0" collapsed="false">
      <c r="A562" s="95" t="n">
        <v>4</v>
      </c>
      <c r="B562" s="60" t="s">
        <v>709</v>
      </c>
      <c r="C562" s="96" t="n">
        <v>416500</v>
      </c>
      <c r="D562" s="96"/>
      <c r="E562" s="97" t="s">
        <v>349</v>
      </c>
      <c r="F562" s="1"/>
    </row>
    <row r="563" customFormat="false" ht="15" hidden="false" customHeight="false" outlineLevel="0" collapsed="false">
      <c r="A563" s="95" t="n">
        <v>5</v>
      </c>
      <c r="B563" s="60" t="s">
        <v>710</v>
      </c>
      <c r="C563" s="96" t="n">
        <v>416500</v>
      </c>
      <c r="D563" s="96" t="n">
        <f aca="false">300000+60000+56500</f>
        <v>416500</v>
      </c>
      <c r="E563" s="97" t="n">
        <f aca="false">C563-D563</f>
        <v>0</v>
      </c>
    </row>
    <row r="564" customFormat="false" ht="15" hidden="false" customHeight="false" outlineLevel="0" collapsed="false">
      <c r="A564" s="95" t="n">
        <v>6</v>
      </c>
      <c r="B564" s="60" t="s">
        <v>711</v>
      </c>
      <c r="C564" s="96" t="n">
        <v>416500</v>
      </c>
      <c r="D564" s="96" t="n">
        <f aca="false">50500+100500+70000+20000+51000+125000</f>
        <v>417000</v>
      </c>
      <c r="E564" s="97" t="n">
        <f aca="false">C564-D564</f>
        <v>-500</v>
      </c>
    </row>
    <row r="565" customFormat="false" ht="15" hidden="false" customHeight="false" outlineLevel="0" collapsed="false">
      <c r="A565" s="95" t="n">
        <v>7</v>
      </c>
      <c r="B565" s="60" t="s">
        <v>712</v>
      </c>
      <c r="C565" s="96" t="n">
        <v>416500</v>
      </c>
      <c r="D565" s="96" t="n">
        <f aca="false">98500+248000+70000</f>
        <v>416500</v>
      </c>
      <c r="E565" s="97" t="n">
        <f aca="false">C565-D565</f>
        <v>0</v>
      </c>
    </row>
    <row r="566" customFormat="false" ht="15" hidden="false" customHeight="false" outlineLevel="0" collapsed="false">
      <c r="A566" s="95" t="n">
        <v>8</v>
      </c>
      <c r="B566" s="60" t="s">
        <v>713</v>
      </c>
      <c r="C566" s="96" t="n">
        <v>416500</v>
      </c>
      <c r="D566" s="96"/>
      <c r="E566" s="97" t="n">
        <f aca="false">C566-D566</f>
        <v>416500</v>
      </c>
    </row>
    <row r="567" customFormat="false" ht="15" hidden="false" customHeight="false" outlineLevel="0" collapsed="false">
      <c r="A567" s="95" t="n">
        <v>9</v>
      </c>
      <c r="B567" s="60" t="s">
        <v>714</v>
      </c>
      <c r="C567" s="96" t="n">
        <v>416500</v>
      </c>
      <c r="D567" s="96" t="n">
        <f aca="false">193500+150000+73000</f>
        <v>416500</v>
      </c>
      <c r="E567" s="97" t="n">
        <f aca="false">C567-D567</f>
        <v>0</v>
      </c>
    </row>
    <row r="568" customFormat="false" ht="15" hidden="false" customHeight="false" outlineLevel="0" collapsed="false">
      <c r="A568" s="95" t="n">
        <v>10</v>
      </c>
      <c r="B568" s="60" t="s">
        <v>715</v>
      </c>
      <c r="C568" s="96" t="n">
        <v>416500</v>
      </c>
      <c r="D568" s="96" t="n">
        <f aca="false">66500+195000+155000</f>
        <v>416500</v>
      </c>
      <c r="E568" s="97" t="n">
        <f aca="false">C568-D568</f>
        <v>0</v>
      </c>
      <c r="F568" s="38"/>
    </row>
    <row r="569" customFormat="false" ht="15" hidden="false" customHeight="false" outlineLevel="0" collapsed="false">
      <c r="A569" s="95" t="n">
        <v>11</v>
      </c>
      <c r="B569" s="60" t="s">
        <v>716</v>
      </c>
      <c r="C569" s="96" t="n">
        <v>416500</v>
      </c>
      <c r="D569" s="96" t="n">
        <f aca="false">100000+200000+116500</f>
        <v>416500</v>
      </c>
      <c r="E569" s="97" t="n">
        <f aca="false">C569-D569</f>
        <v>0</v>
      </c>
    </row>
    <row r="570" customFormat="false" ht="15" hidden="false" customHeight="false" outlineLevel="0" collapsed="false">
      <c r="A570" s="95" t="n">
        <v>12</v>
      </c>
      <c r="B570" s="60" t="s">
        <v>717</v>
      </c>
      <c r="C570" s="96" t="n">
        <v>416500</v>
      </c>
      <c r="D570" s="96" t="n">
        <f aca="false">100000+100000+216500</f>
        <v>416500</v>
      </c>
      <c r="E570" s="97" t="n">
        <f aca="false">C570-D570</f>
        <v>0</v>
      </c>
    </row>
    <row r="571" customFormat="false" ht="15" hidden="false" customHeight="false" outlineLevel="0" collapsed="false">
      <c r="A571" s="95" t="n">
        <v>13</v>
      </c>
      <c r="B571" s="60" t="s">
        <v>718</v>
      </c>
      <c r="C571" s="96" t="n">
        <v>416500</v>
      </c>
      <c r="D571" s="96" t="n">
        <f aca="false">100000+50000+100000+50000</f>
        <v>300000</v>
      </c>
      <c r="E571" s="97" t="n">
        <f aca="false">C571-D571</f>
        <v>116500</v>
      </c>
    </row>
    <row r="572" customFormat="false" ht="15" hidden="false" customHeight="false" outlineLevel="0" collapsed="false">
      <c r="A572" s="95" t="n">
        <v>14</v>
      </c>
      <c r="B572" s="147" t="s">
        <v>719</v>
      </c>
      <c r="C572" s="96" t="n">
        <v>416500</v>
      </c>
      <c r="D572" s="96" t="n">
        <f aca="false">200000+200000+16500</f>
        <v>416500</v>
      </c>
      <c r="E572" s="97" t="n">
        <f aca="false">C572-D572</f>
        <v>0</v>
      </c>
    </row>
    <row r="573" customFormat="false" ht="15" hidden="false" customHeight="false" outlineLevel="0" collapsed="false">
      <c r="A573" s="112" t="n">
        <v>15</v>
      </c>
      <c r="B573" s="147" t="s">
        <v>720</v>
      </c>
      <c r="C573" s="96" t="n">
        <v>416500</v>
      </c>
      <c r="D573" s="96" t="n">
        <f aca="false">31500+200000+185000</f>
        <v>416500</v>
      </c>
      <c r="E573" s="97" t="n">
        <f aca="false">C573-D573</f>
        <v>0</v>
      </c>
    </row>
    <row r="574" customFormat="false" ht="17.35" hidden="false" customHeight="false" outlineLevel="0" collapsed="false">
      <c r="A574" s="112"/>
      <c r="B574" s="100" t="s">
        <v>22</v>
      </c>
      <c r="C574" s="101" t="n">
        <f aca="false">SUM(C559:C573)</f>
        <v>6247500</v>
      </c>
      <c r="D574" s="102" t="n">
        <f aca="false">SUM(D559:D573)</f>
        <v>5298500</v>
      </c>
      <c r="E574" s="103" t="n">
        <f aca="false">SUM(E559:E573)</f>
        <v>532500</v>
      </c>
    </row>
    <row r="576" customFormat="false" ht="17.35" hidden="false" customHeight="false" outlineLevel="0" collapsed="false">
      <c r="A576" s="108"/>
    </row>
    <row r="577" customFormat="false" ht="17.35" hidden="false" customHeight="false" outlineLevel="0" collapsed="false">
      <c r="A577" s="104"/>
      <c r="B577" s="2" t="s">
        <v>0</v>
      </c>
    </row>
    <row r="578" customFormat="false" ht="15" hidden="false" customHeight="false" outlineLevel="0" collapsed="false">
      <c r="A578" s="104"/>
    </row>
    <row r="579" customFormat="false" ht="17.35" hidden="false" customHeight="false" outlineLevel="0" collapsed="false">
      <c r="A579" s="104"/>
      <c r="B579" s="91" t="s">
        <v>721</v>
      </c>
    </row>
    <row r="580" customFormat="false" ht="15" hidden="false" customHeight="false" outlineLevel="0" collapsed="false">
      <c r="A580" s="104"/>
      <c r="B580" s="4" t="s">
        <v>705</v>
      </c>
    </row>
    <row r="581" customFormat="false" ht="15" hidden="false" customHeight="false" outlineLevel="0" collapsed="false">
      <c r="A581" s="92" t="s">
        <v>4</v>
      </c>
      <c r="B581" s="93" t="s">
        <v>285</v>
      </c>
      <c r="C581" s="8" t="s">
        <v>6</v>
      </c>
      <c r="D581" s="94" t="s">
        <v>7</v>
      </c>
      <c r="E581" s="10" t="s">
        <v>8</v>
      </c>
    </row>
    <row r="582" customFormat="false" ht="15" hidden="false" customHeight="false" outlineLevel="0" collapsed="false">
      <c r="A582" s="95" t="n">
        <v>1</v>
      </c>
      <c r="B582" s="116" t="s">
        <v>722</v>
      </c>
      <c r="C582" s="96" t="n">
        <v>416500</v>
      </c>
      <c r="D582" s="96" t="n">
        <f aca="false">200000+200000+16500</f>
        <v>416500</v>
      </c>
      <c r="E582" s="97" t="n">
        <f aca="false">C582-D582</f>
        <v>0</v>
      </c>
    </row>
    <row r="583" customFormat="false" ht="15" hidden="false" customHeight="false" outlineLevel="0" collapsed="false">
      <c r="A583" s="95" t="n">
        <v>2</v>
      </c>
      <c r="B583" s="119" t="s">
        <v>723</v>
      </c>
      <c r="C583" s="96" t="n">
        <v>416500</v>
      </c>
      <c r="D583" s="96" t="n">
        <f aca="false">46500+120000+250000</f>
        <v>416500</v>
      </c>
      <c r="E583" s="97" t="n">
        <f aca="false">C583-D583</f>
        <v>0</v>
      </c>
    </row>
    <row r="584" customFormat="false" ht="15" hidden="false" customHeight="false" outlineLevel="0" collapsed="false">
      <c r="A584" s="95" t="n">
        <v>3</v>
      </c>
      <c r="B584" s="116" t="s">
        <v>724</v>
      </c>
      <c r="C584" s="96" t="n">
        <v>416500</v>
      </c>
      <c r="D584" s="96" t="n">
        <f aca="false">5000+125000+100000+100000+86500</f>
        <v>416500</v>
      </c>
      <c r="E584" s="97" t="n">
        <f aca="false">C584-D584</f>
        <v>0</v>
      </c>
    </row>
    <row r="585" customFormat="false" ht="15" hidden="false" customHeight="false" outlineLevel="0" collapsed="false">
      <c r="A585" s="95" t="n">
        <v>4</v>
      </c>
      <c r="B585" s="118" t="s">
        <v>725</v>
      </c>
      <c r="C585" s="96" t="n">
        <v>416500</v>
      </c>
      <c r="D585" s="96" t="n">
        <f aca="false">87000+30000+70000+229500</f>
        <v>416500</v>
      </c>
      <c r="E585" s="97" t="n">
        <f aca="false">C585-D585</f>
        <v>0</v>
      </c>
    </row>
    <row r="586" customFormat="false" ht="15" hidden="false" customHeight="false" outlineLevel="0" collapsed="false">
      <c r="A586" s="95" t="n">
        <v>5</v>
      </c>
      <c r="B586" s="116" t="s">
        <v>726</v>
      </c>
      <c r="C586" s="96" t="n">
        <v>416500</v>
      </c>
      <c r="D586" s="96" t="n">
        <f aca="false">130000+286500</f>
        <v>416500</v>
      </c>
      <c r="E586" s="97" t="n">
        <f aca="false">C586-D586</f>
        <v>0</v>
      </c>
    </row>
    <row r="587" customFormat="false" ht="17.35" hidden="false" customHeight="false" outlineLevel="0" collapsed="false">
      <c r="A587" s="148"/>
      <c r="B587" s="100" t="s">
        <v>22</v>
      </c>
      <c r="C587" s="101" t="n">
        <f aca="false">SUM(C582:C586)</f>
        <v>2082500</v>
      </c>
      <c r="D587" s="102" t="n">
        <f aca="false">SUM(D582:D586)</f>
        <v>2082500</v>
      </c>
      <c r="E587" s="103" t="n">
        <f aca="false">SUM(E582:E586)</f>
        <v>0</v>
      </c>
    </row>
    <row r="589" customFormat="false" ht="17.35" hidden="false" customHeight="false" outlineLevel="0" collapsed="false">
      <c r="A589" s="104"/>
      <c r="B589" s="2" t="s">
        <v>0</v>
      </c>
    </row>
    <row r="590" customFormat="false" ht="15" hidden="false" customHeight="false" outlineLevel="0" collapsed="false">
      <c r="A590" s="104"/>
    </row>
    <row r="591" customFormat="false" ht="17.35" hidden="false" customHeight="false" outlineLevel="0" collapsed="false">
      <c r="A591" s="104"/>
      <c r="B591" s="91" t="s">
        <v>727</v>
      </c>
    </row>
    <row r="592" customFormat="false" ht="15" hidden="false" customHeight="false" outlineLevel="0" collapsed="false">
      <c r="A592" s="104"/>
      <c r="B592" s="4" t="s">
        <v>705</v>
      </c>
    </row>
    <row r="593" customFormat="false" ht="15" hidden="false" customHeight="false" outlineLevel="0" collapsed="false">
      <c r="A593" s="92" t="s">
        <v>4</v>
      </c>
      <c r="B593" s="93" t="s">
        <v>285</v>
      </c>
      <c r="C593" s="8" t="s">
        <v>6</v>
      </c>
      <c r="D593" s="94" t="s">
        <v>7</v>
      </c>
      <c r="E593" s="10" t="s">
        <v>8</v>
      </c>
    </row>
    <row r="594" customFormat="false" ht="15" hidden="false" customHeight="false" outlineLevel="0" collapsed="false">
      <c r="A594" s="95" t="n">
        <v>1</v>
      </c>
      <c r="B594" s="116" t="s">
        <v>728</v>
      </c>
      <c r="C594" s="96" t="n">
        <v>416500</v>
      </c>
      <c r="D594" s="96" t="n">
        <v>417500</v>
      </c>
      <c r="E594" s="97" t="n">
        <f aca="false">C594-D594</f>
        <v>-1000</v>
      </c>
    </row>
    <row r="595" customFormat="false" ht="15" hidden="false" customHeight="false" outlineLevel="0" collapsed="false">
      <c r="A595" s="95" t="n">
        <v>2</v>
      </c>
      <c r="B595" s="116" t="s">
        <v>729</v>
      </c>
      <c r="C595" s="96" t="n">
        <v>416500</v>
      </c>
      <c r="D595" s="96"/>
      <c r="E595" s="97" t="n">
        <f aca="false">C595-D595</f>
        <v>416500</v>
      </c>
    </row>
    <row r="596" customFormat="false" ht="15" hidden="false" customHeight="false" outlineLevel="0" collapsed="false">
      <c r="A596" s="95" t="n">
        <v>3</v>
      </c>
      <c r="B596" s="116" t="s">
        <v>730</v>
      </c>
      <c r="C596" s="96" t="n">
        <v>416500</v>
      </c>
      <c r="D596" s="96" t="n">
        <f aca="false">200000+216500</f>
        <v>416500</v>
      </c>
      <c r="E596" s="97" t="n">
        <f aca="false">C596-D596</f>
        <v>0</v>
      </c>
    </row>
    <row r="597" customFormat="false" ht="15" hidden="false" customHeight="false" outlineLevel="0" collapsed="false">
      <c r="A597" s="95" t="n">
        <v>4</v>
      </c>
      <c r="B597" s="116" t="s">
        <v>731</v>
      </c>
      <c r="C597" s="96" t="n">
        <v>416500</v>
      </c>
      <c r="D597" s="96" t="n">
        <f aca="false">100000+300000</f>
        <v>400000</v>
      </c>
      <c r="E597" s="97" t="n">
        <f aca="false">C597-D597</f>
        <v>16500</v>
      </c>
    </row>
    <row r="598" customFormat="false" ht="15" hidden="false" customHeight="false" outlineLevel="0" collapsed="false">
      <c r="A598" s="95" t="n">
        <v>5</v>
      </c>
      <c r="B598" s="116" t="s">
        <v>732</v>
      </c>
      <c r="C598" s="96" t="n">
        <v>416500</v>
      </c>
      <c r="D598" s="96" t="n">
        <f aca="false">48000+165000+203500</f>
        <v>416500</v>
      </c>
      <c r="E598" s="97" t="n">
        <f aca="false">C598-D598</f>
        <v>0</v>
      </c>
    </row>
    <row r="599" customFormat="false" ht="15" hidden="false" customHeight="false" outlineLevel="0" collapsed="false">
      <c r="A599" s="95" t="n">
        <v>6</v>
      </c>
      <c r="B599" s="116" t="s">
        <v>733</v>
      </c>
      <c r="C599" s="96" t="n">
        <v>616500</v>
      </c>
      <c r="D599" s="96" t="n">
        <v>616500</v>
      </c>
      <c r="E599" s="97" t="n">
        <f aca="false">C599-D599</f>
        <v>0</v>
      </c>
    </row>
    <row r="600" customFormat="false" ht="15" hidden="false" customHeight="false" outlineLevel="0" collapsed="false">
      <c r="A600" s="95" t="n">
        <v>7</v>
      </c>
      <c r="B600" s="116" t="s">
        <v>734</v>
      </c>
      <c r="C600" s="96" t="n">
        <v>416500</v>
      </c>
      <c r="D600" s="96"/>
      <c r="E600" s="97" t="n">
        <f aca="false">C600-D600</f>
        <v>416500</v>
      </c>
    </row>
    <row r="601" customFormat="false" ht="15" hidden="false" customHeight="false" outlineLevel="0" collapsed="false">
      <c r="A601" s="95" t="n">
        <v>8</v>
      </c>
      <c r="B601" s="118" t="s">
        <v>735</v>
      </c>
      <c r="C601" s="96" t="n">
        <v>416500</v>
      </c>
      <c r="D601" s="96"/>
      <c r="E601" s="97" t="n">
        <f aca="false">C601-D601</f>
        <v>416500</v>
      </c>
    </row>
    <row r="602" customFormat="false" ht="15" hidden="false" customHeight="false" outlineLevel="0" collapsed="false">
      <c r="A602" s="95" t="n">
        <v>9</v>
      </c>
      <c r="B602" s="116" t="s">
        <v>736</v>
      </c>
      <c r="C602" s="96" t="n">
        <v>416500</v>
      </c>
      <c r="D602" s="96" t="n">
        <f aca="false">216500+200000</f>
        <v>416500</v>
      </c>
      <c r="E602" s="97" t="n">
        <f aca="false">C602-D602</f>
        <v>0</v>
      </c>
    </row>
    <row r="603" customFormat="false" ht="15" hidden="false" customHeight="false" outlineLevel="0" collapsed="false">
      <c r="A603" s="95" t="n">
        <v>10</v>
      </c>
      <c r="B603" s="116" t="s">
        <v>737</v>
      </c>
      <c r="C603" s="96" t="n">
        <v>416500</v>
      </c>
      <c r="D603" s="96" t="n">
        <f aca="false">100000</f>
        <v>100000</v>
      </c>
      <c r="E603" s="97" t="n">
        <f aca="false">C603-D603</f>
        <v>316500</v>
      </c>
    </row>
    <row r="604" customFormat="false" ht="17.35" hidden="false" customHeight="false" outlineLevel="0" collapsed="false">
      <c r="A604" s="112"/>
      <c r="B604" s="100" t="s">
        <v>22</v>
      </c>
      <c r="C604" s="101" t="n">
        <f aca="false">SUM(C594:C603)</f>
        <v>4365000</v>
      </c>
      <c r="D604" s="102" t="n">
        <f aca="false">SUM(D594:D603)</f>
        <v>2783500</v>
      </c>
      <c r="E604" s="103" t="n">
        <f aca="false">SUM(E594:E603)</f>
        <v>1581500</v>
      </c>
    </row>
    <row r="606" customFormat="false" ht="17.35" hidden="false" customHeight="false" outlineLevel="0" collapsed="false">
      <c r="A606" s="104"/>
      <c r="B606" s="2" t="s">
        <v>0</v>
      </c>
    </row>
    <row r="607" customFormat="false" ht="15" hidden="false" customHeight="false" outlineLevel="0" collapsed="false">
      <c r="A607" s="104"/>
    </row>
    <row r="608" customFormat="false" ht="17.35" hidden="false" customHeight="false" outlineLevel="0" collapsed="false">
      <c r="A608" s="104"/>
      <c r="B608" s="91" t="s">
        <v>283</v>
      </c>
    </row>
    <row r="609" customFormat="false" ht="15" hidden="false" customHeight="false" outlineLevel="0" collapsed="false">
      <c r="A609" s="104"/>
      <c r="B609" s="4" t="s">
        <v>738</v>
      </c>
    </row>
    <row r="610" customFormat="false" ht="15" hidden="false" customHeight="false" outlineLevel="0" collapsed="false">
      <c r="A610" s="92" t="s">
        <v>4</v>
      </c>
      <c r="B610" s="93" t="s">
        <v>285</v>
      </c>
      <c r="C610" s="8" t="s">
        <v>6</v>
      </c>
      <c r="D610" s="94" t="s">
        <v>7</v>
      </c>
      <c r="E610" s="10" t="s">
        <v>8</v>
      </c>
    </row>
    <row r="611" customFormat="false" ht="15" hidden="false" customHeight="false" outlineLevel="0" collapsed="false">
      <c r="A611" s="138" t="n">
        <v>1</v>
      </c>
      <c r="B611" s="59" t="s">
        <v>739</v>
      </c>
      <c r="C611" s="96" t="n">
        <v>416500</v>
      </c>
      <c r="D611" s="149" t="n">
        <f aca="false">100000+150000+123000+43500</f>
        <v>416500</v>
      </c>
      <c r="E611" s="96" t="n">
        <f aca="false">+C611-D611</f>
        <v>0</v>
      </c>
    </row>
    <row r="612" customFormat="false" ht="15" hidden="false" customHeight="false" outlineLevel="0" collapsed="false">
      <c r="A612" s="138" t="n">
        <v>2</v>
      </c>
      <c r="B612" s="59" t="s">
        <v>740</v>
      </c>
      <c r="C612" s="96" t="n">
        <v>416500</v>
      </c>
      <c r="D612" s="150" t="n">
        <f aca="false">216500+200000</f>
        <v>416500</v>
      </c>
      <c r="E612" s="96" t="n">
        <f aca="false">+C612-D612</f>
        <v>0</v>
      </c>
    </row>
    <row r="613" customFormat="false" ht="15" hidden="false" customHeight="false" outlineLevel="0" collapsed="false">
      <c r="A613" s="138" t="n">
        <v>3</v>
      </c>
      <c r="B613" s="59" t="s">
        <v>741</v>
      </c>
      <c r="C613" s="96" t="n">
        <v>416500</v>
      </c>
      <c r="D613" s="150" t="n">
        <f aca="false">50000+366500</f>
        <v>416500</v>
      </c>
      <c r="E613" s="96" t="n">
        <f aca="false">+C613-D613</f>
        <v>0</v>
      </c>
    </row>
    <row r="614" customFormat="false" ht="15" hidden="false" customHeight="false" outlineLevel="0" collapsed="false">
      <c r="A614" s="138" t="n">
        <v>4</v>
      </c>
      <c r="B614" s="59" t="s">
        <v>742</v>
      </c>
      <c r="C614" s="96" t="n">
        <v>416500</v>
      </c>
      <c r="D614" s="150" t="n">
        <f aca="false">216500+100000+100000</f>
        <v>416500</v>
      </c>
      <c r="E614" s="96" t="n">
        <f aca="false">+C614-D614</f>
        <v>0</v>
      </c>
    </row>
    <row r="615" customFormat="false" ht="15" hidden="false" customHeight="false" outlineLevel="0" collapsed="false">
      <c r="A615" s="138" t="n">
        <v>5</v>
      </c>
      <c r="B615" s="59" t="s">
        <v>743</v>
      </c>
      <c r="C615" s="96" t="n">
        <v>416500</v>
      </c>
      <c r="D615" s="150" t="n">
        <f aca="false">66500+200000+150000</f>
        <v>416500</v>
      </c>
      <c r="E615" s="96" t="n">
        <f aca="false">+C615-D615</f>
        <v>0</v>
      </c>
    </row>
    <row r="616" customFormat="false" ht="15" hidden="false" customHeight="false" outlineLevel="0" collapsed="false">
      <c r="A616" s="95" t="n">
        <v>6</v>
      </c>
      <c r="B616" s="59" t="s">
        <v>744</v>
      </c>
      <c r="C616" s="96" t="n">
        <v>416500</v>
      </c>
      <c r="D616" s="96" t="n">
        <f aca="false">53500+80000+84000+200000</f>
        <v>417500</v>
      </c>
      <c r="E616" s="96" t="n">
        <f aca="false">+C616-D616</f>
        <v>-1000</v>
      </c>
    </row>
    <row r="617" customFormat="false" ht="15" hidden="false" customHeight="false" outlineLevel="0" collapsed="false">
      <c r="A617" s="95" t="n">
        <v>7</v>
      </c>
      <c r="B617" s="59" t="s">
        <v>745</v>
      </c>
      <c r="C617" s="96" t="n">
        <v>416500</v>
      </c>
      <c r="D617" s="96" t="n">
        <f aca="false">50000+150000+160000+45000+16500</f>
        <v>421500</v>
      </c>
      <c r="E617" s="96" t="n">
        <f aca="false">+C617-D617</f>
        <v>-5000</v>
      </c>
    </row>
    <row r="618" customFormat="false" ht="15" hidden="false" customHeight="false" outlineLevel="0" collapsed="false">
      <c r="A618" s="95" t="n">
        <v>8</v>
      </c>
      <c r="B618" s="59" t="s">
        <v>746</v>
      </c>
      <c r="C618" s="96" t="n">
        <v>416500</v>
      </c>
      <c r="D618" s="96" t="n">
        <f aca="false">151500+80000+100000+85000</f>
        <v>416500</v>
      </c>
      <c r="E618" s="96" t="n">
        <f aca="false">+C618-D618</f>
        <v>0</v>
      </c>
    </row>
    <row r="619" customFormat="false" ht="15" hidden="false" customHeight="false" outlineLevel="0" collapsed="false">
      <c r="A619" s="95" t="n">
        <v>9</v>
      </c>
      <c r="B619" s="64" t="s">
        <v>747</v>
      </c>
      <c r="C619" s="96" t="n">
        <v>416500</v>
      </c>
      <c r="D619" s="96" t="n">
        <f aca="false">200000+190000+26500</f>
        <v>416500</v>
      </c>
      <c r="E619" s="96" t="n">
        <f aca="false">+C619-D619</f>
        <v>0</v>
      </c>
    </row>
    <row r="620" customFormat="false" ht="15" hidden="false" customHeight="false" outlineLevel="0" collapsed="false">
      <c r="A620" s="95" t="n">
        <v>10</v>
      </c>
      <c r="B620" s="64" t="s">
        <v>748</v>
      </c>
      <c r="C620" s="96" t="n">
        <v>416500</v>
      </c>
      <c r="D620" s="96" t="n">
        <f aca="false">150000+266500</f>
        <v>416500</v>
      </c>
      <c r="E620" s="96" t="n">
        <f aca="false">+C620-D620</f>
        <v>0</v>
      </c>
    </row>
    <row r="621" customFormat="false" ht="15" hidden="false" customHeight="false" outlineLevel="0" collapsed="false">
      <c r="A621" s="95" t="n">
        <v>11</v>
      </c>
      <c r="B621" s="64" t="s">
        <v>749</v>
      </c>
      <c r="C621" s="96" t="n">
        <v>416500</v>
      </c>
      <c r="D621" s="96" t="n">
        <v>416500</v>
      </c>
      <c r="E621" s="96" t="n">
        <f aca="false">+C621-D621</f>
        <v>0</v>
      </c>
      <c r="H621" s="1"/>
    </row>
    <row r="622" customFormat="false" ht="15" hidden="false" customHeight="false" outlineLevel="0" collapsed="false">
      <c r="A622" s="95" t="n">
        <v>12</v>
      </c>
      <c r="B622" s="64" t="s">
        <v>750</v>
      </c>
      <c r="C622" s="96" t="n">
        <v>416500</v>
      </c>
      <c r="D622" s="96" t="n">
        <f aca="false">150000+50000+150000+66500</f>
        <v>416500</v>
      </c>
      <c r="E622" s="96" t="n">
        <f aca="false">+C622-D622</f>
        <v>0</v>
      </c>
    </row>
    <row r="623" customFormat="false" ht="15" hidden="false" customHeight="false" outlineLevel="0" collapsed="false">
      <c r="A623" s="95" t="n">
        <v>13</v>
      </c>
      <c r="B623" s="64" t="s">
        <v>751</v>
      </c>
      <c r="C623" s="96" t="n">
        <v>416500</v>
      </c>
      <c r="D623" s="96" t="n">
        <f aca="false">100000+316500</f>
        <v>416500</v>
      </c>
      <c r="E623" s="96" t="n">
        <f aca="false">+C623-D623</f>
        <v>0</v>
      </c>
    </row>
    <row r="624" customFormat="false" ht="15" hidden="false" customHeight="false" outlineLevel="0" collapsed="false">
      <c r="A624" s="95" t="n">
        <v>14</v>
      </c>
      <c r="B624" s="64" t="s">
        <v>752</v>
      </c>
      <c r="C624" s="96" t="n">
        <v>416500</v>
      </c>
      <c r="D624" s="96" t="n">
        <f aca="false">150000+266500</f>
        <v>416500</v>
      </c>
      <c r="E624" s="96" t="n">
        <f aca="false">+C624-D624</f>
        <v>0</v>
      </c>
    </row>
    <row r="625" customFormat="false" ht="15" hidden="false" customHeight="false" outlineLevel="0" collapsed="false">
      <c r="A625" s="95" t="n">
        <v>15</v>
      </c>
      <c r="B625" s="64" t="s">
        <v>753</v>
      </c>
      <c r="C625" s="96" t="n">
        <v>416500</v>
      </c>
      <c r="D625" s="96" t="n">
        <f aca="false">200000+216500</f>
        <v>416500</v>
      </c>
      <c r="E625" s="96" t="n">
        <f aca="false">+C625-D625</f>
        <v>0</v>
      </c>
    </row>
    <row r="626" customFormat="false" ht="15" hidden="false" customHeight="false" outlineLevel="0" collapsed="false">
      <c r="A626" s="95" t="n">
        <v>16</v>
      </c>
      <c r="B626" s="64" t="s">
        <v>754</v>
      </c>
      <c r="C626" s="96" t="n">
        <v>416500</v>
      </c>
      <c r="D626" s="96"/>
      <c r="E626" s="96" t="n">
        <f aca="false">+C626-D626</f>
        <v>416500</v>
      </c>
    </row>
    <row r="627" customFormat="false" ht="15" hidden="false" customHeight="false" outlineLevel="0" collapsed="false">
      <c r="A627" s="95" t="n">
        <v>17</v>
      </c>
      <c r="B627" s="64" t="s">
        <v>755</v>
      </c>
      <c r="C627" s="96" t="n">
        <v>416500</v>
      </c>
      <c r="D627" s="96" t="n">
        <f aca="false">150000+266500</f>
        <v>416500</v>
      </c>
      <c r="E627" s="96" t="n">
        <f aca="false">+C627-D627</f>
        <v>0</v>
      </c>
    </row>
    <row r="628" customFormat="false" ht="15" hidden="false" customHeight="false" outlineLevel="0" collapsed="false">
      <c r="A628" s="95" t="n">
        <v>18</v>
      </c>
      <c r="B628" s="64" t="s">
        <v>756</v>
      </c>
      <c r="C628" s="96" t="n">
        <v>416500</v>
      </c>
      <c r="D628" s="96" t="n">
        <f aca="false">100000+150000+166500</f>
        <v>416500</v>
      </c>
      <c r="E628" s="96" t="n">
        <f aca="false">+C628-D628</f>
        <v>0</v>
      </c>
    </row>
    <row r="629" customFormat="false" ht="15" hidden="false" customHeight="false" outlineLevel="0" collapsed="false">
      <c r="A629" s="95" t="n">
        <v>19</v>
      </c>
      <c r="B629" s="64" t="s">
        <v>757</v>
      </c>
      <c r="C629" s="96" t="n">
        <v>416500</v>
      </c>
      <c r="D629" s="96" t="n">
        <f aca="false">250000+100000+63000+3500</f>
        <v>416500</v>
      </c>
      <c r="E629" s="96" t="n">
        <f aca="false">+C629-D629</f>
        <v>0</v>
      </c>
    </row>
    <row r="630" customFormat="false" ht="15" hidden="false" customHeight="false" outlineLevel="0" collapsed="false">
      <c r="A630" s="95" t="n">
        <v>20</v>
      </c>
      <c r="B630" s="64" t="s">
        <v>758</v>
      </c>
      <c r="C630" s="96" t="n">
        <v>416500</v>
      </c>
      <c r="D630" s="96" t="n">
        <f aca="false">50000+200000+166500</f>
        <v>416500</v>
      </c>
      <c r="E630" s="96" t="n">
        <f aca="false">+C630-D630</f>
        <v>0</v>
      </c>
    </row>
    <row r="631" customFormat="false" ht="17.35" hidden="false" customHeight="false" outlineLevel="0" collapsed="false">
      <c r="A631" s="95"/>
      <c r="B631" s="100" t="s">
        <v>22</v>
      </c>
      <c r="C631" s="101" t="n">
        <f aca="false">SUM(C616:C630)</f>
        <v>6247500</v>
      </c>
      <c r="D631" s="102" t="n">
        <f aca="false">SUM(D616:D630)</f>
        <v>5837000</v>
      </c>
      <c r="E631" s="103" t="n">
        <f aca="false">SUM(E616:E630)</f>
        <v>410500</v>
      </c>
    </row>
    <row r="632" customFormat="false" ht="15" hidden="false" customHeight="false" outlineLevel="0" collapsed="false">
      <c r="A632" s="112"/>
    </row>
    <row r="633" customFormat="false" ht="15" hidden="false" customHeight="false" outlineLevel="0" collapsed="false">
      <c r="A633" s="104"/>
    </row>
    <row r="634" customFormat="false" ht="17.35" hidden="false" customHeight="false" outlineLevel="0" collapsed="false">
      <c r="A634" s="104"/>
      <c r="B634" s="2" t="s">
        <v>0</v>
      </c>
    </row>
    <row r="635" customFormat="false" ht="15" hidden="false" customHeight="false" outlineLevel="0" collapsed="false">
      <c r="A635" s="104"/>
    </row>
    <row r="636" customFormat="false" ht="17.35" hidden="false" customHeight="false" outlineLevel="0" collapsed="false">
      <c r="A636" s="104"/>
      <c r="B636" s="91" t="s">
        <v>314</v>
      </c>
    </row>
    <row r="637" customFormat="false" ht="15" hidden="false" customHeight="false" outlineLevel="0" collapsed="false">
      <c r="A637" s="104"/>
      <c r="B637" s="4" t="s">
        <v>738</v>
      </c>
    </row>
    <row r="638" customFormat="false" ht="15" hidden="false" customHeight="false" outlineLevel="0" collapsed="false">
      <c r="A638" s="104"/>
    </row>
    <row r="639" customFormat="false" ht="15" hidden="false" customHeight="false" outlineLevel="0" collapsed="false">
      <c r="A639" s="92" t="s">
        <v>4</v>
      </c>
      <c r="B639" s="93" t="s">
        <v>285</v>
      </c>
      <c r="C639" s="8" t="s">
        <v>6</v>
      </c>
      <c r="D639" s="94" t="s">
        <v>7</v>
      </c>
      <c r="E639" s="10" t="s">
        <v>8</v>
      </c>
    </row>
    <row r="640" customFormat="false" ht="15" hidden="false" customHeight="false" outlineLevel="0" collapsed="false">
      <c r="A640" s="95" t="n">
        <v>1</v>
      </c>
      <c r="B640" s="116" t="s">
        <v>759</v>
      </c>
      <c r="C640" s="96" t="n">
        <v>416500</v>
      </c>
      <c r="D640" s="96" t="n">
        <v>416500</v>
      </c>
      <c r="E640" s="96" t="n">
        <f aca="false">C640-D640</f>
        <v>0</v>
      </c>
    </row>
    <row r="641" customFormat="false" ht="18.75" hidden="false" customHeight="true" outlineLevel="0" collapsed="false">
      <c r="A641" s="95" t="n">
        <v>2</v>
      </c>
      <c r="B641" s="116" t="s">
        <v>760</v>
      </c>
      <c r="C641" s="96" t="n">
        <v>416500</v>
      </c>
      <c r="D641" s="96" t="n">
        <f aca="false">230000+155000+31500</f>
        <v>416500</v>
      </c>
      <c r="E641" s="96" t="n">
        <f aca="false">C641-D641</f>
        <v>0</v>
      </c>
    </row>
    <row r="642" customFormat="false" ht="15" hidden="false" customHeight="false" outlineLevel="0" collapsed="false">
      <c r="A642" s="95" t="n">
        <v>3</v>
      </c>
      <c r="B642" s="116" t="s">
        <v>761</v>
      </c>
      <c r="C642" s="96" t="n">
        <v>416500</v>
      </c>
      <c r="D642" s="96" t="n">
        <f aca="false">200000+216500</f>
        <v>416500</v>
      </c>
      <c r="E642" s="96" t="n">
        <f aca="false">C642-D642</f>
        <v>0</v>
      </c>
    </row>
    <row r="643" customFormat="false" ht="15" hidden="false" customHeight="false" outlineLevel="0" collapsed="false">
      <c r="A643" s="95" t="n">
        <v>4</v>
      </c>
      <c r="B643" s="116" t="s">
        <v>762</v>
      </c>
      <c r="C643" s="96" t="n">
        <v>416500</v>
      </c>
      <c r="D643" s="96" t="n">
        <f aca="false">45000</f>
        <v>45000</v>
      </c>
      <c r="E643" s="96" t="n">
        <f aca="false">C643-D643</f>
        <v>371500</v>
      </c>
    </row>
    <row r="644" customFormat="false" ht="15" hidden="false" customHeight="false" outlineLevel="0" collapsed="false">
      <c r="A644" s="95" t="n">
        <v>5</v>
      </c>
      <c r="B644" s="116" t="s">
        <v>763</v>
      </c>
      <c r="C644" s="96" t="n">
        <v>416500</v>
      </c>
      <c r="D644" s="96" t="n">
        <f aca="false">216500+200000</f>
        <v>416500</v>
      </c>
      <c r="E644" s="96" t="n">
        <f aca="false">C644-D644</f>
        <v>0</v>
      </c>
    </row>
    <row r="645" customFormat="false" ht="15" hidden="false" customHeight="false" outlineLevel="0" collapsed="false">
      <c r="A645" s="95" t="n">
        <v>6</v>
      </c>
      <c r="B645" s="73" t="s">
        <v>764</v>
      </c>
      <c r="C645" s="151" t="n">
        <v>316500</v>
      </c>
      <c r="D645" s="151" t="n">
        <f aca="false">185000+130000+1500</f>
        <v>316500</v>
      </c>
      <c r="E645" s="151" t="n">
        <f aca="false">C645-D645</f>
        <v>0</v>
      </c>
      <c r="F645" s="38"/>
    </row>
    <row r="646" customFormat="false" ht="15" hidden="false" customHeight="false" outlineLevel="0" collapsed="false">
      <c r="A646" s="95" t="n">
        <v>7</v>
      </c>
      <c r="B646" s="116" t="s">
        <v>765</v>
      </c>
      <c r="C646" s="96" t="n">
        <v>416500</v>
      </c>
      <c r="D646" s="96" t="n">
        <f aca="false">416500</f>
        <v>416500</v>
      </c>
      <c r="E646" s="96" t="n">
        <f aca="false">C646-D646</f>
        <v>0</v>
      </c>
    </row>
    <row r="647" customFormat="false" ht="15" hidden="false" customHeight="false" outlineLevel="0" collapsed="false">
      <c r="A647" s="95" t="n">
        <v>8</v>
      </c>
      <c r="B647" s="116" t="s">
        <v>766</v>
      </c>
      <c r="C647" s="96" t="n">
        <v>416500</v>
      </c>
      <c r="D647" s="152" t="n">
        <f aca="false">116500+50000+250000</f>
        <v>416500</v>
      </c>
      <c r="E647" s="96" t="n">
        <f aca="false">C647-D647</f>
        <v>0</v>
      </c>
    </row>
    <row r="648" customFormat="false" ht="15" hidden="false" customHeight="false" outlineLevel="0" collapsed="false">
      <c r="A648" s="95" t="n">
        <v>9</v>
      </c>
      <c r="B648" s="116" t="s">
        <v>767</v>
      </c>
      <c r="C648" s="96" t="n">
        <v>416500</v>
      </c>
      <c r="D648" s="96" t="n">
        <f aca="false">400000+16500</f>
        <v>416500</v>
      </c>
      <c r="E648" s="96" t="n">
        <f aca="false">C648-D648</f>
        <v>0</v>
      </c>
    </row>
    <row r="649" customFormat="false" ht="15" hidden="false" customHeight="false" outlineLevel="0" collapsed="false">
      <c r="A649" s="95" t="n">
        <v>10</v>
      </c>
      <c r="B649" s="116" t="s">
        <v>768</v>
      </c>
      <c r="C649" s="96" t="n">
        <v>416500</v>
      </c>
      <c r="D649" s="96"/>
      <c r="E649" s="96" t="n">
        <f aca="false">C649-D649</f>
        <v>416500</v>
      </c>
    </row>
    <row r="650" customFormat="false" ht="15" hidden="false" customHeight="false" outlineLevel="0" collapsed="false">
      <c r="A650" s="95" t="n">
        <v>11</v>
      </c>
      <c r="B650" s="116" t="s">
        <v>769</v>
      </c>
      <c r="C650" s="96" t="n">
        <v>416500</v>
      </c>
      <c r="D650" s="96" t="n">
        <f aca="false">100500+316500</f>
        <v>417000</v>
      </c>
      <c r="E650" s="96" t="n">
        <f aca="false">C650-D650</f>
        <v>-500</v>
      </c>
    </row>
    <row r="651" customFormat="false" ht="15" hidden="false" customHeight="false" outlineLevel="0" collapsed="false">
      <c r="A651" s="95" t="n">
        <v>12</v>
      </c>
      <c r="B651" s="116" t="s">
        <v>770</v>
      </c>
      <c r="C651" s="96" t="n">
        <v>416500</v>
      </c>
      <c r="D651" s="96" t="n">
        <f aca="false">200000+216500</f>
        <v>416500</v>
      </c>
      <c r="E651" s="96" t="n">
        <f aca="false">C651-D651</f>
        <v>0</v>
      </c>
    </row>
    <row r="652" customFormat="false" ht="15" hidden="false" customHeight="false" outlineLevel="0" collapsed="false">
      <c r="A652" s="95" t="n">
        <v>13</v>
      </c>
      <c r="B652" s="116" t="s">
        <v>771</v>
      </c>
      <c r="C652" s="96" t="n">
        <v>416500</v>
      </c>
      <c r="D652" s="96" t="n">
        <f aca="false">34000+100000+100000+182500</f>
        <v>416500</v>
      </c>
      <c r="E652" s="96" t="n">
        <f aca="false">C652-D652</f>
        <v>0</v>
      </c>
    </row>
    <row r="653" customFormat="false" ht="15" hidden="false" customHeight="false" outlineLevel="0" collapsed="false">
      <c r="A653" s="95" t="n">
        <v>14</v>
      </c>
      <c r="B653" s="116" t="s">
        <v>772</v>
      </c>
      <c r="C653" s="96" t="n">
        <v>416500</v>
      </c>
      <c r="D653" s="96" t="n">
        <f aca="false">70000+200000+50000</f>
        <v>320000</v>
      </c>
      <c r="E653" s="96" t="n">
        <f aca="false">C653-D653</f>
        <v>96500</v>
      </c>
    </row>
    <row r="654" customFormat="false" ht="17.35" hidden="false" customHeight="false" outlineLevel="0" collapsed="false">
      <c r="A654" s="95"/>
      <c r="B654" s="100" t="s">
        <v>22</v>
      </c>
      <c r="C654" s="101" t="n">
        <f aca="false">SUM(C640:C653)</f>
        <v>5731000</v>
      </c>
      <c r="D654" s="102" t="n">
        <f aca="false">SUM(D640:D653)</f>
        <v>4847000</v>
      </c>
      <c r="E654" s="103" t="n">
        <f aca="false">SUM(E640:E653)</f>
        <v>884000</v>
      </c>
    </row>
    <row r="656" customFormat="false" ht="17.35" hidden="false" customHeight="false" outlineLevel="0" collapsed="false">
      <c r="A656" s="108"/>
      <c r="B656" s="2" t="s">
        <v>0</v>
      </c>
    </row>
    <row r="657" customFormat="false" ht="15" hidden="false" customHeight="false" outlineLevel="0" collapsed="false">
      <c r="A657" s="104"/>
    </row>
    <row r="658" customFormat="false" ht="17.35" hidden="false" customHeight="false" outlineLevel="0" collapsed="false">
      <c r="A658" s="104"/>
      <c r="B658" s="91" t="s">
        <v>351</v>
      </c>
    </row>
    <row r="659" customFormat="false" ht="15" hidden="false" customHeight="false" outlineLevel="0" collapsed="false">
      <c r="A659" s="104"/>
      <c r="B659" s="4" t="s">
        <v>773</v>
      </c>
    </row>
    <row r="660" customFormat="false" ht="15" hidden="false" customHeight="false" outlineLevel="0" collapsed="false">
      <c r="A660" s="104"/>
    </row>
    <row r="661" customFormat="false" ht="15" hidden="false" customHeight="false" outlineLevel="0" collapsed="false">
      <c r="A661" s="92" t="s">
        <v>4</v>
      </c>
      <c r="B661" s="93" t="s">
        <v>285</v>
      </c>
      <c r="C661" s="8" t="s">
        <v>6</v>
      </c>
      <c r="D661" s="94" t="s">
        <v>7</v>
      </c>
      <c r="E661" s="10" t="s">
        <v>8</v>
      </c>
    </row>
    <row r="662" customFormat="false" ht="15" hidden="false" customHeight="false" outlineLevel="0" collapsed="false">
      <c r="A662" s="95" t="n">
        <v>1</v>
      </c>
      <c r="B662" s="73" t="s">
        <v>774</v>
      </c>
      <c r="C662" s="96" t="n">
        <v>416500</v>
      </c>
      <c r="D662" s="96" t="n">
        <v>416500</v>
      </c>
      <c r="E662" s="97" t="n">
        <f aca="false">C662-D662</f>
        <v>0</v>
      </c>
    </row>
    <row r="663" customFormat="false" ht="15" hidden="false" customHeight="false" outlineLevel="0" collapsed="false">
      <c r="A663" s="95" t="n">
        <v>2</v>
      </c>
      <c r="B663" s="73" t="s">
        <v>775</v>
      </c>
      <c r="C663" s="96" t="n">
        <v>416500</v>
      </c>
      <c r="D663" s="96" t="n">
        <f aca="false">10000+160000+246500</f>
        <v>416500</v>
      </c>
      <c r="E663" s="97" t="n">
        <f aca="false">C663-D663</f>
        <v>0</v>
      </c>
    </row>
    <row r="664" customFormat="false" ht="15" hidden="false" customHeight="false" outlineLevel="0" collapsed="false">
      <c r="A664" s="95" t="n">
        <v>3</v>
      </c>
      <c r="B664" s="73" t="s">
        <v>776</v>
      </c>
      <c r="C664" s="96" t="n">
        <v>416500</v>
      </c>
      <c r="D664" s="96" t="n">
        <f aca="false">300000+116500</f>
        <v>416500</v>
      </c>
      <c r="E664" s="97" t="n">
        <f aca="false">C664-D664</f>
        <v>0</v>
      </c>
    </row>
    <row r="665" customFormat="false" ht="15" hidden="false" customHeight="false" outlineLevel="0" collapsed="false">
      <c r="A665" s="95" t="n">
        <v>4</v>
      </c>
      <c r="B665" s="73" t="s">
        <v>777</v>
      </c>
      <c r="C665" s="96" t="n">
        <v>416500</v>
      </c>
      <c r="D665" s="96"/>
      <c r="E665" s="97" t="n">
        <f aca="false">C665-D665</f>
        <v>416500</v>
      </c>
    </row>
    <row r="666" customFormat="false" ht="15" hidden="false" customHeight="false" outlineLevel="0" collapsed="false">
      <c r="A666" s="95" t="n">
        <v>5</v>
      </c>
      <c r="B666" s="73" t="s">
        <v>778</v>
      </c>
      <c r="C666" s="96" t="n">
        <v>416500</v>
      </c>
      <c r="D666" s="96"/>
      <c r="E666" s="97" t="n">
        <f aca="false">C666-D666</f>
        <v>416500</v>
      </c>
    </row>
    <row r="667" customFormat="false" ht="15" hidden="false" customHeight="false" outlineLevel="0" collapsed="false">
      <c r="A667" s="95" t="n">
        <v>6</v>
      </c>
      <c r="B667" s="73" t="s">
        <v>779</v>
      </c>
      <c r="C667" s="96" t="n">
        <v>416500</v>
      </c>
      <c r="D667" s="96" t="n">
        <v>416500</v>
      </c>
      <c r="E667" s="97" t="n">
        <f aca="false">C667-D667</f>
        <v>0</v>
      </c>
    </row>
    <row r="668" customFormat="false" ht="15" hidden="false" customHeight="false" outlineLevel="0" collapsed="false">
      <c r="A668" s="95" t="n">
        <v>7</v>
      </c>
      <c r="B668" s="73" t="s">
        <v>780</v>
      </c>
      <c r="C668" s="96" t="n">
        <v>416500</v>
      </c>
      <c r="D668" s="96"/>
      <c r="E668" s="97" t="n">
        <f aca="false">C668-D668</f>
        <v>416500</v>
      </c>
    </row>
    <row r="669" customFormat="false" ht="15" hidden="false" customHeight="false" outlineLevel="0" collapsed="false">
      <c r="A669" s="95" t="n">
        <v>8</v>
      </c>
      <c r="B669" s="109" t="s">
        <v>781</v>
      </c>
      <c r="C669" s="96" t="n">
        <v>416500</v>
      </c>
      <c r="D669" s="96" t="n">
        <f aca="false">116500+300000</f>
        <v>416500</v>
      </c>
      <c r="E669" s="97" t="n">
        <f aca="false">C669-D669</f>
        <v>0</v>
      </c>
    </row>
    <row r="670" customFormat="false" ht="15" hidden="false" customHeight="false" outlineLevel="0" collapsed="false">
      <c r="A670" s="95" t="n">
        <v>9</v>
      </c>
      <c r="B670" s="73" t="s">
        <v>782</v>
      </c>
      <c r="C670" s="96" t="n">
        <v>416500</v>
      </c>
      <c r="D670" s="96" t="n">
        <f aca="false">100000+316500</f>
        <v>416500</v>
      </c>
      <c r="E670" s="97" t="n">
        <f aca="false">C670-D670</f>
        <v>0</v>
      </c>
    </row>
    <row r="671" customFormat="false" ht="15" hidden="false" customHeight="false" outlineLevel="0" collapsed="false">
      <c r="A671" s="95" t="n">
        <v>10</v>
      </c>
      <c r="B671" s="73" t="s">
        <v>783</v>
      </c>
      <c r="C671" s="96" t="n">
        <v>416500</v>
      </c>
      <c r="D671" s="96" t="n">
        <v>416500</v>
      </c>
      <c r="E671" s="97" t="n">
        <f aca="false">C671-D671</f>
        <v>0</v>
      </c>
    </row>
    <row r="672" customFormat="false" ht="15" hidden="false" customHeight="false" outlineLevel="0" collapsed="false">
      <c r="A672" s="95" t="n">
        <v>11</v>
      </c>
      <c r="B672" s="73" t="s">
        <v>784</v>
      </c>
      <c r="C672" s="96" t="n">
        <v>416500</v>
      </c>
      <c r="D672" s="96"/>
      <c r="E672" s="97" t="n">
        <f aca="false">C672-D672</f>
        <v>416500</v>
      </c>
    </row>
    <row r="673" customFormat="false" ht="15" hidden="false" customHeight="false" outlineLevel="0" collapsed="false">
      <c r="A673" s="95" t="n">
        <v>12</v>
      </c>
      <c r="B673" s="73" t="s">
        <v>785</v>
      </c>
      <c r="C673" s="96" t="n">
        <v>416500</v>
      </c>
      <c r="D673" s="96"/>
      <c r="E673" s="97" t="n">
        <f aca="false">C673-D673</f>
        <v>416500</v>
      </c>
    </row>
    <row r="674" customFormat="false" ht="15" hidden="false" customHeight="false" outlineLevel="0" collapsed="false">
      <c r="A674" s="95" t="n">
        <v>13</v>
      </c>
      <c r="B674" s="73" t="s">
        <v>786</v>
      </c>
      <c r="C674" s="96" t="n">
        <v>416500</v>
      </c>
      <c r="D674" s="96" t="n">
        <f aca="false">184000+232500</f>
        <v>416500</v>
      </c>
      <c r="E674" s="97" t="n">
        <f aca="false">C674-D674</f>
        <v>0</v>
      </c>
    </row>
    <row r="675" customFormat="false" ht="15" hidden="false" customHeight="false" outlineLevel="0" collapsed="false">
      <c r="A675" s="95" t="n">
        <v>14</v>
      </c>
      <c r="B675" s="109" t="s">
        <v>787</v>
      </c>
      <c r="C675" s="96" t="n">
        <v>416500</v>
      </c>
      <c r="D675" s="153" t="n">
        <f aca="false">67500+150000+200000</f>
        <v>417500</v>
      </c>
      <c r="E675" s="97" t="n">
        <f aca="false">C675-D675</f>
        <v>-1000</v>
      </c>
    </row>
    <row r="676" customFormat="false" ht="17.35" hidden="false" customHeight="false" outlineLevel="0" collapsed="false">
      <c r="A676" s="112"/>
      <c r="B676" s="100" t="s">
        <v>22</v>
      </c>
      <c r="C676" s="101" t="n">
        <f aca="false">SUM(C662:C675)</f>
        <v>5831000</v>
      </c>
      <c r="D676" s="102" t="n">
        <f aca="false">SUM(D662:D675)</f>
        <v>3749500</v>
      </c>
      <c r="E676" s="103" t="n">
        <f aca="false">SUM(E662:E675)</f>
        <v>2081500</v>
      </c>
    </row>
    <row r="679" customFormat="false" ht="17.35" hidden="false" customHeight="false" outlineLevel="0" collapsed="false">
      <c r="A679" s="108"/>
      <c r="B679" s="2" t="s">
        <v>0</v>
      </c>
    </row>
    <row r="680" customFormat="false" ht="15" hidden="false" customHeight="false" outlineLevel="0" collapsed="false">
      <c r="A680" s="104"/>
    </row>
    <row r="681" customFormat="false" ht="17.35" hidden="false" customHeight="false" outlineLevel="0" collapsed="false">
      <c r="A681" s="104"/>
      <c r="B681" s="91" t="s">
        <v>314</v>
      </c>
      <c r="F681" s="1"/>
    </row>
    <row r="682" customFormat="false" ht="15" hidden="false" customHeight="false" outlineLevel="0" collapsed="false">
      <c r="A682" s="104"/>
      <c r="B682" s="4" t="s">
        <v>788</v>
      </c>
    </row>
    <row r="683" customFormat="false" ht="15" hidden="false" customHeight="false" outlineLevel="0" collapsed="false">
      <c r="A683" s="104"/>
    </row>
    <row r="684" customFormat="false" ht="15" hidden="false" customHeight="false" outlineLevel="0" collapsed="false">
      <c r="A684" s="92" t="s">
        <v>4</v>
      </c>
      <c r="B684" s="93" t="s">
        <v>285</v>
      </c>
      <c r="C684" s="8" t="s">
        <v>6</v>
      </c>
      <c r="D684" s="94" t="s">
        <v>7</v>
      </c>
      <c r="E684" s="10" t="s">
        <v>8</v>
      </c>
    </row>
    <row r="685" customFormat="false" ht="15" hidden="false" customHeight="false" outlineLevel="0" collapsed="false">
      <c r="A685" s="95" t="n">
        <v>1</v>
      </c>
      <c r="B685" s="116" t="s">
        <v>789</v>
      </c>
      <c r="C685" s="96" t="n">
        <v>416500</v>
      </c>
      <c r="D685" s="96" t="n">
        <f aca="false">80000+336500</f>
        <v>416500</v>
      </c>
      <c r="E685" s="97" t="n">
        <f aca="false">C685-D685</f>
        <v>0</v>
      </c>
    </row>
    <row r="686" customFormat="false" ht="15" hidden="false" customHeight="false" outlineLevel="0" collapsed="false">
      <c r="A686" s="95" t="n">
        <v>2</v>
      </c>
      <c r="B686" s="116" t="s">
        <v>790</v>
      </c>
      <c r="C686" s="130" t="s">
        <v>349</v>
      </c>
      <c r="D686" s="130"/>
      <c r="E686" s="131" t="s">
        <v>349</v>
      </c>
    </row>
    <row r="687" customFormat="false" ht="15" hidden="false" customHeight="false" outlineLevel="0" collapsed="false">
      <c r="A687" s="95" t="n">
        <v>3</v>
      </c>
      <c r="B687" s="116" t="s">
        <v>791</v>
      </c>
      <c r="C687" s="130" t="s">
        <v>349</v>
      </c>
      <c r="D687" s="130"/>
      <c r="E687" s="131" t="s">
        <v>349</v>
      </c>
    </row>
    <row r="688" customFormat="false" ht="17.35" hidden="false" customHeight="false" outlineLevel="0" collapsed="false">
      <c r="A688" s="112"/>
      <c r="B688" s="100" t="s">
        <v>22</v>
      </c>
      <c r="C688" s="101" t="n">
        <f aca="false">SUM(C685:C687)</f>
        <v>416500</v>
      </c>
      <c r="D688" s="102" t="n">
        <f aca="false">SUM(D685:D687)</f>
        <v>416500</v>
      </c>
      <c r="E688" s="103" t="n">
        <f aca="false">SUM(E685:E687)</f>
        <v>0</v>
      </c>
    </row>
    <row r="689" customFormat="false" ht="15" hidden="false" customHeight="false" outlineLevel="0" collapsed="false">
      <c r="A689" s="104"/>
    </row>
    <row r="691" customFormat="false" ht="17.35" hidden="false" customHeight="false" outlineLevel="0" collapsed="false">
      <c r="A691" s="108"/>
      <c r="B691" s="2" t="s">
        <v>0</v>
      </c>
    </row>
    <row r="692" customFormat="false" ht="15" hidden="false" customHeight="false" outlineLevel="0" collapsed="false">
      <c r="A692" s="104"/>
    </row>
    <row r="693" customFormat="false" ht="17.35" hidden="false" customHeight="false" outlineLevel="0" collapsed="false">
      <c r="A693" s="104"/>
      <c r="B693" s="91" t="s">
        <v>351</v>
      </c>
    </row>
    <row r="694" customFormat="false" ht="15" hidden="false" customHeight="false" outlineLevel="0" collapsed="false">
      <c r="A694" s="104"/>
      <c r="B694" s="4" t="s">
        <v>788</v>
      </c>
    </row>
    <row r="695" customFormat="false" ht="15" hidden="false" customHeight="false" outlineLevel="0" collapsed="false">
      <c r="A695" s="104"/>
    </row>
    <row r="696" customFormat="false" ht="15" hidden="false" customHeight="false" outlineLevel="0" collapsed="false">
      <c r="A696" s="92" t="s">
        <v>4</v>
      </c>
      <c r="B696" s="93" t="s">
        <v>285</v>
      </c>
      <c r="C696" s="8" t="s">
        <v>6</v>
      </c>
      <c r="D696" s="94" t="s">
        <v>7</v>
      </c>
      <c r="E696" s="10" t="s">
        <v>8</v>
      </c>
    </row>
    <row r="697" customFormat="false" ht="15" hidden="false" customHeight="false" outlineLevel="0" collapsed="false">
      <c r="A697" s="95" t="n">
        <v>1</v>
      </c>
      <c r="B697" s="116" t="s">
        <v>792</v>
      </c>
      <c r="C697" s="96" t="n">
        <v>416500</v>
      </c>
      <c r="D697" s="96"/>
      <c r="E697" s="97" t="n">
        <f aca="false">C697-D697</f>
        <v>416500</v>
      </c>
    </row>
    <row r="698" customFormat="false" ht="15" hidden="false" customHeight="false" outlineLevel="0" collapsed="false">
      <c r="A698" s="95" t="n">
        <v>2</v>
      </c>
      <c r="B698" s="116" t="s">
        <v>793</v>
      </c>
      <c r="C698" s="96" t="n">
        <v>416500</v>
      </c>
      <c r="D698" s="96" t="n">
        <v>416500</v>
      </c>
      <c r="E698" s="97" t="n">
        <f aca="false">C698-D698</f>
        <v>0</v>
      </c>
    </row>
    <row r="699" customFormat="false" ht="15" hidden="false" customHeight="false" outlineLevel="0" collapsed="false">
      <c r="A699" s="95" t="n">
        <v>3</v>
      </c>
      <c r="B699" s="116" t="s">
        <v>794</v>
      </c>
      <c r="C699" s="96" t="n">
        <v>416500</v>
      </c>
      <c r="D699" s="96" t="n">
        <f aca="false">416500</f>
        <v>416500</v>
      </c>
      <c r="E699" s="97" t="n">
        <f aca="false">C699-D699</f>
        <v>0</v>
      </c>
    </row>
    <row r="700" customFormat="false" ht="15" hidden="false" customHeight="false" outlineLevel="0" collapsed="false">
      <c r="A700" s="95" t="n">
        <v>4</v>
      </c>
      <c r="B700" s="116" t="s">
        <v>795</v>
      </c>
      <c r="C700" s="96" t="n">
        <v>416500</v>
      </c>
      <c r="D700" s="96" t="n">
        <v>417000</v>
      </c>
      <c r="E700" s="97" t="n">
        <f aca="false">C700-D700</f>
        <v>-500</v>
      </c>
    </row>
    <row r="701" customFormat="false" ht="15" hidden="false" customHeight="false" outlineLevel="0" collapsed="false">
      <c r="A701" s="95" t="n">
        <v>5</v>
      </c>
      <c r="B701" s="116" t="s">
        <v>796</v>
      </c>
      <c r="C701" s="96" t="n">
        <v>416500</v>
      </c>
      <c r="D701" s="96" t="n">
        <v>416500</v>
      </c>
      <c r="E701" s="97" t="n">
        <f aca="false">C701-D701</f>
        <v>0</v>
      </c>
    </row>
    <row r="702" customFormat="false" ht="15" hidden="false" customHeight="false" outlineLevel="0" collapsed="false">
      <c r="A702" s="95" t="n">
        <v>6</v>
      </c>
      <c r="B702" s="116" t="s">
        <v>797</v>
      </c>
      <c r="C702" s="96" t="n">
        <v>416500</v>
      </c>
      <c r="D702" s="96" t="n">
        <v>416500</v>
      </c>
      <c r="E702" s="97" t="n">
        <f aca="false">C702-D702</f>
        <v>0</v>
      </c>
    </row>
    <row r="703" customFormat="false" ht="15" hidden="false" customHeight="false" outlineLevel="0" collapsed="false">
      <c r="A703" s="95" t="n">
        <v>8</v>
      </c>
      <c r="B703" s="116" t="s">
        <v>798</v>
      </c>
      <c r="C703" s="96" t="n">
        <v>416500</v>
      </c>
      <c r="D703" s="96" t="n">
        <f aca="false">156500+50000+60000+150000</f>
        <v>416500</v>
      </c>
      <c r="E703" s="97" t="n">
        <f aca="false">C703-D703</f>
        <v>0</v>
      </c>
    </row>
    <row r="704" customFormat="false" ht="15" hidden="false" customHeight="false" outlineLevel="0" collapsed="false">
      <c r="A704" s="95" t="n">
        <v>9</v>
      </c>
      <c r="B704" s="116" t="s">
        <v>799</v>
      </c>
      <c r="C704" s="96" t="n">
        <v>416500</v>
      </c>
      <c r="D704" s="96"/>
      <c r="E704" s="97" t="n">
        <f aca="false">C704-D704</f>
        <v>416500</v>
      </c>
    </row>
    <row r="705" customFormat="false" ht="15" hidden="false" customHeight="false" outlineLevel="0" collapsed="false">
      <c r="A705" s="95" t="n">
        <v>10</v>
      </c>
      <c r="B705" s="116" t="s">
        <v>800</v>
      </c>
      <c r="C705" s="96" t="n">
        <v>416500</v>
      </c>
      <c r="D705" s="96"/>
      <c r="E705" s="97" t="n">
        <f aca="false">C705-D705</f>
        <v>416500</v>
      </c>
    </row>
    <row r="706" customFormat="false" ht="15" hidden="false" customHeight="false" outlineLevel="0" collapsed="false">
      <c r="A706" s="95" t="n">
        <v>11</v>
      </c>
      <c r="B706" s="116" t="s">
        <v>801</v>
      </c>
      <c r="C706" s="96" t="n">
        <v>416500</v>
      </c>
      <c r="D706" s="96" t="n">
        <f aca="false">50000+50000+50000+50000</f>
        <v>200000</v>
      </c>
      <c r="E706" s="97" t="n">
        <f aca="false">C706-D706</f>
        <v>216500</v>
      </c>
    </row>
    <row r="707" customFormat="false" ht="17.35" hidden="false" customHeight="false" outlineLevel="0" collapsed="false">
      <c r="A707" s="112"/>
      <c r="B707" s="100" t="s">
        <v>22</v>
      </c>
      <c r="C707" s="101" t="n">
        <f aca="false">SUM(C697:C706)</f>
        <v>4165000</v>
      </c>
      <c r="D707" s="102" t="n">
        <f aca="false">SUM(D697:D706)</f>
        <v>2699500</v>
      </c>
      <c r="E707" s="103" t="n">
        <f aca="false">SUM(E697:E706)</f>
        <v>1465500</v>
      </c>
    </row>
    <row r="708" customFormat="false" ht="15" hidden="false" customHeight="false" outlineLevel="0" collapsed="false">
      <c r="A708" s="104"/>
    </row>
    <row r="710" customFormat="false" ht="17.35" hidden="false" customHeight="false" outlineLevel="0" collapsed="false">
      <c r="A710" s="108"/>
      <c r="B710" s="2" t="s">
        <v>0</v>
      </c>
    </row>
    <row r="711" customFormat="false" ht="15" hidden="false" customHeight="false" outlineLevel="0" collapsed="false">
      <c r="A711" s="104"/>
    </row>
    <row r="712" customFormat="false" ht="17.35" hidden="false" customHeight="false" outlineLevel="0" collapsed="false">
      <c r="A712" s="104"/>
      <c r="B712" s="91" t="s">
        <v>283</v>
      </c>
    </row>
    <row r="713" customFormat="false" ht="15" hidden="false" customHeight="false" outlineLevel="0" collapsed="false">
      <c r="A713" s="104"/>
      <c r="B713" s="4" t="s">
        <v>802</v>
      </c>
    </row>
    <row r="714" customFormat="false" ht="15" hidden="false" customHeight="false" outlineLevel="0" collapsed="false">
      <c r="A714" s="104"/>
    </row>
    <row r="715" customFormat="false" ht="15" hidden="false" customHeight="false" outlineLevel="0" collapsed="false">
      <c r="A715" s="92" t="s">
        <v>4</v>
      </c>
      <c r="B715" s="93" t="s">
        <v>285</v>
      </c>
      <c r="C715" s="8" t="s">
        <v>6</v>
      </c>
      <c r="D715" s="94" t="s">
        <v>7</v>
      </c>
      <c r="E715" s="10" t="s">
        <v>8</v>
      </c>
    </row>
    <row r="716" customFormat="false" ht="15" hidden="false" customHeight="false" outlineLevel="0" collapsed="false">
      <c r="A716" s="95" t="n">
        <v>1</v>
      </c>
      <c r="B716" s="116" t="s">
        <v>803</v>
      </c>
      <c r="C716" s="96" t="n">
        <v>416500</v>
      </c>
      <c r="D716" s="96" t="n">
        <f aca="false">216500+200000</f>
        <v>416500</v>
      </c>
      <c r="E716" s="97" t="n">
        <f aca="false">C716-D716</f>
        <v>0</v>
      </c>
    </row>
    <row r="717" customFormat="false" ht="15" hidden="false" customHeight="false" outlineLevel="0" collapsed="false">
      <c r="A717" s="95" t="n">
        <v>2</v>
      </c>
      <c r="B717" s="116" t="s">
        <v>804</v>
      </c>
      <c r="C717" s="96" t="n">
        <v>416500</v>
      </c>
      <c r="D717" s="96" t="n">
        <f aca="false">216500+200000</f>
        <v>416500</v>
      </c>
      <c r="E717" s="97" t="n">
        <f aca="false">C717-D717</f>
        <v>0</v>
      </c>
    </row>
    <row r="718" customFormat="false" ht="15" hidden="false" customHeight="false" outlineLevel="0" collapsed="false">
      <c r="A718" s="95" t="n">
        <v>3</v>
      </c>
      <c r="B718" s="116" t="s">
        <v>805</v>
      </c>
      <c r="C718" s="96" t="n">
        <v>416500</v>
      </c>
      <c r="D718" s="96" t="n">
        <f aca="false">216000+200000+500</f>
        <v>416500</v>
      </c>
      <c r="E718" s="97" t="n">
        <f aca="false">C718-D718</f>
        <v>0</v>
      </c>
    </row>
    <row r="719" customFormat="false" ht="15" hidden="false" customHeight="false" outlineLevel="0" collapsed="false">
      <c r="A719" s="95" t="n">
        <v>4</v>
      </c>
      <c r="B719" s="116" t="s">
        <v>806</v>
      </c>
      <c r="C719" s="96" t="n">
        <v>416500</v>
      </c>
      <c r="D719" s="96" t="n">
        <f aca="false">216500+200000</f>
        <v>416500</v>
      </c>
      <c r="E719" s="97" t="n">
        <f aca="false">C719-D719</f>
        <v>0</v>
      </c>
    </row>
    <row r="720" customFormat="false" ht="15" hidden="false" customHeight="false" outlineLevel="0" collapsed="false">
      <c r="A720" s="95" t="n">
        <v>5</v>
      </c>
      <c r="B720" s="139" t="s">
        <v>807</v>
      </c>
      <c r="C720" s="96" t="n">
        <v>416500</v>
      </c>
      <c r="D720" s="96" t="n">
        <f aca="false">216500</f>
        <v>216500</v>
      </c>
      <c r="E720" s="97" t="n">
        <f aca="false">C720-D720</f>
        <v>200000</v>
      </c>
    </row>
    <row r="721" customFormat="false" ht="15" hidden="false" customHeight="false" outlineLevel="0" collapsed="false">
      <c r="A721" s="154" t="n">
        <v>6</v>
      </c>
      <c r="B721" s="116" t="s">
        <v>808</v>
      </c>
      <c r="C721" s="96" t="n">
        <v>416500</v>
      </c>
      <c r="D721" s="96" t="n">
        <f aca="false">216500+200000</f>
        <v>416500</v>
      </c>
      <c r="E721" s="97" t="n">
        <f aca="false">C721-D721</f>
        <v>0</v>
      </c>
    </row>
    <row r="722" customFormat="false" ht="17.35" hidden="false" customHeight="false" outlineLevel="0" collapsed="false">
      <c r="A722" s="112"/>
      <c r="B722" s="100" t="s">
        <v>22</v>
      </c>
      <c r="C722" s="101" t="n">
        <f aca="false">SUM(C716:C721)</f>
        <v>2499000</v>
      </c>
      <c r="D722" s="102" t="n">
        <f aca="false">SUM(D716:D721)</f>
        <v>2299000</v>
      </c>
      <c r="E722" s="103" t="n">
        <f aca="false">SUM(E716:E721)</f>
        <v>200000</v>
      </c>
    </row>
    <row r="724" customFormat="false" ht="15" hidden="false" customHeight="false" outlineLevel="0" collapsed="false">
      <c r="F724" s="1"/>
    </row>
    <row r="728" customFormat="false" ht="15" hidden="false" customHeight="false" outlineLevel="0" collapsed="false">
      <c r="B728" s="155" t="s">
        <v>809</v>
      </c>
      <c r="C728" s="156" t="s">
        <v>6</v>
      </c>
      <c r="D728" s="157" t="s">
        <v>7</v>
      </c>
      <c r="E728" s="158" t="s">
        <v>810</v>
      </c>
    </row>
    <row r="729" customFormat="false" ht="16.15" hidden="false" customHeight="false" outlineLevel="0" collapsed="false">
      <c r="B729" s="155"/>
      <c r="C729" s="159" t="n">
        <f aca="false">C37+C84+C134+C174+C222+C261+C304+C357+C384+C410+C431+C453+C473+C499+C516+C535+C552+C587+C604+C631+C654+C676+C707+C722</f>
        <v>194789100</v>
      </c>
      <c r="D729" s="160" t="n">
        <f aca="false">D37+D84+D134+D174+D222+D261+D304+D357+D384+D410+D431+D453+D473+D499+D516+D535+D552+D574+D587+D604+D631+D654+D676+D688+D707+D722</f>
        <v>149133450</v>
      </c>
      <c r="E729" s="161" t="n">
        <f aca="false">E37+E84+E134+E174+E222+E261+E304+E357+E384+E410+E431+E453+E473+E499+E516+E535+E552+E574+E587+E604+E631+E654+E676+E707+E722</f>
        <v>54822200</v>
      </c>
    </row>
  </sheetData>
  <mergeCells count="1">
    <mergeCell ref="B728:B7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G97"/>
  <sheetViews>
    <sheetView showFormulas="false" showGridLines="true" showRowColHeaders="true" showZeros="true" rightToLeft="false" tabSelected="false" showOutlineSymbols="true" defaultGridColor="true" view="pageBreakPreview" topLeftCell="A12" colorId="64" zoomScale="100" zoomScaleNormal="100" zoomScalePageLayoutView="100" workbookViewId="0">
      <selection pane="topLeft" activeCell="N55" activeCellId="0" sqref="N55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5.86"/>
    <col collapsed="false" customWidth="true" hidden="false" outlineLevel="0" max="2" min="2" style="1" width="34.57"/>
    <col collapsed="false" customWidth="true" hidden="false" outlineLevel="0" max="3" min="3" style="1" width="13.71"/>
    <col collapsed="false" customWidth="true" hidden="false" outlineLevel="0" max="4" min="4" style="1" width="14"/>
    <col collapsed="false" customWidth="true" hidden="false" outlineLevel="0" max="5" min="5" style="1" width="13.86"/>
  </cols>
  <sheetData>
    <row r="4" customFormat="false" ht="15" hidden="false" customHeight="false" outlineLevel="0" collapsed="false">
      <c r="A4" s="162" t="s">
        <v>811</v>
      </c>
      <c r="B4" s="153"/>
      <c r="C4" s="153"/>
      <c r="D4" s="153"/>
      <c r="E4" s="153"/>
      <c r="F4" s="153"/>
    </row>
    <row r="6" customFormat="false" ht="15" hidden="false" customHeight="false" outlineLevel="0" collapsed="false">
      <c r="B6" s="163" t="s">
        <v>283</v>
      </c>
    </row>
    <row r="7" customFormat="false" ht="15" hidden="false" customHeight="false" outlineLevel="0" collapsed="false">
      <c r="B7" s="4" t="s">
        <v>493</v>
      </c>
    </row>
    <row r="9" customFormat="false" ht="15" hidden="false" customHeight="false" outlineLevel="0" collapsed="false">
      <c r="A9" s="92" t="s">
        <v>4</v>
      </c>
      <c r="B9" s="93" t="s">
        <v>285</v>
      </c>
      <c r="C9" s="8" t="s">
        <v>6</v>
      </c>
      <c r="D9" s="94" t="s">
        <v>7</v>
      </c>
      <c r="E9" s="10" t="s">
        <v>8</v>
      </c>
      <c r="G9" s="1" t="s">
        <v>812</v>
      </c>
    </row>
    <row r="10" customFormat="false" ht="15" hidden="false" customHeight="false" outlineLevel="0" collapsed="false">
      <c r="A10" s="95" t="n">
        <v>1</v>
      </c>
      <c r="B10" s="116" t="s">
        <v>813</v>
      </c>
      <c r="C10" s="164" t="n">
        <v>750000</v>
      </c>
      <c r="D10" s="165" t="n">
        <f aca="false">250000+250000+250000</f>
        <v>750000</v>
      </c>
      <c r="E10" s="166" t="n">
        <f aca="false">C10-D10</f>
        <v>0</v>
      </c>
    </row>
    <row r="11" customFormat="false" ht="15" hidden="false" customHeight="false" outlineLevel="0" collapsed="false">
      <c r="A11" s="95" t="n">
        <v>2</v>
      </c>
      <c r="B11" s="116" t="s">
        <v>814</v>
      </c>
      <c r="C11" s="164" t="n">
        <v>750000</v>
      </c>
      <c r="D11" s="165" t="n">
        <f aca="false">250000+250000+250000</f>
        <v>750000</v>
      </c>
      <c r="E11" s="166" t="n">
        <f aca="false">C11-D11</f>
        <v>0</v>
      </c>
    </row>
    <row r="12" customFormat="false" ht="15" hidden="false" customHeight="false" outlineLevel="0" collapsed="false">
      <c r="A12" s="95" t="n">
        <v>3</v>
      </c>
      <c r="B12" s="116" t="s">
        <v>815</v>
      </c>
      <c r="C12" s="164" t="n">
        <v>750000</v>
      </c>
      <c r="D12" s="165" t="n">
        <f aca="false">250000</f>
        <v>250000</v>
      </c>
      <c r="E12" s="166" t="n">
        <f aca="false">C12-D12</f>
        <v>500000</v>
      </c>
    </row>
    <row r="13" customFormat="false" ht="15" hidden="false" customHeight="false" outlineLevel="0" collapsed="false">
      <c r="A13" s="95" t="n">
        <v>4</v>
      </c>
      <c r="B13" s="116" t="s">
        <v>816</v>
      </c>
      <c r="C13" s="164" t="n">
        <v>750000</v>
      </c>
      <c r="D13" s="165" t="n">
        <f aca="false">250000+250000+250000</f>
        <v>750000</v>
      </c>
      <c r="E13" s="166" t="n">
        <f aca="false">C13-D13</f>
        <v>0</v>
      </c>
    </row>
    <row r="14" customFormat="false" ht="15" hidden="false" customHeight="false" outlineLevel="0" collapsed="false">
      <c r="A14" s="95" t="n">
        <v>5</v>
      </c>
      <c r="B14" s="116" t="s">
        <v>817</v>
      </c>
      <c r="C14" s="164" t="n">
        <v>750000</v>
      </c>
      <c r="D14" s="165" t="n">
        <f aca="false">200000+50000+80000+300000+50000+50000+20000</f>
        <v>750000</v>
      </c>
      <c r="E14" s="166" t="n">
        <f aca="false">C14-D14</f>
        <v>0</v>
      </c>
    </row>
    <row r="15" customFormat="false" ht="15" hidden="false" customHeight="false" outlineLevel="0" collapsed="false">
      <c r="A15" s="95" t="n">
        <v>6</v>
      </c>
      <c r="B15" s="116" t="s">
        <v>818</v>
      </c>
      <c r="C15" s="164" t="n">
        <v>750000</v>
      </c>
      <c r="D15" s="165" t="n">
        <f aca="false">50000+50000+150000+95000+55000+90000+90000+20000+40000+75000+35000</f>
        <v>750000</v>
      </c>
      <c r="E15" s="166" t="n">
        <f aca="false">C15-D15</f>
        <v>0</v>
      </c>
    </row>
    <row r="16" customFormat="false" ht="15" hidden="false" customHeight="false" outlineLevel="0" collapsed="false">
      <c r="A16" s="95" t="n">
        <v>7</v>
      </c>
      <c r="B16" s="116" t="s">
        <v>819</v>
      </c>
      <c r="C16" s="164" t="n">
        <v>750000</v>
      </c>
      <c r="D16" s="165" t="n">
        <f aca="false">250000+250000+250000</f>
        <v>750000</v>
      </c>
      <c r="E16" s="166" t="n">
        <f aca="false">C16-D16</f>
        <v>0</v>
      </c>
    </row>
    <row r="17" customFormat="false" ht="15" hidden="false" customHeight="false" outlineLevel="0" collapsed="false">
      <c r="A17" s="95" t="n">
        <v>8</v>
      </c>
      <c r="B17" s="116" t="s">
        <v>820</v>
      </c>
      <c r="C17" s="164" t="n">
        <v>750000</v>
      </c>
      <c r="D17" s="165" t="n">
        <f aca="false">500000+250000</f>
        <v>750000</v>
      </c>
      <c r="E17" s="166" t="n">
        <f aca="false">C17-D17</f>
        <v>0</v>
      </c>
    </row>
    <row r="18" customFormat="false" ht="15" hidden="false" customHeight="false" outlineLevel="0" collapsed="false">
      <c r="A18" s="95" t="n">
        <v>9</v>
      </c>
      <c r="B18" s="116" t="s">
        <v>821</v>
      </c>
      <c r="C18" s="164" t="n">
        <v>750000</v>
      </c>
      <c r="D18" s="165" t="n">
        <f aca="false">250000+250000+100000+150000</f>
        <v>750000</v>
      </c>
      <c r="E18" s="166" t="n">
        <f aca="false">C18-D18</f>
        <v>0</v>
      </c>
    </row>
    <row r="19" customFormat="false" ht="15" hidden="false" customHeight="false" outlineLevel="0" collapsed="false">
      <c r="A19" s="95" t="n">
        <v>10</v>
      </c>
      <c r="B19" s="116" t="s">
        <v>822</v>
      </c>
      <c r="C19" s="164" t="n">
        <v>750000</v>
      </c>
      <c r="D19" s="165" t="n">
        <f aca="false">250000+250000+250000</f>
        <v>750000</v>
      </c>
      <c r="E19" s="166" t="n">
        <f aca="false">C19-D19</f>
        <v>0</v>
      </c>
    </row>
    <row r="20" customFormat="false" ht="15" hidden="false" customHeight="false" outlineLevel="0" collapsed="false">
      <c r="A20" s="95" t="n">
        <v>11</v>
      </c>
      <c r="B20" s="116" t="s">
        <v>823</v>
      </c>
      <c r="C20" s="164" t="n">
        <v>750000</v>
      </c>
      <c r="D20" s="165" t="n">
        <f aca="false">250000+100000+400000</f>
        <v>750000</v>
      </c>
      <c r="E20" s="166" t="n">
        <f aca="false">C20-D20</f>
        <v>0</v>
      </c>
    </row>
    <row r="21" customFormat="false" ht="15" hidden="false" customHeight="false" outlineLevel="0" collapsed="false">
      <c r="A21" s="95" t="n">
        <v>12</v>
      </c>
      <c r="B21" s="116" t="s">
        <v>824</v>
      </c>
      <c r="C21" s="164" t="n">
        <v>750000</v>
      </c>
      <c r="D21" s="165" t="n">
        <f aca="false">250000+250000+250000</f>
        <v>750000</v>
      </c>
      <c r="E21" s="166" t="n">
        <f aca="false">C21-D21</f>
        <v>0</v>
      </c>
    </row>
    <row r="22" customFormat="false" ht="15" hidden="false" customHeight="false" outlineLevel="0" collapsed="false">
      <c r="A22" s="95" t="n">
        <v>13</v>
      </c>
      <c r="B22" s="116" t="s">
        <v>825</v>
      </c>
      <c r="C22" s="164" t="n">
        <v>750000</v>
      </c>
      <c r="D22" s="165" t="n">
        <f aca="false">250000+250000+250000</f>
        <v>750000</v>
      </c>
      <c r="E22" s="166" t="n">
        <f aca="false">C22-D22</f>
        <v>0</v>
      </c>
    </row>
    <row r="23" customFormat="false" ht="15" hidden="false" customHeight="false" outlineLevel="0" collapsed="false">
      <c r="A23" s="95" t="n">
        <v>14</v>
      </c>
      <c r="B23" s="116" t="s">
        <v>826</v>
      </c>
      <c r="C23" s="164" t="n">
        <v>750000</v>
      </c>
      <c r="D23" s="165" t="n">
        <f aca="false">250000+200000+300000</f>
        <v>750000</v>
      </c>
      <c r="E23" s="166" t="n">
        <f aca="false">C23-D23</f>
        <v>0</v>
      </c>
    </row>
    <row r="24" customFormat="false" ht="15" hidden="false" customHeight="false" outlineLevel="0" collapsed="false">
      <c r="A24" s="95" t="n">
        <v>15</v>
      </c>
      <c r="B24" s="116" t="s">
        <v>827</v>
      </c>
      <c r="C24" s="164" t="n">
        <v>750000</v>
      </c>
      <c r="D24" s="165" t="n">
        <f aca="false">250000+100000+200000+200000</f>
        <v>750000</v>
      </c>
      <c r="E24" s="166" t="n">
        <f aca="false">C24-D24</f>
        <v>0</v>
      </c>
    </row>
    <row r="25" customFormat="false" ht="15" hidden="false" customHeight="false" outlineLevel="0" collapsed="false">
      <c r="A25" s="95" t="n">
        <v>16</v>
      </c>
      <c r="B25" s="116" t="s">
        <v>828</v>
      </c>
      <c r="C25" s="164" t="n">
        <v>750000</v>
      </c>
      <c r="D25" s="165" t="n">
        <f aca="false">150000+50000+50000+100000+100000+300000</f>
        <v>750000</v>
      </c>
      <c r="E25" s="166" t="n">
        <f aca="false">C25-D25</f>
        <v>0</v>
      </c>
    </row>
    <row r="26" customFormat="false" ht="15" hidden="false" customHeight="false" outlineLevel="0" collapsed="false">
      <c r="A26" s="167" t="n">
        <v>17</v>
      </c>
      <c r="B26" s="116" t="s">
        <v>829</v>
      </c>
      <c r="C26" s="164" t="n">
        <v>750000</v>
      </c>
      <c r="D26" s="164" t="n">
        <f aca="false">130000+100000+20000+105000+100000+295000</f>
        <v>750000</v>
      </c>
      <c r="E26" s="166" t="n">
        <f aca="false">C26-D26</f>
        <v>0</v>
      </c>
    </row>
    <row r="27" customFormat="false" ht="19.7" hidden="false" customHeight="false" outlineLevel="0" collapsed="false">
      <c r="A27" s="112"/>
      <c r="B27" s="141" t="s">
        <v>22</v>
      </c>
      <c r="C27" s="101" t="n">
        <f aca="false">SUM(C10:C26)</f>
        <v>12750000</v>
      </c>
      <c r="D27" s="102" t="n">
        <f aca="false">SUM(D10:D26)</f>
        <v>12250000</v>
      </c>
      <c r="E27" s="103" t="n">
        <f aca="false">SUM(E10:E26)</f>
        <v>500000</v>
      </c>
    </row>
    <row r="32" customFormat="false" ht="17.35" hidden="false" customHeight="false" outlineLevel="0" collapsed="false">
      <c r="A32" s="2"/>
      <c r="B32" s="2" t="s">
        <v>830</v>
      </c>
    </row>
    <row r="34" customFormat="false" ht="17.25" hidden="false" customHeight="false" outlineLevel="0" collapsed="false">
      <c r="B34" s="3" t="s">
        <v>831</v>
      </c>
    </row>
    <row r="36" customFormat="false" ht="17.35" hidden="false" customHeight="false" outlineLevel="0" collapsed="false">
      <c r="B36" s="91"/>
    </row>
    <row r="37" customFormat="false" ht="15" hidden="false" customHeight="false" outlineLevel="0" collapsed="false">
      <c r="B37" s="4" t="s">
        <v>832</v>
      </c>
    </row>
    <row r="39" customFormat="false" ht="15" hidden="false" customHeight="false" outlineLevel="0" collapsed="false">
      <c r="A39" s="92" t="s">
        <v>4</v>
      </c>
      <c r="B39" s="93" t="s">
        <v>285</v>
      </c>
      <c r="C39" s="8" t="s">
        <v>6</v>
      </c>
      <c r="D39" s="94" t="s">
        <v>7</v>
      </c>
      <c r="E39" s="10" t="s">
        <v>8</v>
      </c>
    </row>
    <row r="40" customFormat="false" ht="15" hidden="false" customHeight="false" outlineLevel="0" collapsed="false">
      <c r="A40" s="95" t="n">
        <v>1</v>
      </c>
      <c r="B40" s="116" t="s">
        <v>833</v>
      </c>
      <c r="C40" s="164" t="n">
        <v>425000</v>
      </c>
      <c r="D40" s="164" t="n">
        <f aca="false">200000+225000</f>
        <v>425000</v>
      </c>
      <c r="E40" s="166" t="n">
        <f aca="false">C40-D40</f>
        <v>0</v>
      </c>
    </row>
    <row r="41" customFormat="false" ht="15" hidden="false" customHeight="false" outlineLevel="0" collapsed="false">
      <c r="A41" s="95" t="n">
        <v>2</v>
      </c>
      <c r="B41" s="116" t="s">
        <v>834</v>
      </c>
      <c r="C41" s="164" t="n">
        <v>425000</v>
      </c>
      <c r="D41" s="164" t="n">
        <v>425000</v>
      </c>
      <c r="E41" s="166" t="n">
        <f aca="false">C41-D41</f>
        <v>0</v>
      </c>
    </row>
    <row r="42" customFormat="false" ht="15" hidden="false" customHeight="false" outlineLevel="0" collapsed="false">
      <c r="A42" s="95" t="n">
        <v>3</v>
      </c>
      <c r="B42" s="116" t="s">
        <v>835</v>
      </c>
      <c r="C42" s="164" t="n">
        <v>425000</v>
      </c>
      <c r="D42" s="164" t="n">
        <v>425000</v>
      </c>
      <c r="E42" s="166" t="n">
        <f aca="false">C42-D42</f>
        <v>0</v>
      </c>
    </row>
    <row r="43" customFormat="false" ht="15" hidden="false" customHeight="false" outlineLevel="0" collapsed="false">
      <c r="A43" s="95" t="n">
        <v>4</v>
      </c>
      <c r="B43" s="116" t="s">
        <v>836</v>
      </c>
      <c r="C43" s="164" t="n">
        <v>425000</v>
      </c>
      <c r="D43" s="164" t="n">
        <v>425000</v>
      </c>
      <c r="E43" s="166" t="n">
        <f aca="false">C43-D43</f>
        <v>0</v>
      </c>
    </row>
    <row r="44" customFormat="false" ht="15" hidden="false" customHeight="false" outlineLevel="0" collapsed="false">
      <c r="A44" s="95" t="n">
        <v>5</v>
      </c>
      <c r="B44" s="116" t="s">
        <v>837</v>
      </c>
      <c r="C44" s="164" t="n">
        <v>425000</v>
      </c>
      <c r="D44" s="164" t="n">
        <v>425000</v>
      </c>
      <c r="E44" s="166" t="n">
        <f aca="false">C44-D44</f>
        <v>0</v>
      </c>
    </row>
    <row r="45" customFormat="false" ht="15" hidden="false" customHeight="false" outlineLevel="0" collapsed="false">
      <c r="A45" s="95" t="n">
        <v>6</v>
      </c>
      <c r="B45" s="116" t="s">
        <v>838</v>
      </c>
      <c r="C45" s="164" t="n">
        <v>425000</v>
      </c>
      <c r="D45" s="164" t="n">
        <v>425000</v>
      </c>
      <c r="E45" s="166" t="n">
        <f aca="false">C45-D45</f>
        <v>0</v>
      </c>
    </row>
    <row r="46" customFormat="false" ht="15" hidden="false" customHeight="false" outlineLevel="0" collapsed="false">
      <c r="A46" s="95" t="n">
        <v>7</v>
      </c>
      <c r="B46" s="116" t="s">
        <v>839</v>
      </c>
      <c r="C46" s="164" t="n">
        <v>425000</v>
      </c>
      <c r="D46" s="164" t="n">
        <v>425000</v>
      </c>
      <c r="E46" s="166" t="n">
        <f aca="false">C46-D46</f>
        <v>0</v>
      </c>
    </row>
    <row r="47" customFormat="false" ht="15" hidden="false" customHeight="false" outlineLevel="0" collapsed="false">
      <c r="A47" s="95" t="n">
        <v>8</v>
      </c>
      <c r="B47" s="116" t="s">
        <v>840</v>
      </c>
      <c r="C47" s="164" t="n">
        <v>425000</v>
      </c>
      <c r="D47" s="164" t="n">
        <f aca="false">100000+150000+100000+75000</f>
        <v>425000</v>
      </c>
      <c r="E47" s="166" t="n">
        <f aca="false">C47-D47</f>
        <v>0</v>
      </c>
    </row>
    <row r="48" customFormat="false" ht="15" hidden="false" customHeight="false" outlineLevel="0" collapsed="false">
      <c r="A48" s="95" t="n">
        <v>9</v>
      </c>
      <c r="B48" s="116" t="s">
        <v>841</v>
      </c>
      <c r="C48" s="164" t="n">
        <v>425000</v>
      </c>
      <c r="D48" s="164"/>
      <c r="E48" s="166" t="n">
        <f aca="false">C48-D48</f>
        <v>425000</v>
      </c>
    </row>
    <row r="49" customFormat="false" ht="15" hidden="false" customHeight="false" outlineLevel="0" collapsed="false">
      <c r="A49" s="95" t="n">
        <v>10</v>
      </c>
      <c r="B49" s="116" t="s">
        <v>842</v>
      </c>
      <c r="C49" s="164" t="n">
        <v>425000</v>
      </c>
      <c r="D49" s="164" t="n">
        <v>425000</v>
      </c>
      <c r="E49" s="166" t="n">
        <f aca="false">C49-D49</f>
        <v>0</v>
      </c>
    </row>
    <row r="50" customFormat="false" ht="15" hidden="false" customHeight="false" outlineLevel="0" collapsed="false">
      <c r="A50" s="95" t="n">
        <v>11</v>
      </c>
      <c r="B50" s="116" t="s">
        <v>843</v>
      </c>
      <c r="C50" s="164" t="n">
        <v>425000</v>
      </c>
      <c r="D50" s="164"/>
      <c r="E50" s="166" t="n">
        <f aca="false">C50-D50</f>
        <v>425000</v>
      </c>
    </row>
    <row r="51" customFormat="false" ht="15" hidden="false" customHeight="false" outlineLevel="0" collapsed="false">
      <c r="A51" s="95" t="n">
        <v>12</v>
      </c>
      <c r="B51" s="116" t="s">
        <v>844</v>
      </c>
      <c r="C51" s="164" t="n">
        <v>425000</v>
      </c>
      <c r="D51" s="164" t="n">
        <v>425000</v>
      </c>
      <c r="E51" s="166" t="n">
        <f aca="false">C51-D51</f>
        <v>0</v>
      </c>
    </row>
    <row r="52" customFormat="false" ht="15" hidden="false" customHeight="false" outlineLevel="0" collapsed="false">
      <c r="A52" s="95" t="n">
        <v>13</v>
      </c>
      <c r="B52" s="116" t="s">
        <v>845</v>
      </c>
      <c r="C52" s="164" t="n">
        <v>425000</v>
      </c>
      <c r="D52" s="164"/>
      <c r="E52" s="166" t="n">
        <f aca="false">C52-D52</f>
        <v>425000</v>
      </c>
    </row>
    <row r="53" customFormat="false" ht="15" hidden="false" customHeight="false" outlineLevel="0" collapsed="false">
      <c r="A53" s="95" t="n">
        <v>14</v>
      </c>
      <c r="B53" s="116" t="s">
        <v>846</v>
      </c>
      <c r="C53" s="164" t="n">
        <v>425000</v>
      </c>
      <c r="D53" s="164" t="n">
        <f aca="false">100000+135000+95000+95000</f>
        <v>425000</v>
      </c>
      <c r="E53" s="166" t="n">
        <f aca="false">C53-D53</f>
        <v>0</v>
      </c>
    </row>
    <row r="54" customFormat="false" ht="15" hidden="false" customHeight="false" outlineLevel="0" collapsed="false">
      <c r="A54" s="95" t="n">
        <v>15</v>
      </c>
      <c r="B54" s="116" t="s">
        <v>847</v>
      </c>
      <c r="C54" s="164" t="n">
        <v>425000</v>
      </c>
      <c r="D54" s="164" t="n">
        <v>425000</v>
      </c>
      <c r="E54" s="166" t="n">
        <f aca="false">C54-D54</f>
        <v>0</v>
      </c>
    </row>
    <row r="55" customFormat="false" ht="15" hidden="false" customHeight="false" outlineLevel="0" collapsed="false">
      <c r="A55" s="95" t="n">
        <v>16</v>
      </c>
      <c r="B55" s="116" t="s">
        <v>848</v>
      </c>
      <c r="C55" s="164" t="n">
        <v>425000</v>
      </c>
      <c r="D55" s="164" t="n">
        <v>425000</v>
      </c>
      <c r="E55" s="166" t="n">
        <f aca="false">C55-D55</f>
        <v>0</v>
      </c>
    </row>
    <row r="56" customFormat="false" ht="15" hidden="false" customHeight="false" outlineLevel="0" collapsed="false">
      <c r="A56" s="95" t="n">
        <v>17</v>
      </c>
      <c r="B56" s="116" t="s">
        <v>849</v>
      </c>
      <c r="C56" s="164" t="n">
        <v>425000</v>
      </c>
      <c r="D56" s="164" t="n">
        <v>425000</v>
      </c>
      <c r="E56" s="166" t="n">
        <f aca="false">C56-D56</f>
        <v>0</v>
      </c>
    </row>
    <row r="57" customFormat="false" ht="15" hidden="false" customHeight="false" outlineLevel="0" collapsed="false">
      <c r="A57" s="95" t="n">
        <v>18</v>
      </c>
      <c r="B57" s="116" t="s">
        <v>850</v>
      </c>
      <c r="C57" s="164" t="n">
        <v>425000</v>
      </c>
      <c r="D57" s="164" t="n">
        <v>425000</v>
      </c>
      <c r="E57" s="166" t="n">
        <f aca="false">C57-D57</f>
        <v>0</v>
      </c>
    </row>
    <row r="58" customFormat="false" ht="15" hidden="false" customHeight="false" outlineLevel="0" collapsed="false">
      <c r="A58" s="95" t="n">
        <v>19</v>
      </c>
      <c r="B58" s="116" t="s">
        <v>851</v>
      </c>
      <c r="C58" s="164" t="n">
        <v>425000</v>
      </c>
      <c r="D58" s="164" t="n">
        <v>425000</v>
      </c>
      <c r="E58" s="166" t="n">
        <f aca="false">C58-D58</f>
        <v>0</v>
      </c>
    </row>
    <row r="59" customFormat="false" ht="15" hidden="false" customHeight="false" outlineLevel="0" collapsed="false">
      <c r="A59" s="95" t="n">
        <v>20</v>
      </c>
      <c r="B59" s="116" t="s">
        <v>852</v>
      </c>
      <c r="C59" s="164" t="n">
        <v>425000</v>
      </c>
      <c r="D59" s="164" t="n">
        <f aca="false">95000+35000+70000+65000+35000+90000+35000</f>
        <v>425000</v>
      </c>
      <c r="E59" s="166" t="n">
        <f aca="false">C59-D59</f>
        <v>0</v>
      </c>
    </row>
    <row r="60" customFormat="false" ht="15" hidden="false" customHeight="false" outlineLevel="0" collapsed="false">
      <c r="A60" s="95" t="n">
        <v>21</v>
      </c>
      <c r="B60" s="116" t="s">
        <v>853</v>
      </c>
      <c r="C60" s="164" t="n">
        <v>425000</v>
      </c>
      <c r="D60" s="164" t="n">
        <v>425000</v>
      </c>
      <c r="E60" s="166" t="n">
        <f aca="false">C60-D60</f>
        <v>0</v>
      </c>
    </row>
    <row r="61" customFormat="false" ht="15" hidden="false" customHeight="false" outlineLevel="0" collapsed="false">
      <c r="A61" s="95" t="n">
        <v>22</v>
      </c>
      <c r="B61" s="116" t="s">
        <v>854</v>
      </c>
      <c r="C61" s="164" t="n">
        <v>425000</v>
      </c>
      <c r="D61" s="164" t="n">
        <v>425000</v>
      </c>
      <c r="E61" s="166" t="n">
        <f aca="false">C61-D61</f>
        <v>0</v>
      </c>
    </row>
    <row r="62" customFormat="false" ht="15" hidden="false" customHeight="false" outlineLevel="0" collapsed="false">
      <c r="A62" s="95" t="n">
        <v>23</v>
      </c>
      <c r="B62" s="116" t="s">
        <v>855</v>
      </c>
      <c r="C62" s="164" t="n">
        <v>425000</v>
      </c>
      <c r="D62" s="164" t="n">
        <v>425000</v>
      </c>
      <c r="E62" s="166" t="n">
        <f aca="false">C62-D62</f>
        <v>0</v>
      </c>
    </row>
    <row r="63" customFormat="false" ht="15" hidden="false" customHeight="false" outlineLevel="0" collapsed="false">
      <c r="A63" s="95" t="n">
        <v>24</v>
      </c>
      <c r="B63" s="116" t="s">
        <v>856</v>
      </c>
      <c r="C63" s="164" t="n">
        <v>425000</v>
      </c>
      <c r="D63" s="164" t="n">
        <f aca="false">125000+300000</f>
        <v>425000</v>
      </c>
      <c r="E63" s="166" t="n">
        <f aca="false">C63-D63</f>
        <v>0</v>
      </c>
    </row>
    <row r="64" customFormat="false" ht="15" hidden="false" customHeight="false" outlineLevel="0" collapsed="false">
      <c r="A64" s="95" t="n">
        <v>25</v>
      </c>
      <c r="B64" s="116" t="s">
        <v>857</v>
      </c>
      <c r="C64" s="164" t="n">
        <v>425000</v>
      </c>
      <c r="D64" s="164" t="n">
        <v>425000</v>
      </c>
      <c r="E64" s="166" t="n">
        <f aca="false">C64-D64</f>
        <v>0</v>
      </c>
    </row>
    <row r="65" customFormat="false" ht="15" hidden="false" customHeight="false" outlineLevel="0" collapsed="false">
      <c r="A65" s="95" t="n">
        <v>26</v>
      </c>
      <c r="B65" s="116" t="s">
        <v>858</v>
      </c>
      <c r="C65" s="164" t="n">
        <v>425000</v>
      </c>
      <c r="D65" s="164" t="n">
        <f aca="false">200000+125000+100000</f>
        <v>425000</v>
      </c>
      <c r="E65" s="166" t="n">
        <f aca="false">C65-D65</f>
        <v>0</v>
      </c>
    </row>
    <row r="66" customFormat="false" ht="15" hidden="false" customHeight="false" outlineLevel="0" collapsed="false">
      <c r="A66" s="95" t="n">
        <v>27</v>
      </c>
      <c r="B66" s="116" t="s">
        <v>859</v>
      </c>
      <c r="C66" s="164" t="n">
        <v>425000</v>
      </c>
      <c r="D66" s="164" t="n">
        <v>425000</v>
      </c>
      <c r="E66" s="166" t="n">
        <f aca="false">C66-D66</f>
        <v>0</v>
      </c>
    </row>
    <row r="67" customFormat="false" ht="15" hidden="false" customHeight="false" outlineLevel="0" collapsed="false">
      <c r="A67" s="95" t="n">
        <v>28</v>
      </c>
      <c r="B67" s="116" t="s">
        <v>860</v>
      </c>
      <c r="C67" s="164" t="n">
        <v>425000</v>
      </c>
      <c r="D67" s="164" t="n">
        <v>425000</v>
      </c>
      <c r="E67" s="166" t="n">
        <f aca="false">C67-D67</f>
        <v>0</v>
      </c>
      <c r="F67" s="113" t="n">
        <v>50</v>
      </c>
    </row>
    <row r="68" customFormat="false" ht="15" hidden="false" customHeight="false" outlineLevel="0" collapsed="false">
      <c r="A68" s="95" t="n">
        <v>29</v>
      </c>
      <c r="B68" s="116" t="s">
        <v>861</v>
      </c>
      <c r="C68" s="164" t="n">
        <v>425000</v>
      </c>
      <c r="D68" s="164" t="n">
        <v>425000</v>
      </c>
      <c r="E68" s="166" t="n">
        <f aca="false">C68-D68</f>
        <v>0</v>
      </c>
    </row>
    <row r="69" customFormat="false" ht="15" hidden="false" customHeight="false" outlineLevel="0" collapsed="false">
      <c r="A69" s="95" t="n">
        <v>30</v>
      </c>
      <c r="B69" s="116" t="s">
        <v>862</v>
      </c>
      <c r="C69" s="164" t="n">
        <v>425000</v>
      </c>
      <c r="D69" s="164" t="n">
        <f aca="false">200000+225000</f>
        <v>425000</v>
      </c>
      <c r="E69" s="166" t="n">
        <f aca="false">C69-D69</f>
        <v>0</v>
      </c>
    </row>
    <row r="70" customFormat="false" ht="15" hidden="false" customHeight="false" outlineLevel="0" collapsed="false">
      <c r="A70" s="95" t="n">
        <v>31</v>
      </c>
      <c r="B70" s="116" t="s">
        <v>863</v>
      </c>
      <c r="C70" s="164" t="n">
        <v>425000</v>
      </c>
      <c r="D70" s="164" t="n">
        <v>425000</v>
      </c>
      <c r="E70" s="166" t="n">
        <f aca="false">C70-D70</f>
        <v>0</v>
      </c>
    </row>
    <row r="71" customFormat="false" ht="15" hidden="false" customHeight="false" outlineLevel="0" collapsed="false">
      <c r="A71" s="95" t="n">
        <v>32</v>
      </c>
      <c r="B71" s="116" t="s">
        <v>864</v>
      </c>
      <c r="C71" s="164" t="n">
        <v>425000</v>
      </c>
      <c r="D71" s="164" t="n">
        <f aca="false">400000+25000</f>
        <v>425000</v>
      </c>
      <c r="E71" s="166" t="n">
        <f aca="false">C71-D71</f>
        <v>0</v>
      </c>
    </row>
    <row r="72" customFormat="false" ht="15" hidden="false" customHeight="false" outlineLevel="0" collapsed="false">
      <c r="A72" s="95" t="n">
        <v>33</v>
      </c>
      <c r="B72" s="116" t="s">
        <v>865</v>
      </c>
      <c r="C72" s="164" t="n">
        <v>425000</v>
      </c>
      <c r="D72" s="164" t="n">
        <f aca="false">416500+8500</f>
        <v>425000</v>
      </c>
      <c r="E72" s="166" t="n">
        <f aca="false">C72-D72</f>
        <v>0</v>
      </c>
    </row>
    <row r="73" customFormat="false" ht="15" hidden="false" customHeight="false" outlineLevel="0" collapsed="false">
      <c r="A73" s="95" t="n">
        <v>34</v>
      </c>
      <c r="B73" s="116" t="s">
        <v>866</v>
      </c>
      <c r="C73" s="164" t="n">
        <v>425000</v>
      </c>
      <c r="D73" s="164" t="n">
        <v>425000</v>
      </c>
      <c r="E73" s="166" t="n">
        <f aca="false">C73-D73</f>
        <v>0</v>
      </c>
    </row>
    <row r="74" customFormat="false" ht="15" hidden="false" customHeight="false" outlineLevel="0" collapsed="false">
      <c r="A74" s="95" t="n">
        <v>35</v>
      </c>
      <c r="B74" s="116" t="s">
        <v>867</v>
      </c>
      <c r="C74" s="164" t="n">
        <v>425000</v>
      </c>
      <c r="D74" s="164" t="n">
        <v>425000</v>
      </c>
      <c r="E74" s="166" t="n">
        <f aca="false">C74-D74</f>
        <v>0</v>
      </c>
    </row>
    <row r="75" customFormat="false" ht="15" hidden="false" customHeight="false" outlineLevel="0" collapsed="false">
      <c r="A75" s="95" t="n">
        <v>36</v>
      </c>
      <c r="B75" s="116" t="s">
        <v>868</v>
      </c>
      <c r="C75" s="164" t="n">
        <v>425000</v>
      </c>
      <c r="D75" s="164" t="n">
        <v>425000</v>
      </c>
      <c r="E75" s="166" t="n">
        <f aca="false">C75-D75</f>
        <v>0</v>
      </c>
    </row>
    <row r="76" customFormat="false" ht="15" hidden="false" customHeight="false" outlineLevel="0" collapsed="false">
      <c r="A76" s="95" t="n">
        <v>37</v>
      </c>
      <c r="B76" s="116" t="s">
        <v>869</v>
      </c>
      <c r="C76" s="164" t="n">
        <v>425000</v>
      </c>
      <c r="D76" s="164" t="n">
        <f aca="false">300000+125000</f>
        <v>425000</v>
      </c>
      <c r="E76" s="166" t="n">
        <f aca="false">C76-D76</f>
        <v>0</v>
      </c>
    </row>
    <row r="77" customFormat="false" ht="15" hidden="false" customHeight="false" outlineLevel="0" collapsed="false">
      <c r="A77" s="95" t="n">
        <v>38</v>
      </c>
      <c r="B77" s="116" t="s">
        <v>870</v>
      </c>
      <c r="C77" s="164" t="n">
        <v>425000</v>
      </c>
      <c r="D77" s="164" t="n">
        <v>425000</v>
      </c>
      <c r="E77" s="166" t="n">
        <f aca="false">C77-D77</f>
        <v>0</v>
      </c>
    </row>
    <row r="78" customFormat="false" ht="15" hidden="false" customHeight="false" outlineLevel="0" collapsed="false">
      <c r="A78" s="95" t="n">
        <v>39</v>
      </c>
      <c r="B78" s="116" t="s">
        <v>871</v>
      </c>
      <c r="C78" s="164" t="n">
        <v>425000</v>
      </c>
      <c r="D78" s="164" t="n">
        <v>425000</v>
      </c>
      <c r="E78" s="166" t="n">
        <f aca="false">C78-D78</f>
        <v>0</v>
      </c>
    </row>
    <row r="79" customFormat="false" ht="15" hidden="false" customHeight="false" outlineLevel="0" collapsed="false">
      <c r="A79" s="95" t="n">
        <v>40</v>
      </c>
      <c r="B79" s="116" t="s">
        <v>872</v>
      </c>
      <c r="C79" s="164" t="n">
        <v>425000</v>
      </c>
      <c r="D79" s="164" t="n">
        <f aca="false">200000+225000</f>
        <v>425000</v>
      </c>
      <c r="E79" s="166" t="n">
        <f aca="false">C79-D79</f>
        <v>0</v>
      </c>
    </row>
    <row r="80" customFormat="false" ht="15" hidden="false" customHeight="false" outlineLevel="0" collapsed="false">
      <c r="A80" s="95" t="n">
        <v>41</v>
      </c>
      <c r="B80" s="116" t="s">
        <v>873</v>
      </c>
      <c r="C80" s="164" t="n">
        <v>425000</v>
      </c>
      <c r="D80" s="164" t="n">
        <v>425000</v>
      </c>
      <c r="E80" s="166" t="n">
        <f aca="false">C80-D80</f>
        <v>0</v>
      </c>
    </row>
    <row r="81" customFormat="false" ht="15" hidden="false" customHeight="false" outlineLevel="0" collapsed="false">
      <c r="A81" s="95" t="n">
        <v>42</v>
      </c>
      <c r="B81" s="116" t="s">
        <v>874</v>
      </c>
      <c r="C81" s="164" t="n">
        <v>425000</v>
      </c>
      <c r="D81" s="164" t="n">
        <v>425000</v>
      </c>
      <c r="E81" s="166" t="n">
        <f aca="false">C81-D81</f>
        <v>0</v>
      </c>
    </row>
    <row r="82" customFormat="false" ht="15" hidden="false" customHeight="false" outlineLevel="0" collapsed="false">
      <c r="A82" s="95" t="n">
        <v>43</v>
      </c>
      <c r="B82" s="116" t="s">
        <v>875</v>
      </c>
      <c r="C82" s="164" t="n">
        <v>425000</v>
      </c>
      <c r="D82" s="164" t="n">
        <v>425000</v>
      </c>
      <c r="E82" s="166" t="n">
        <f aca="false">C82-D82</f>
        <v>0</v>
      </c>
    </row>
    <row r="83" customFormat="false" ht="15" hidden="false" customHeight="false" outlineLevel="0" collapsed="false">
      <c r="A83" s="95" t="n">
        <v>44</v>
      </c>
      <c r="B83" s="116" t="s">
        <v>876</v>
      </c>
      <c r="C83" s="164" t="n">
        <v>425000</v>
      </c>
      <c r="D83" s="164" t="n">
        <v>425000</v>
      </c>
      <c r="E83" s="166" t="n">
        <f aca="false">C83-D83</f>
        <v>0</v>
      </c>
    </row>
    <row r="84" customFormat="false" ht="15" hidden="false" customHeight="false" outlineLevel="0" collapsed="false">
      <c r="A84" s="95" t="n">
        <v>45</v>
      </c>
      <c r="B84" s="116" t="s">
        <v>877</v>
      </c>
      <c r="C84" s="164" t="n">
        <v>425000</v>
      </c>
      <c r="D84" s="164" t="n">
        <f aca="false">200000+200000+25000</f>
        <v>425000</v>
      </c>
      <c r="E84" s="166" t="n">
        <f aca="false">C84-D84</f>
        <v>0</v>
      </c>
    </row>
    <row r="85" customFormat="false" ht="15" hidden="false" customHeight="false" outlineLevel="0" collapsed="false">
      <c r="A85" s="95" t="n">
        <v>46</v>
      </c>
      <c r="B85" s="116" t="s">
        <v>878</v>
      </c>
      <c r="C85" s="164" t="n">
        <v>425000</v>
      </c>
      <c r="D85" s="164" t="n">
        <v>425000</v>
      </c>
      <c r="E85" s="166" t="n">
        <f aca="false">C85-D85</f>
        <v>0</v>
      </c>
    </row>
    <row r="86" customFormat="false" ht="15" hidden="false" customHeight="false" outlineLevel="0" collapsed="false">
      <c r="A86" s="95" t="n">
        <v>47</v>
      </c>
      <c r="B86" s="116" t="s">
        <v>879</v>
      </c>
      <c r="C86" s="164" t="n">
        <v>425000</v>
      </c>
      <c r="D86" s="164" t="n">
        <v>425000</v>
      </c>
      <c r="E86" s="166" t="n">
        <f aca="false">C86-D86</f>
        <v>0</v>
      </c>
    </row>
    <row r="87" customFormat="false" ht="15" hidden="false" customHeight="false" outlineLevel="0" collapsed="false">
      <c r="A87" s="95" t="n">
        <v>48</v>
      </c>
      <c r="B87" s="128" t="s">
        <v>880</v>
      </c>
      <c r="C87" s="164" t="n">
        <v>425000</v>
      </c>
      <c r="D87" s="164"/>
      <c r="E87" s="166" t="n">
        <f aca="false">C87-D87</f>
        <v>425000</v>
      </c>
    </row>
    <row r="88" customFormat="false" ht="15" hidden="false" customHeight="false" outlineLevel="0" collapsed="false">
      <c r="A88" s="95" t="n">
        <v>49</v>
      </c>
      <c r="B88" s="116" t="s">
        <v>881</v>
      </c>
      <c r="C88" s="164" t="n">
        <v>425000</v>
      </c>
      <c r="D88" s="164" t="n">
        <v>425000</v>
      </c>
      <c r="E88" s="166" t="n">
        <f aca="false">C88-D88</f>
        <v>0</v>
      </c>
    </row>
    <row r="89" customFormat="false" ht="15" hidden="false" customHeight="false" outlineLevel="0" collapsed="false">
      <c r="A89" s="95" t="n">
        <v>50</v>
      </c>
      <c r="B89" s="116" t="s">
        <v>882</v>
      </c>
      <c r="C89" s="164" t="n">
        <v>425000</v>
      </c>
      <c r="D89" s="164" t="n">
        <f aca="false">200000</f>
        <v>200000</v>
      </c>
      <c r="E89" s="166" t="n">
        <f aca="false">C89-D89</f>
        <v>225000</v>
      </c>
    </row>
    <row r="90" customFormat="false" ht="15" hidden="false" customHeight="false" outlineLevel="0" collapsed="false">
      <c r="A90" s="95" t="n">
        <v>51</v>
      </c>
      <c r="B90" s="116" t="s">
        <v>882</v>
      </c>
      <c r="C90" s="164" t="n">
        <v>425000</v>
      </c>
      <c r="D90" s="164" t="n">
        <v>425000</v>
      </c>
      <c r="E90" s="166" t="n">
        <f aca="false">C90-D90</f>
        <v>0</v>
      </c>
    </row>
    <row r="91" customFormat="false" ht="15" hidden="false" customHeight="false" outlineLevel="0" collapsed="false">
      <c r="A91" s="95" t="n">
        <v>52</v>
      </c>
      <c r="B91" s="116" t="s">
        <v>883</v>
      </c>
      <c r="C91" s="164" t="n">
        <v>425000</v>
      </c>
      <c r="D91" s="164" t="n">
        <v>425000</v>
      </c>
      <c r="E91" s="166" t="n">
        <f aca="false">C91-D91</f>
        <v>0</v>
      </c>
    </row>
    <row r="92" customFormat="false" ht="15" hidden="false" customHeight="false" outlineLevel="0" collapsed="false">
      <c r="A92" s="95" t="n">
        <v>53</v>
      </c>
      <c r="B92" s="116" t="s">
        <v>884</v>
      </c>
      <c r="C92" s="164" t="n">
        <v>425000</v>
      </c>
      <c r="D92" s="164" t="n">
        <v>425000</v>
      </c>
      <c r="E92" s="166" t="n">
        <f aca="false">C92-D92</f>
        <v>0</v>
      </c>
    </row>
    <row r="93" customFormat="false" ht="15" hidden="false" customHeight="false" outlineLevel="0" collapsed="false">
      <c r="A93" s="95" t="n">
        <v>54</v>
      </c>
      <c r="B93" s="116" t="s">
        <v>885</v>
      </c>
      <c r="C93" s="164" t="n">
        <v>425000</v>
      </c>
      <c r="D93" s="164" t="n">
        <v>425000</v>
      </c>
      <c r="E93" s="166" t="n">
        <f aca="false">C93-D93</f>
        <v>0</v>
      </c>
    </row>
    <row r="94" customFormat="false" ht="15" hidden="false" customHeight="false" outlineLevel="0" collapsed="false">
      <c r="A94" s="95" t="n">
        <v>55</v>
      </c>
      <c r="B94" s="116" t="s">
        <v>886</v>
      </c>
      <c r="C94" s="164" t="n">
        <v>425000</v>
      </c>
      <c r="D94" s="164" t="n">
        <v>425000</v>
      </c>
      <c r="E94" s="166" t="n">
        <f aca="false">C94-D94</f>
        <v>0</v>
      </c>
    </row>
    <row r="95" customFormat="false" ht="15" hidden="false" customHeight="false" outlineLevel="0" collapsed="false">
      <c r="A95" s="95" t="n">
        <v>56</v>
      </c>
      <c r="B95" s="116" t="s">
        <v>887</v>
      </c>
      <c r="C95" s="164" t="n">
        <v>425000</v>
      </c>
      <c r="D95" s="164" t="n">
        <v>425000</v>
      </c>
      <c r="E95" s="166" t="n">
        <f aca="false">C95-D95</f>
        <v>0</v>
      </c>
    </row>
    <row r="96" customFormat="false" ht="19.7" hidden="false" customHeight="false" outlineLevel="0" collapsed="false">
      <c r="A96" s="112"/>
      <c r="B96" s="141" t="s">
        <v>22</v>
      </c>
      <c r="C96" s="168" t="n">
        <f aca="false">SUM(C40:C95)</f>
        <v>23800000</v>
      </c>
      <c r="D96" s="102" t="n">
        <f aca="false">SUM(D40:D95)</f>
        <v>21875000</v>
      </c>
      <c r="E96" s="103" t="n">
        <f aca="false">SUM(E40:E95)</f>
        <v>1925000</v>
      </c>
    </row>
    <row r="97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4:G63"/>
  <sheetViews>
    <sheetView showFormulas="false" showGridLines="true" showRowColHeaders="true" showZeros="true" rightToLeft="false" tabSelected="false" showOutlineSymbols="true" defaultGridColor="true" view="pageBreakPreview" topLeftCell="A31" colorId="64" zoomScale="100" zoomScaleNormal="100" zoomScalePageLayoutView="100" workbookViewId="0">
      <selection pane="topLeft" activeCell="I62" activeCellId="0" sqref="I62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1" width="6.57"/>
    <col collapsed="false" customWidth="true" hidden="false" outlineLevel="0" max="3" min="3" style="1" width="17"/>
    <col collapsed="false" customWidth="true" hidden="false" outlineLevel="0" max="4" min="4" style="1" width="15.43"/>
    <col collapsed="false" customWidth="true" hidden="false" outlineLevel="0" max="5" min="5" style="1" width="14.43"/>
    <col collapsed="false" customWidth="true" hidden="false" outlineLevel="0" max="6" min="6" style="1" width="10.29"/>
  </cols>
  <sheetData>
    <row r="4" customFormat="false" ht="15" hidden="false" customHeight="false" outlineLevel="0" collapsed="false">
      <c r="A4" s="169" t="s">
        <v>888</v>
      </c>
      <c r="B4" s="170"/>
      <c r="C4" s="170"/>
      <c r="D4" s="170"/>
      <c r="E4" s="170"/>
      <c r="F4" s="170"/>
      <c r="G4" s="170"/>
    </row>
    <row r="5" customFormat="false" ht="15" hidden="false" customHeight="false" outlineLevel="0" collapsed="false">
      <c r="A5" s="171" t="s">
        <v>889</v>
      </c>
      <c r="B5" s="172"/>
      <c r="C5" s="172"/>
      <c r="D5" s="172"/>
      <c r="E5" s="172"/>
      <c r="F5" s="170"/>
      <c r="G5" s="170"/>
    </row>
    <row r="7" customFormat="false" ht="15" hidden="false" customHeight="false" outlineLevel="0" collapsed="false">
      <c r="A7" s="173" t="s">
        <v>890</v>
      </c>
      <c r="B7" s="174" t="s">
        <v>891</v>
      </c>
      <c r="C7" s="175" t="s">
        <v>892</v>
      </c>
      <c r="D7" s="176" t="s">
        <v>893</v>
      </c>
      <c r="E7" s="173" t="s">
        <v>894</v>
      </c>
      <c r="F7" s="177" t="s">
        <v>895</v>
      </c>
    </row>
    <row r="8" customFormat="false" ht="15" hidden="false" customHeight="false" outlineLevel="0" collapsed="false">
      <c r="A8" s="178"/>
      <c r="B8" s="179"/>
      <c r="C8" s="180"/>
      <c r="D8" s="180"/>
      <c r="E8" s="180"/>
      <c r="F8" s="181"/>
    </row>
    <row r="9" customFormat="false" ht="13.5" hidden="false" customHeight="true" outlineLevel="0" collapsed="false">
      <c r="A9" s="182" t="s">
        <v>896</v>
      </c>
      <c r="B9" s="183" t="n">
        <v>27</v>
      </c>
      <c r="C9" s="184" t="n">
        <f aca="false">'LICENCE PRO 1ère ANNEE'!C112</f>
        <v>11245500</v>
      </c>
      <c r="D9" s="184" t="n">
        <f aca="false">'LICENCE PRO 1ère ANNEE'!D112</f>
        <v>9462600</v>
      </c>
      <c r="E9" s="185" t="n">
        <f aca="false">C9-D9</f>
        <v>1782900</v>
      </c>
      <c r="F9" s="186"/>
    </row>
    <row r="10" customFormat="false" ht="12.75" hidden="false" customHeight="true" outlineLevel="0" collapsed="false">
      <c r="A10" s="182" t="s">
        <v>897</v>
      </c>
      <c r="B10" s="183" t="n">
        <v>34</v>
      </c>
      <c r="C10" s="184" t="n">
        <f aca="false">'LICENCE PRO. 2è-3è-4è ANNEE'!C304</f>
        <v>14161000</v>
      </c>
      <c r="D10" s="184" t="n">
        <f aca="false">'LICENCE PRO. 2è-3è-4è ANNEE'!D304</f>
        <v>9926500</v>
      </c>
      <c r="E10" s="185" t="n">
        <f aca="false">C10-D10</f>
        <v>4234500</v>
      </c>
      <c r="F10" s="186"/>
    </row>
    <row r="11" customFormat="false" ht="11.25" hidden="false" customHeight="true" outlineLevel="0" collapsed="false">
      <c r="A11" s="182" t="s">
        <v>898</v>
      </c>
      <c r="B11" s="183" t="n">
        <v>42</v>
      </c>
      <c r="C11" s="184" t="n">
        <f aca="false">'LICENCE PRO. 2è-3è-4è ANNEE'!C357</f>
        <v>18309500</v>
      </c>
      <c r="D11" s="184" t="n">
        <f aca="false">'LICENCE PRO. 2è-3è-4è ANNEE'!D357</f>
        <v>10404000</v>
      </c>
      <c r="E11" s="185" t="n">
        <f aca="false">C11-D11</f>
        <v>7905500</v>
      </c>
      <c r="F11" s="186"/>
    </row>
    <row r="12" customFormat="false" ht="11.25" hidden="false" customHeight="true" outlineLevel="0" collapsed="false">
      <c r="A12" s="182" t="s">
        <v>899</v>
      </c>
      <c r="B12" s="183" t="n">
        <v>18</v>
      </c>
      <c r="C12" s="184" t="n">
        <f aca="false">'LICENCE PRO. 2è-3è-4è ANNEE'!C384</f>
        <v>7497000</v>
      </c>
      <c r="D12" s="184" t="n">
        <f aca="false">'LICENCE PRO. 2è-3è-4è ANNEE'!D384</f>
        <v>4218500</v>
      </c>
      <c r="E12" s="185" t="n">
        <f aca="false">C12-D12</f>
        <v>3278500</v>
      </c>
      <c r="F12" s="186"/>
    </row>
    <row r="13" customFormat="false" ht="9" hidden="false" customHeight="true" outlineLevel="0" collapsed="false">
      <c r="A13" s="187"/>
      <c r="B13" s="188"/>
      <c r="C13" s="189"/>
      <c r="D13" s="189"/>
      <c r="E13" s="189"/>
      <c r="F13" s="190"/>
    </row>
    <row r="14" customFormat="false" ht="11.25" hidden="false" customHeight="true" outlineLevel="0" collapsed="false">
      <c r="A14" s="182" t="s">
        <v>900</v>
      </c>
      <c r="B14" s="183" t="n">
        <v>17</v>
      </c>
      <c r="C14" s="184" t="n">
        <f aca="false">'LICENCE PRO 1ère ANNEE'!C141</f>
        <v>7497000</v>
      </c>
      <c r="D14" s="184" t="n">
        <f aca="false">'LICENCE PRO 1ère ANNEE'!D141</f>
        <v>6048000</v>
      </c>
      <c r="E14" s="184" t="n">
        <f aca="false">C14-D14</f>
        <v>1449000</v>
      </c>
      <c r="F14" s="191"/>
    </row>
    <row r="15" customFormat="false" ht="11.25" hidden="false" customHeight="true" outlineLevel="0" collapsed="false">
      <c r="A15" s="182" t="s">
        <v>901</v>
      </c>
      <c r="B15" s="183" t="n">
        <v>14</v>
      </c>
      <c r="C15" s="184" t="n">
        <f aca="false">'LICENCE PRO. 2è-3è-4è ANNEE'!C453</f>
        <v>4165000</v>
      </c>
      <c r="D15" s="184" t="n">
        <f aca="false">'LICENCE PRO. 2è-3è-4è ANNEE'!D453</f>
        <v>3315500</v>
      </c>
      <c r="E15" s="184" t="n">
        <f aca="false">C15-D15</f>
        <v>849500</v>
      </c>
      <c r="F15" s="191"/>
    </row>
    <row r="16" customFormat="false" ht="11.25" hidden="false" customHeight="true" outlineLevel="0" collapsed="false">
      <c r="A16" s="182" t="s">
        <v>902</v>
      </c>
      <c r="B16" s="183" t="n">
        <v>12</v>
      </c>
      <c r="C16" s="184" t="n">
        <f aca="false">'LICENCE PRO. 2è-3è-4è ANNEE'!C473</f>
        <v>4581550</v>
      </c>
      <c r="D16" s="184" t="n">
        <f aca="false">'LICENCE PRO. 2è-3è-4è ANNEE'!D473</f>
        <v>3215500</v>
      </c>
      <c r="E16" s="184" t="n">
        <f aca="false">C16-D16</f>
        <v>1366050</v>
      </c>
      <c r="F16" s="191"/>
    </row>
    <row r="17" customFormat="false" ht="11.25" hidden="false" customHeight="true" outlineLevel="0" collapsed="false">
      <c r="A17" s="182" t="s">
        <v>903</v>
      </c>
      <c r="B17" s="183" t="n">
        <v>18</v>
      </c>
      <c r="C17" s="184" t="n">
        <f aca="false">'LICENCE PRO. 2è-3è-4è ANNEE'!C499</f>
        <v>7497000</v>
      </c>
      <c r="D17" s="184" t="n">
        <f aca="false">'LICENCE PRO. 2è-3è-4è ANNEE'!D499</f>
        <v>6664000</v>
      </c>
      <c r="E17" s="184" t="n">
        <f aca="false">C17-D17</f>
        <v>833000</v>
      </c>
      <c r="F17" s="191"/>
    </row>
    <row r="18" customFormat="false" ht="11.25" hidden="false" customHeight="true" outlineLevel="0" collapsed="false">
      <c r="A18" s="192"/>
      <c r="B18" s="193"/>
      <c r="C18" s="194"/>
      <c r="D18" s="194"/>
      <c r="E18" s="194"/>
      <c r="F18" s="195"/>
    </row>
    <row r="19" customFormat="false" ht="11.25" hidden="false" customHeight="true" outlineLevel="0" collapsed="false">
      <c r="A19" s="182" t="s">
        <v>904</v>
      </c>
      <c r="B19" s="183" t="n">
        <v>0</v>
      </c>
      <c r="C19" s="184" t="n">
        <v>0</v>
      </c>
      <c r="D19" s="184" t="n">
        <f aca="false">[1]PremAn!C177</f>
        <v>0</v>
      </c>
      <c r="E19" s="184" t="n">
        <f aca="false">C19-D19</f>
        <v>0</v>
      </c>
      <c r="F19" s="191"/>
    </row>
    <row r="20" customFormat="false" ht="11.25" hidden="false" customHeight="true" outlineLevel="0" collapsed="false">
      <c r="A20" s="182" t="s">
        <v>905</v>
      </c>
      <c r="B20" s="183"/>
      <c r="C20" s="184" t="n">
        <f aca="false">[1]DeuxAn!E192</f>
        <v>0</v>
      </c>
      <c r="D20" s="184" t="n">
        <f aca="false">[1]DeuxAn!C192</f>
        <v>0</v>
      </c>
      <c r="E20" s="184" t="n">
        <f aca="false">C20-D20</f>
        <v>0</v>
      </c>
      <c r="F20" s="191"/>
    </row>
    <row r="21" customFormat="false" ht="11.25" hidden="false" customHeight="true" outlineLevel="0" collapsed="false">
      <c r="A21" s="182" t="s">
        <v>906</v>
      </c>
      <c r="B21" s="183" t="n">
        <v>3</v>
      </c>
      <c r="C21" s="184" t="n">
        <f aca="false">'LICENCE PRO. 2è-3è-4è ANNEE'!C688</f>
        <v>416500</v>
      </c>
      <c r="D21" s="184" t="n">
        <f aca="false">'LICENCE PRO. 2è-3è-4è ANNEE'!D688</f>
        <v>416500</v>
      </c>
      <c r="E21" s="184" t="n">
        <f aca="false">C21-D21</f>
        <v>0</v>
      </c>
      <c r="F21" s="191"/>
    </row>
    <row r="22" customFormat="false" ht="11.25" hidden="false" customHeight="true" outlineLevel="0" collapsed="false">
      <c r="A22" s="182" t="s">
        <v>907</v>
      </c>
      <c r="B22" s="183" t="n">
        <v>11</v>
      </c>
      <c r="C22" s="184" t="n">
        <f aca="false">'LICENCE PRO. 2è-3è-4è ANNEE'!C707</f>
        <v>4165000</v>
      </c>
      <c r="D22" s="184" t="n">
        <f aca="false">'LICENCE PRO. 2è-3è-4è ANNEE'!D707</f>
        <v>2699500</v>
      </c>
      <c r="E22" s="184" t="n">
        <f aca="false">C22-D22</f>
        <v>1465500</v>
      </c>
      <c r="F22" s="191"/>
    </row>
    <row r="23" customFormat="false" ht="11.25" hidden="false" customHeight="true" outlineLevel="0" collapsed="false">
      <c r="A23" s="196"/>
      <c r="B23" s="196"/>
      <c r="C23" s="197"/>
      <c r="D23" s="197"/>
      <c r="E23" s="197"/>
      <c r="F23" s="198"/>
    </row>
    <row r="24" customFormat="false" ht="11.25" hidden="false" customHeight="true" outlineLevel="0" collapsed="false">
      <c r="A24" s="183" t="s">
        <v>908</v>
      </c>
      <c r="B24" s="183" t="n">
        <v>25</v>
      </c>
      <c r="C24" s="184" t="n">
        <f aca="false">'LICENCE PRO 1ère ANNEE'!C195</f>
        <v>10412550</v>
      </c>
      <c r="D24" s="184" t="n">
        <f aca="false">'LICENCE PRO 1ère ANNEE'!D195</f>
        <v>9579000</v>
      </c>
      <c r="E24" s="184" t="n">
        <f aca="false">C24-D24</f>
        <v>833550</v>
      </c>
      <c r="F24" s="186"/>
    </row>
    <row r="25" customFormat="false" ht="11.25" hidden="false" customHeight="true" outlineLevel="0" collapsed="false">
      <c r="A25" s="183" t="s">
        <v>909</v>
      </c>
      <c r="B25" s="183" t="n">
        <v>20</v>
      </c>
      <c r="C25" s="184" t="n">
        <f aca="false">'LICENCE PRO. 2è-3è-4è ANNEE'!C631</f>
        <v>6247500</v>
      </c>
      <c r="D25" s="184" t="n">
        <f aca="false">'LICENCE PRO. 2è-3è-4è ANNEE'!D631</f>
        <v>5837000</v>
      </c>
      <c r="E25" s="184" t="n">
        <f aca="false">C25-D25</f>
        <v>410500</v>
      </c>
      <c r="F25" s="186"/>
    </row>
    <row r="26" customFormat="false" ht="11.25" hidden="false" customHeight="true" outlineLevel="0" collapsed="false">
      <c r="A26" s="183" t="s">
        <v>910</v>
      </c>
      <c r="B26" s="183" t="n">
        <v>15</v>
      </c>
      <c r="C26" s="184" t="n">
        <f aca="false">'LICENCE PRO. 2è-3è-4è ANNEE'!C654</f>
        <v>5731000</v>
      </c>
      <c r="D26" s="184" t="n">
        <f aca="false">'LICENCE PRO. 2è-3è-4è ANNEE'!D654</f>
        <v>4847000</v>
      </c>
      <c r="E26" s="184" t="n">
        <f aca="false">C26-D26</f>
        <v>884000</v>
      </c>
      <c r="F26" s="186"/>
    </row>
    <row r="27" customFormat="false" ht="11.25" hidden="false" customHeight="true" outlineLevel="0" collapsed="false">
      <c r="A27" s="183" t="s">
        <v>911</v>
      </c>
      <c r="B27" s="183" t="n">
        <v>14</v>
      </c>
      <c r="C27" s="184" t="n">
        <f aca="false">'LICENCE PRO. 2è-3è-4è ANNEE'!C676</f>
        <v>5831000</v>
      </c>
      <c r="D27" s="184" t="n">
        <f aca="false">'LICENCE PRO. 2è-3è-4è ANNEE'!D676</f>
        <v>3749500</v>
      </c>
      <c r="E27" s="184" t="n">
        <f aca="false">C27-D27</f>
        <v>2081500</v>
      </c>
      <c r="F27" s="186"/>
    </row>
    <row r="28" customFormat="false" ht="11.25" hidden="false" customHeight="true" outlineLevel="0" collapsed="false">
      <c r="A28" s="199"/>
      <c r="B28" s="192"/>
      <c r="C28" s="194"/>
      <c r="D28" s="194"/>
      <c r="E28" s="194"/>
      <c r="F28" s="195"/>
    </row>
    <row r="29" customFormat="false" ht="11.25" hidden="false" customHeight="true" outlineLevel="0" collapsed="false">
      <c r="A29" s="182" t="s">
        <v>912</v>
      </c>
      <c r="B29" s="183" t="n">
        <v>8</v>
      </c>
      <c r="C29" s="184" t="n">
        <f aca="false">'LICENCE PRO 1ère ANNEE'!C159</f>
        <v>2499000</v>
      </c>
      <c r="D29" s="184" t="n">
        <f aca="false">'LICENCE PRO 1ère ANNEE'!D159</f>
        <v>200000</v>
      </c>
      <c r="E29" s="184" t="n">
        <f aca="false">C29-D29</f>
        <v>2299000</v>
      </c>
      <c r="F29" s="191"/>
    </row>
    <row r="30" customFormat="false" ht="11.25" hidden="false" customHeight="true" outlineLevel="0" collapsed="false">
      <c r="A30" s="182" t="s">
        <v>913</v>
      </c>
      <c r="B30" s="183" t="n">
        <v>15</v>
      </c>
      <c r="C30" s="184" t="n">
        <f aca="false">'LICENCE PRO. 2è-3è-4è ANNEE'!C574</f>
        <v>6247500</v>
      </c>
      <c r="D30" s="184" t="n">
        <f aca="false">'LICENCE PRO. 2è-3è-4è ANNEE'!D574</f>
        <v>5298500</v>
      </c>
      <c r="E30" s="184" t="n">
        <f aca="false">C30-D30</f>
        <v>949000</v>
      </c>
      <c r="F30" s="186"/>
    </row>
    <row r="31" customFormat="false" ht="11.25" hidden="false" customHeight="true" outlineLevel="0" collapsed="false">
      <c r="A31" s="182" t="s">
        <v>914</v>
      </c>
      <c r="B31" s="183" t="n">
        <v>5</v>
      </c>
      <c r="C31" s="184" t="n">
        <f aca="false">'LICENCE PRO. 2è-3è-4è ANNEE'!C587</f>
        <v>2082500</v>
      </c>
      <c r="D31" s="184" t="n">
        <f aca="false">'LICENCE PRO. 2è-3è-4è ANNEE'!D587</f>
        <v>2082500</v>
      </c>
      <c r="E31" s="184" t="n">
        <f aca="false">C31-D31</f>
        <v>0</v>
      </c>
      <c r="F31" s="186"/>
    </row>
    <row r="32" customFormat="false" ht="11.25" hidden="false" customHeight="true" outlineLevel="0" collapsed="false">
      <c r="A32" s="182" t="s">
        <v>915</v>
      </c>
      <c r="B32" s="183" t="n">
        <v>10</v>
      </c>
      <c r="C32" s="184" t="n">
        <f aca="false">'LICENCE PRO. 2è-3è-4è ANNEE'!C604</f>
        <v>4365000</v>
      </c>
      <c r="D32" s="184" t="n">
        <f aca="false">'LICENCE PRO. 2è-3è-4è ANNEE'!D604</f>
        <v>2783500</v>
      </c>
      <c r="E32" s="184" t="n">
        <f aca="false">C32-D32</f>
        <v>1581500</v>
      </c>
      <c r="F32" s="186"/>
    </row>
    <row r="33" customFormat="false" ht="11.25" hidden="false" customHeight="true" outlineLevel="0" collapsed="false">
      <c r="A33" s="200"/>
      <c r="B33" s="201"/>
      <c r="C33" s="202"/>
      <c r="D33" s="203"/>
      <c r="E33" s="202"/>
      <c r="F33" s="204"/>
    </row>
    <row r="34" customFormat="false" ht="11.25" hidden="false" customHeight="true" outlineLevel="0" collapsed="false">
      <c r="A34" s="205" t="s">
        <v>916</v>
      </c>
      <c r="B34" s="206" t="n">
        <v>11</v>
      </c>
      <c r="C34" s="207" t="n">
        <f aca="false">'LICENCE PRO 1ère ANNEE'!C326</f>
        <v>4581500</v>
      </c>
      <c r="D34" s="208" t="n">
        <f aca="false">'LICENCE PRO 1ère ANNEE'!D326</f>
        <v>4581500</v>
      </c>
      <c r="E34" s="209" t="n">
        <f aca="false">C34-D34</f>
        <v>0</v>
      </c>
      <c r="F34" s="210"/>
    </row>
    <row r="35" customFormat="false" ht="11.25" hidden="false" customHeight="true" outlineLevel="0" collapsed="false">
      <c r="A35" s="182" t="s">
        <v>917</v>
      </c>
      <c r="B35" s="183" t="n">
        <v>18</v>
      </c>
      <c r="C35" s="184" t="n">
        <f aca="false">'LICENCE PRO. 2è-3è-4è ANNEE'!C410</f>
        <v>7080500</v>
      </c>
      <c r="D35" s="184" t="n">
        <f aca="false">'LICENCE PRO. 2è-3è-4è ANNEE'!D410</f>
        <v>6536000</v>
      </c>
      <c r="E35" s="184" t="n">
        <f aca="false">C35-D35</f>
        <v>544500</v>
      </c>
      <c r="F35" s="191"/>
    </row>
    <row r="36" customFormat="false" ht="11.25" hidden="false" customHeight="true" outlineLevel="0" collapsed="false">
      <c r="A36" s="182" t="s">
        <v>918</v>
      </c>
      <c r="B36" s="183" t="n">
        <v>13</v>
      </c>
      <c r="C36" s="184" t="n">
        <f aca="false">'LICENCE PRO. 2è-3è-4è ANNEE'!C431</f>
        <v>5414550</v>
      </c>
      <c r="D36" s="184" t="n">
        <f aca="false">'LICENCE PRO. 2è-3è-4è ANNEE'!D431</f>
        <v>5421000</v>
      </c>
      <c r="E36" s="184" t="n">
        <f aca="false">C36-D36</f>
        <v>-6450</v>
      </c>
      <c r="F36" s="191"/>
    </row>
    <row r="37" customFormat="false" ht="11.25" hidden="false" customHeight="true" outlineLevel="0" collapsed="false">
      <c r="A37" s="182" t="s">
        <v>919</v>
      </c>
      <c r="B37" s="183" t="n">
        <v>0</v>
      </c>
      <c r="C37" s="184" t="n">
        <v>0</v>
      </c>
      <c r="D37" s="184" t="n">
        <v>0</v>
      </c>
      <c r="E37" s="184" t="n">
        <f aca="false">C37-D37</f>
        <v>0</v>
      </c>
      <c r="F37" s="211"/>
    </row>
    <row r="38" customFormat="false" ht="11.25" hidden="false" customHeight="true" outlineLevel="0" collapsed="false">
      <c r="A38" s="192"/>
      <c r="B38" s="193"/>
      <c r="C38" s="212"/>
      <c r="D38" s="212"/>
      <c r="E38" s="212"/>
      <c r="F38" s="195"/>
    </row>
    <row r="39" customFormat="false" ht="11.25" hidden="false" customHeight="true" outlineLevel="0" collapsed="false">
      <c r="A39" s="182" t="s">
        <v>920</v>
      </c>
      <c r="B39" s="183" t="n">
        <v>19</v>
      </c>
      <c r="C39" s="184" t="n">
        <f aca="false">'LICENCE PRO 1ère ANNEE'!C53</f>
        <v>7497000</v>
      </c>
      <c r="D39" s="184" t="n">
        <f aca="false">'LICENCE PRO 1ère ANNEE'!D53</f>
        <v>6597500</v>
      </c>
      <c r="E39" s="184" t="n">
        <f aca="false">C39-D39</f>
        <v>899500</v>
      </c>
      <c r="F39" s="191"/>
    </row>
    <row r="40" customFormat="false" ht="11.25" hidden="false" customHeight="true" outlineLevel="0" collapsed="false">
      <c r="A40" s="182" t="s">
        <v>921</v>
      </c>
      <c r="B40" s="183" t="n">
        <v>31</v>
      </c>
      <c r="C40" s="184" t="n">
        <f aca="false">'LICENCE PRO. 2è-3è-4è ANNEE'!C174</f>
        <v>13328000</v>
      </c>
      <c r="D40" s="184" t="n">
        <f aca="false">'LICENCE PRO. 2è-3è-4è ANNEE'!D174</f>
        <v>11371000</v>
      </c>
      <c r="E40" s="184" t="n">
        <f aca="false">C40-D40</f>
        <v>1957000</v>
      </c>
      <c r="F40" s="191"/>
    </row>
    <row r="41" customFormat="false" ht="11.25" hidden="false" customHeight="true" outlineLevel="0" collapsed="false">
      <c r="A41" s="182" t="s">
        <v>922</v>
      </c>
      <c r="B41" s="183" t="n">
        <v>39</v>
      </c>
      <c r="C41" s="184" t="n">
        <f aca="false">'LICENCE PRO. 2è-3è-4è ANNEE'!C222</f>
        <v>16243500</v>
      </c>
      <c r="D41" s="184" t="n">
        <f aca="false">'LICENCE PRO. 2è-3è-4è ANNEE'!D222</f>
        <v>9447500</v>
      </c>
      <c r="E41" s="184" t="n">
        <f aca="false">C41-D41</f>
        <v>6796000</v>
      </c>
      <c r="F41" s="191"/>
    </row>
    <row r="42" customFormat="false" ht="11.25" hidden="false" customHeight="true" outlineLevel="0" collapsed="false">
      <c r="A42" s="182" t="s">
        <v>923</v>
      </c>
      <c r="B42" s="183" t="n">
        <v>31</v>
      </c>
      <c r="C42" s="184" t="n">
        <f aca="false">'LICENCE PRO. 2è-3è-4è ANNEE'!C261</f>
        <v>12695000</v>
      </c>
      <c r="D42" s="184" t="n">
        <f aca="false">'LICENCE PRO. 2è-3è-4è ANNEE'!D261</f>
        <v>8665500</v>
      </c>
      <c r="E42" s="184" t="n">
        <f aca="false">C42-D42</f>
        <v>4029500</v>
      </c>
      <c r="F42" s="191"/>
    </row>
    <row r="43" customFormat="false" ht="11.25" hidden="false" customHeight="true" outlineLevel="0" collapsed="false">
      <c r="A43" s="192"/>
      <c r="B43" s="193"/>
      <c r="C43" s="212"/>
      <c r="D43" s="212"/>
      <c r="E43" s="212"/>
      <c r="F43" s="213"/>
    </row>
    <row r="44" customFormat="false" ht="11.25" hidden="false" customHeight="true" outlineLevel="0" collapsed="false">
      <c r="A44" s="182" t="s">
        <v>924</v>
      </c>
      <c r="B44" s="183" t="n">
        <v>13</v>
      </c>
      <c r="C44" s="184" t="n">
        <f aca="false">'LICENCE PRO 1ère ANNEE'!C23</f>
        <v>4998000</v>
      </c>
      <c r="D44" s="184" t="n">
        <f aca="false">'LICENCE PRO 1ère ANNEE'!D23</f>
        <v>4581500</v>
      </c>
      <c r="E44" s="184" t="n">
        <f aca="false">C44-D44</f>
        <v>416500</v>
      </c>
      <c r="F44" s="191"/>
    </row>
    <row r="45" customFormat="false" ht="11.25" hidden="false" customHeight="true" outlineLevel="0" collapsed="false">
      <c r="A45" s="182" t="s">
        <v>925</v>
      </c>
      <c r="B45" s="183" t="n">
        <v>29</v>
      </c>
      <c r="C45" s="184" t="n">
        <f aca="false">'LICENCE PRO. 2è-3è-4è ANNEE'!C37</f>
        <v>11662000</v>
      </c>
      <c r="D45" s="184" t="n">
        <f aca="false">'LICENCE PRO. 2è-3è-4è ANNEE'!D37</f>
        <v>9438950</v>
      </c>
      <c r="E45" s="214" t="n">
        <f aca="false">C45-D45</f>
        <v>2223050</v>
      </c>
      <c r="F45" s="191"/>
    </row>
    <row r="46" customFormat="false" ht="11.25" hidden="false" customHeight="true" outlineLevel="0" collapsed="false">
      <c r="A46" s="182" t="s">
        <v>926</v>
      </c>
      <c r="B46" s="183" t="n">
        <v>35</v>
      </c>
      <c r="C46" s="184" t="n">
        <f aca="false">'LICENCE PRO. 2è-3è-4è ANNEE'!C84</f>
        <v>14161000</v>
      </c>
      <c r="D46" s="184" t="n">
        <f aca="false">'LICENCE PRO. 2è-3è-4è ANNEE'!D84</f>
        <v>10557000</v>
      </c>
      <c r="E46" s="214" t="n">
        <f aca="false">C46-D46</f>
        <v>3604000</v>
      </c>
      <c r="F46" s="191"/>
    </row>
    <row r="47" customFormat="false" ht="11.25" hidden="false" customHeight="true" outlineLevel="0" collapsed="false">
      <c r="A47" s="182" t="s">
        <v>927</v>
      </c>
      <c r="B47" s="215" t="n">
        <v>39</v>
      </c>
      <c r="C47" s="184" t="n">
        <f aca="false">'LICENCE PRO. 2è-3è-4è ANNEE'!C134</f>
        <v>16243500</v>
      </c>
      <c r="D47" s="184" t="n">
        <f aca="false">'LICENCE PRO. 2è-3è-4è ANNEE'!D134</f>
        <v>12405500</v>
      </c>
      <c r="E47" s="214" t="n">
        <f aca="false">C47-D47</f>
        <v>3838000</v>
      </c>
      <c r="F47" s="216"/>
    </row>
    <row r="48" customFormat="false" ht="11.25" hidden="false" customHeight="true" outlineLevel="0" collapsed="false">
      <c r="A48" s="217"/>
      <c r="B48" s="218"/>
      <c r="C48" s="219"/>
      <c r="D48" s="219"/>
      <c r="E48" s="219"/>
      <c r="F48" s="220"/>
    </row>
    <row r="49" customFormat="false" ht="11.25" hidden="false" customHeight="true" outlineLevel="0" collapsed="false">
      <c r="A49" s="221" t="s">
        <v>928</v>
      </c>
      <c r="B49" s="222" t="n">
        <v>7</v>
      </c>
      <c r="C49" s="214" t="n">
        <f aca="false">'LICENCE PRO 1ère ANNEE'!C72</f>
        <v>2915500</v>
      </c>
      <c r="D49" s="214" t="n">
        <f aca="false">'LICENCE PRO 1ère ANNEE'!D72</f>
        <v>2052000</v>
      </c>
      <c r="E49" s="214" t="n">
        <f aca="false">C49-D49</f>
        <v>863500</v>
      </c>
      <c r="F49" s="223"/>
    </row>
    <row r="50" customFormat="false" ht="11.25" hidden="false" customHeight="true" outlineLevel="0" collapsed="false">
      <c r="A50" s="221" t="s">
        <v>929</v>
      </c>
      <c r="B50" s="183" t="n">
        <v>10</v>
      </c>
      <c r="C50" s="184" t="n">
        <f aca="false">'LICENCE PRO. 2è-3è-4è ANNEE'!C516</f>
        <v>3748500</v>
      </c>
      <c r="D50" s="184" t="n">
        <f aca="false">'LICENCE PRO. 2è-3è-4è ANNEE'!D516</f>
        <v>2949000</v>
      </c>
      <c r="E50" s="214" t="n">
        <f aca="false">C50-D50</f>
        <v>799500</v>
      </c>
      <c r="F50" s="191"/>
    </row>
    <row r="51" customFormat="false" ht="11.25" hidden="false" customHeight="true" outlineLevel="0" collapsed="false">
      <c r="A51" s="221" t="s">
        <v>930</v>
      </c>
      <c r="B51" s="224" t="n">
        <v>11</v>
      </c>
      <c r="C51" s="184" t="n">
        <f aca="false">'LICENCE PRO. 2è-3è-4è ANNEE'!C535</f>
        <v>3332000</v>
      </c>
      <c r="D51" s="184" t="n">
        <f aca="false">'LICENCE PRO. 2è-3è-4è ANNEE'!D535</f>
        <v>1666000</v>
      </c>
      <c r="E51" s="214" t="n">
        <f aca="false">C51-D51</f>
        <v>1666000</v>
      </c>
      <c r="F51" s="191"/>
    </row>
    <row r="52" customFormat="false" ht="11.25" hidden="false" customHeight="true" outlineLevel="0" collapsed="false">
      <c r="A52" s="221" t="s">
        <v>931</v>
      </c>
      <c r="B52" s="224" t="n">
        <v>9</v>
      </c>
      <c r="C52" s="184" t="n">
        <f aca="false">'LICENCE PRO. 2è-3è-4è ANNEE'!C552</f>
        <v>3748500</v>
      </c>
      <c r="D52" s="184" t="n">
        <f aca="false">'LICENCE PRO. 2è-3è-4è ANNEE'!D552</f>
        <v>2919000</v>
      </c>
      <c r="E52" s="214" t="n">
        <f aca="false">C52-D52</f>
        <v>829500</v>
      </c>
      <c r="F52" s="191"/>
    </row>
    <row r="53" customFormat="false" ht="11.25" hidden="false" customHeight="true" outlineLevel="0" collapsed="false">
      <c r="A53" s="200"/>
      <c r="B53" s="225"/>
      <c r="C53" s="202"/>
      <c r="D53" s="202"/>
      <c r="E53" s="202"/>
      <c r="F53" s="226"/>
    </row>
    <row r="54" customFormat="false" ht="14.25" hidden="false" customHeight="true" outlineLevel="0" collapsed="false">
      <c r="A54" s="221" t="s">
        <v>932</v>
      </c>
      <c r="B54" s="224" t="n">
        <v>6</v>
      </c>
      <c r="C54" s="184" t="n">
        <f aca="false">'LICENCE PRO 1ère ANNEE'!C386</f>
        <v>2499000</v>
      </c>
      <c r="D54" s="184" t="n">
        <f aca="false">'LICENCE PRO 1ère ANNEE'!D386</f>
        <v>832500</v>
      </c>
      <c r="E54" s="184" t="n">
        <f aca="false">C54-D54</f>
        <v>1666500</v>
      </c>
      <c r="F54" s="191"/>
    </row>
    <row r="55" customFormat="false" ht="11.25" hidden="false" customHeight="true" outlineLevel="0" collapsed="false">
      <c r="A55" s="200"/>
      <c r="B55" s="225"/>
      <c r="C55" s="202"/>
      <c r="D55" s="202"/>
      <c r="E55" s="202"/>
      <c r="F55" s="226"/>
    </row>
    <row r="56" customFormat="false" ht="15" hidden="false" customHeight="true" outlineLevel="0" collapsed="false">
      <c r="A56" s="221" t="s">
        <v>933</v>
      </c>
      <c r="B56" s="224" t="n">
        <v>104</v>
      </c>
      <c r="C56" s="184" t="n">
        <f aca="false">'LICENCE PRO 1ère ANNEE'!C305</f>
        <v>40717000</v>
      </c>
      <c r="D56" s="184" t="n">
        <f aca="false">'LICENCE PRO 1ère ANNEE'!D305</f>
        <v>40252050</v>
      </c>
      <c r="E56" s="184" t="n">
        <f aca="false">C56-D56</f>
        <v>464950</v>
      </c>
      <c r="F56" s="191"/>
    </row>
    <row r="57" customFormat="false" ht="11.25" hidden="false" customHeight="true" outlineLevel="0" collapsed="false">
      <c r="A57" s="227"/>
      <c r="B57" s="228"/>
      <c r="C57" s="229"/>
      <c r="D57" s="229"/>
      <c r="E57" s="229"/>
      <c r="F57" s="230"/>
    </row>
    <row r="58" customFormat="false" ht="14.25" hidden="false" customHeight="true" outlineLevel="0" collapsed="false">
      <c r="A58" s="231" t="s">
        <v>934</v>
      </c>
      <c r="B58" s="232" t="n">
        <v>29</v>
      </c>
      <c r="C58" s="233" t="n">
        <f aca="false">'LICENCE PRO 1ère ANNEE'!C369</f>
        <v>12078500</v>
      </c>
      <c r="D58" s="233" t="n">
        <f aca="false">'LICENCE PRO 1ère ANNEE'!D369</f>
        <v>11682950</v>
      </c>
      <c r="E58" s="233" t="n">
        <f aca="false">C58-D58</f>
        <v>395550</v>
      </c>
      <c r="F58" s="234"/>
    </row>
    <row r="59" customFormat="false" ht="15" hidden="false" customHeight="true" outlineLevel="0" collapsed="false">
      <c r="A59" s="231" t="s">
        <v>935</v>
      </c>
      <c r="B59" s="232" t="n">
        <v>6</v>
      </c>
      <c r="C59" s="233" t="n">
        <f aca="false">'LICENCE PRO. 2è-3è-4è ANNEE'!C722</f>
        <v>2499000</v>
      </c>
      <c r="D59" s="233" t="n">
        <f aca="false">'LICENCE PRO. 2è-3è-4è ANNEE'!D722</f>
        <v>2299000</v>
      </c>
      <c r="E59" s="233" t="n">
        <f aca="false">'LICENCE PRO. 2è-3è-4è ANNEE'!E722</f>
        <v>200000</v>
      </c>
      <c r="F59" s="234"/>
    </row>
    <row r="60" customFormat="false" ht="11.25" hidden="false" customHeight="true" outlineLevel="0" collapsed="false">
      <c r="A60" s="200"/>
      <c r="B60" s="235"/>
      <c r="C60" s="202" t="n">
        <f aca="false">[1]TroisAn!E458</f>
        <v>0</v>
      </c>
      <c r="D60" s="202" t="n">
        <f aca="false">[1]TroisAn!C458</f>
        <v>0</v>
      </c>
      <c r="E60" s="202" t="n">
        <f aca="false">C60-D60</f>
        <v>0</v>
      </c>
      <c r="F60" s="226"/>
    </row>
    <row r="61" customFormat="false" ht="15" hidden="false" customHeight="false" outlineLevel="0" collapsed="false">
      <c r="A61" s="173" t="s">
        <v>936</v>
      </c>
      <c r="B61" s="236" t="n">
        <f aca="false">SUM(B9:B60)</f>
        <v>768</v>
      </c>
      <c r="C61" s="236" t="n">
        <f aca="false">SUM(C9:C60)</f>
        <v>308393650</v>
      </c>
      <c r="D61" s="237" t="n">
        <f aca="false">SUM(D9:D60)</f>
        <v>245003050</v>
      </c>
      <c r="E61" s="236" t="n">
        <f aca="false">SUM(E9:E60)</f>
        <v>63390600</v>
      </c>
      <c r="F61" s="238" t="n">
        <f aca="false">D61/C61</f>
        <v>0.794449075070126</v>
      </c>
    </row>
    <row r="62" customFormat="false" ht="15.75" hidden="false" customHeight="false" outlineLevel="0" collapsed="false">
      <c r="A62" s="239"/>
      <c r="B62" s="239"/>
      <c r="C62" s="240"/>
      <c r="D62" s="240"/>
      <c r="E62" s="240"/>
      <c r="F62" s="241"/>
    </row>
    <row r="63" customFormat="false" ht="15.75" hidden="false" customHeight="false" outlineLevel="0" collapsed="false">
      <c r="A63" s="240"/>
      <c r="B63" s="240"/>
      <c r="C63" s="240"/>
      <c r="D63" s="240"/>
      <c r="E63" s="240"/>
      <c r="F63" s="24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5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J43"/>
  <sheetViews>
    <sheetView showFormulas="false" showGridLines="true" showRowColHeaders="true" showZeros="true" rightToLeft="false" tabSelected="false" showOutlineSymbols="true" defaultGridColor="true" view="pageBreakPreview" topLeftCell="A22" colorId="64" zoomScale="100" zoomScaleNormal="100" zoomScalePageLayoutView="100" workbookViewId="0">
      <selection pane="topLeft" activeCell="J32" activeCellId="0" sqref="J32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1" width="13.86"/>
    <col collapsed="false" customWidth="true" hidden="false" outlineLevel="0" max="3" min="3" style="1" width="16.84"/>
    <col collapsed="false" customWidth="true" hidden="false" outlineLevel="0" max="4" min="4" style="1" width="16"/>
    <col collapsed="false" customWidth="true" hidden="false" outlineLevel="0" max="5" min="5" style="1" width="16.29"/>
    <col collapsed="false" customWidth="true" hidden="false" outlineLevel="0" max="6" min="6" style="1" width="15.71"/>
    <col collapsed="false" customWidth="true" hidden="false" outlineLevel="0" max="8" min="7" style="1" width="13.15"/>
  </cols>
  <sheetData>
    <row r="5" customFormat="false" ht="19.7" hidden="false" customHeight="false" outlineLevel="0" collapsed="false">
      <c r="B5" s="242" t="s">
        <v>937</v>
      </c>
    </row>
    <row r="7" customFormat="false" ht="39.55" hidden="false" customHeight="false" outlineLevel="0" collapsed="false">
      <c r="B7" s="243" t="s">
        <v>938</v>
      </c>
      <c r="C7" s="244" t="s">
        <v>939</v>
      </c>
      <c r="D7" s="244" t="s">
        <v>940</v>
      </c>
      <c r="E7" s="244" t="s">
        <v>941</v>
      </c>
      <c r="F7" s="245" t="s">
        <v>942</v>
      </c>
      <c r="G7" s="246" t="s">
        <v>943</v>
      </c>
      <c r="H7" s="246" t="s">
        <v>944</v>
      </c>
      <c r="I7" s="247" t="s">
        <v>945</v>
      </c>
    </row>
    <row r="8" customFormat="false" ht="15" hidden="false" customHeight="false" outlineLevel="0" collapsed="false">
      <c r="B8" s="248" t="s">
        <v>946</v>
      </c>
      <c r="C8" s="249" t="n">
        <v>7379100</v>
      </c>
      <c r="D8" s="249" t="n">
        <v>6684950</v>
      </c>
      <c r="E8" s="249" t="n">
        <v>3069900</v>
      </c>
      <c r="F8" s="250" t="n">
        <f aca="false">D8+E8</f>
        <v>9754850</v>
      </c>
      <c r="G8" s="164" t="n">
        <v>1399650</v>
      </c>
      <c r="H8" s="164" t="n">
        <v>4100000</v>
      </c>
      <c r="I8" s="164" t="n">
        <f aca="false">C8+F8+G8+H8</f>
        <v>22633600</v>
      </c>
    </row>
    <row r="9" customFormat="false" ht="15" hidden="false" customHeight="false" outlineLevel="0" collapsed="false">
      <c r="B9" s="251" t="s">
        <v>947</v>
      </c>
      <c r="C9" s="252" t="n">
        <v>28478800</v>
      </c>
      <c r="D9" s="252" t="n">
        <v>6783500</v>
      </c>
      <c r="E9" s="252" t="n">
        <v>1713450</v>
      </c>
      <c r="F9" s="250" t="n">
        <f aca="false">D9+E9</f>
        <v>8496950</v>
      </c>
      <c r="G9" s="164" t="n">
        <v>429900</v>
      </c>
      <c r="H9" s="116" t="n">
        <v>0</v>
      </c>
      <c r="I9" s="164" t="n">
        <f aca="false">C9+F9+G9+H9</f>
        <v>37405650</v>
      </c>
    </row>
    <row r="10" customFormat="false" ht="15" hidden="false" customHeight="false" outlineLevel="0" collapsed="false">
      <c r="B10" s="251" t="s">
        <v>948</v>
      </c>
      <c r="C10" s="252"/>
      <c r="D10" s="252"/>
      <c r="E10" s="252" t="n">
        <v>355000</v>
      </c>
      <c r="F10" s="250" t="n">
        <f aca="false">D10+E10</f>
        <v>355000</v>
      </c>
      <c r="G10" s="164" t="n">
        <v>199950</v>
      </c>
      <c r="H10" s="116"/>
      <c r="I10" s="164" t="n">
        <f aca="false">C10+F10+G10+H10</f>
        <v>554950</v>
      </c>
    </row>
    <row r="11" customFormat="false" ht="15" hidden="false" customHeight="false" outlineLevel="0" collapsed="false">
      <c r="B11" s="251" t="s">
        <v>949</v>
      </c>
      <c r="C11" s="252"/>
      <c r="D11" s="252"/>
      <c r="E11" s="252"/>
      <c r="F11" s="250" t="n">
        <f aca="false">D11+E11</f>
        <v>0</v>
      </c>
      <c r="G11" s="116"/>
      <c r="H11" s="116"/>
      <c r="I11" s="164" t="n">
        <f aca="false">C11+F11+G11+H11</f>
        <v>0</v>
      </c>
    </row>
    <row r="12" customFormat="false" ht="15" hidden="false" customHeight="false" outlineLevel="0" collapsed="false">
      <c r="B12" s="251" t="s">
        <v>950</v>
      </c>
      <c r="C12" s="252" t="n">
        <v>8435350</v>
      </c>
      <c r="D12" s="252" t="n">
        <f aca="false">258000+170000+100000+500000+87000+216500+200000+49500+66500+40000+243000+67000+1500+116500+416500+416500+185000+316500</f>
        <v>3450000</v>
      </c>
      <c r="E12" s="252" t="n">
        <v>270000</v>
      </c>
      <c r="F12" s="250" t="n">
        <f aca="false">D12+E12</f>
        <v>3720000</v>
      </c>
      <c r="G12" s="116" t="n">
        <v>209950</v>
      </c>
      <c r="H12" s="116"/>
      <c r="I12" s="164" t="n">
        <f aca="false">C12+F12+G12+H12</f>
        <v>12365300</v>
      </c>
    </row>
    <row r="13" customFormat="false" ht="15" hidden="false" customHeight="false" outlineLevel="0" collapsed="false">
      <c r="B13" s="251" t="s">
        <v>951</v>
      </c>
      <c r="C13" s="252"/>
      <c r="D13" s="252"/>
      <c r="E13" s="252"/>
      <c r="F13" s="250" t="n">
        <f aca="false">D13+E13</f>
        <v>0</v>
      </c>
      <c r="G13" s="116"/>
      <c r="H13" s="116"/>
      <c r="I13" s="164" t="n">
        <f aca="false">C13+F13+G13+H13</f>
        <v>0</v>
      </c>
    </row>
    <row r="14" customFormat="false" ht="15" hidden="false" customHeight="false" outlineLevel="0" collapsed="false">
      <c r="B14" s="251" t="s">
        <v>952</v>
      </c>
      <c r="C14" s="252"/>
      <c r="D14" s="252"/>
      <c r="E14" s="252"/>
      <c r="F14" s="250" t="n">
        <f aca="false">D14+E14</f>
        <v>0</v>
      </c>
      <c r="G14" s="116"/>
      <c r="H14" s="116"/>
      <c r="I14" s="164" t="n">
        <f aca="false">C14+F14+G14+H14</f>
        <v>0</v>
      </c>
    </row>
    <row r="15" customFormat="false" ht="15" hidden="false" customHeight="false" outlineLevel="0" collapsed="false">
      <c r="B15" s="251" t="s">
        <v>953</v>
      </c>
      <c r="C15" s="252"/>
      <c r="D15" s="252"/>
      <c r="E15" s="252"/>
      <c r="F15" s="250" t="n">
        <f aca="false">D15+E15</f>
        <v>0</v>
      </c>
      <c r="G15" s="116"/>
      <c r="H15" s="116"/>
      <c r="I15" s="164" t="n">
        <f aca="false">C15+F15+G15+H15</f>
        <v>0</v>
      </c>
      <c r="J15" s="1" t="s">
        <v>23</v>
      </c>
    </row>
    <row r="16" customFormat="false" ht="15" hidden="false" customHeight="false" outlineLevel="0" collapsed="false">
      <c r="B16" s="251" t="s">
        <v>954</v>
      </c>
      <c r="C16" s="252"/>
      <c r="D16" s="252"/>
      <c r="E16" s="252"/>
      <c r="F16" s="250" t="n">
        <f aca="false">D16+E16</f>
        <v>0</v>
      </c>
      <c r="G16" s="116"/>
      <c r="H16" s="116"/>
      <c r="I16" s="164" t="n">
        <f aca="false">C16+F16+G16+H16</f>
        <v>0</v>
      </c>
    </row>
    <row r="17" customFormat="false" ht="15" hidden="false" customHeight="false" outlineLevel="0" collapsed="false">
      <c r="B17" s="251" t="s">
        <v>955</v>
      </c>
      <c r="C17" s="252"/>
      <c r="D17" s="252"/>
      <c r="E17" s="252"/>
      <c r="F17" s="250" t="n">
        <f aca="false">D17+E17</f>
        <v>0</v>
      </c>
      <c r="G17" s="116"/>
      <c r="H17" s="116"/>
      <c r="I17" s="164" t="n">
        <f aca="false">C17+F17+G17+H17</f>
        <v>0</v>
      </c>
    </row>
    <row r="18" customFormat="false" ht="15" hidden="false" customHeight="false" outlineLevel="0" collapsed="false">
      <c r="B18" s="251" t="s">
        <v>956</v>
      </c>
      <c r="C18" s="253"/>
      <c r="D18" s="253"/>
      <c r="E18" s="252"/>
      <c r="F18" s="250" t="n">
        <f aca="false">D18+E18</f>
        <v>0</v>
      </c>
      <c r="G18" s="116"/>
      <c r="H18" s="116"/>
      <c r="I18" s="164" t="n">
        <f aca="false">C18+F18+G18+H18</f>
        <v>0</v>
      </c>
    </row>
    <row r="19" customFormat="false" ht="15" hidden="false" customHeight="false" outlineLevel="0" collapsed="false">
      <c r="B19" s="251" t="s">
        <v>957</v>
      </c>
      <c r="C19" s="254"/>
      <c r="D19" s="254"/>
      <c r="E19" s="255"/>
      <c r="F19" s="250" t="n">
        <f aca="false">D19+E19</f>
        <v>0</v>
      </c>
      <c r="G19" s="116"/>
      <c r="H19" s="116"/>
      <c r="I19" s="164" t="n">
        <f aca="false">C19+F19+G19+H19</f>
        <v>0</v>
      </c>
    </row>
    <row r="20" customFormat="false" ht="15" hidden="false" customHeight="false" outlineLevel="0" collapsed="false">
      <c r="B20" s="256" t="s">
        <v>945</v>
      </c>
      <c r="C20" s="257" t="n">
        <f aca="false">SUM(C8:C17)</f>
        <v>44293250</v>
      </c>
      <c r="D20" s="257" t="n">
        <f aca="false">SUM(D8:D19)</f>
        <v>16918450</v>
      </c>
      <c r="E20" s="257" t="n">
        <f aca="false">SUM(E8:E17)</f>
        <v>5408350</v>
      </c>
      <c r="F20" s="258" t="n">
        <f aca="false">SUM(F8:F19)</f>
        <v>22326800</v>
      </c>
      <c r="G20" s="259" t="n">
        <f aca="false">SUM(G8:G19)</f>
        <v>2239450</v>
      </c>
      <c r="H20" s="259" t="n">
        <f aca="false">SUM(H8:H19)</f>
        <v>4100000</v>
      </c>
      <c r="I20" s="259" t="n">
        <f aca="false">SUM(I8:I19)</f>
        <v>72959500</v>
      </c>
    </row>
    <row r="28" customFormat="false" ht="19.7" hidden="false" customHeight="false" outlineLevel="0" collapsed="false">
      <c r="B28" s="242" t="s">
        <v>937</v>
      </c>
    </row>
    <row r="30" customFormat="false" ht="26.85" hidden="false" customHeight="false" outlineLevel="0" collapsed="false">
      <c r="B30" s="243" t="s">
        <v>938</v>
      </c>
      <c r="C30" s="244" t="s">
        <v>958</v>
      </c>
      <c r="D30" s="244" t="s">
        <v>959</v>
      </c>
      <c r="E30" s="244" t="s">
        <v>960</v>
      </c>
    </row>
    <row r="31" customFormat="false" ht="23.25" hidden="false" customHeight="true" outlineLevel="0" collapsed="false">
      <c r="B31" s="248" t="s">
        <v>946</v>
      </c>
      <c r="C31" s="249" t="n">
        <f aca="false">C8+D8</f>
        <v>14064050</v>
      </c>
      <c r="D31" s="249" t="n">
        <f aca="false">E8</f>
        <v>3069900</v>
      </c>
      <c r="E31" s="249"/>
      <c r="G31" s="113" t="n">
        <f aca="false">C31+D31+E31</f>
        <v>17133950</v>
      </c>
    </row>
    <row r="32" customFormat="false" ht="26.25" hidden="false" customHeight="true" outlineLevel="0" collapsed="false">
      <c r="B32" s="251" t="s">
        <v>947</v>
      </c>
      <c r="C32" s="252" t="n">
        <f aca="false">C9+D9</f>
        <v>35262300</v>
      </c>
      <c r="D32" s="252" t="n">
        <f aca="false">E9</f>
        <v>1713450</v>
      </c>
      <c r="E32" s="252"/>
      <c r="G32" s="113" t="n">
        <f aca="false">C32+D32+E32</f>
        <v>36975750</v>
      </c>
    </row>
    <row r="33" customFormat="false" ht="25.5" hidden="false" customHeight="true" outlineLevel="0" collapsed="false">
      <c r="B33" s="251" t="s">
        <v>948</v>
      </c>
      <c r="C33" s="252"/>
      <c r="D33" s="252"/>
      <c r="E33" s="252"/>
      <c r="G33" s="113" t="n">
        <f aca="false">C33+D33+E33</f>
        <v>0</v>
      </c>
    </row>
    <row r="34" customFormat="false" ht="24.75" hidden="false" customHeight="true" outlineLevel="0" collapsed="false">
      <c r="B34" s="251" t="s">
        <v>949</v>
      </c>
      <c r="C34" s="252"/>
      <c r="D34" s="252"/>
      <c r="E34" s="252"/>
      <c r="G34" s="113" t="n">
        <f aca="false">C34+D34+E34</f>
        <v>0</v>
      </c>
    </row>
    <row r="35" customFormat="false" ht="27.75" hidden="false" customHeight="true" outlineLevel="0" collapsed="false">
      <c r="B35" s="251" t="s">
        <v>950</v>
      </c>
      <c r="C35" s="252" t="n">
        <v>8435350</v>
      </c>
      <c r="D35" s="252" t="n">
        <v>270000</v>
      </c>
      <c r="E35" s="252" t="n">
        <f aca="false">4500000+2014500+209950</f>
        <v>6724450</v>
      </c>
      <c r="G35" s="113" t="n">
        <f aca="false">C35+D35+E35</f>
        <v>15429800</v>
      </c>
    </row>
    <row r="36" customFormat="false" ht="28.5" hidden="false" customHeight="true" outlineLevel="0" collapsed="false">
      <c r="B36" s="251" t="s">
        <v>951</v>
      </c>
      <c r="C36" s="252"/>
      <c r="D36" s="252"/>
      <c r="E36" s="252"/>
      <c r="G36" s="113" t="n">
        <f aca="false">C36+D36+E36</f>
        <v>0</v>
      </c>
      <c r="H36" s="113" t="n">
        <f aca="false">G35-J36</f>
        <v>0</v>
      </c>
      <c r="J36" s="113" t="n">
        <v>15429800</v>
      </c>
    </row>
    <row r="37" customFormat="false" ht="24" hidden="false" customHeight="true" outlineLevel="0" collapsed="false">
      <c r="B37" s="251" t="s">
        <v>952</v>
      </c>
      <c r="C37" s="252"/>
      <c r="D37" s="252"/>
      <c r="E37" s="252"/>
      <c r="G37" s="113" t="n">
        <f aca="false">C37+D37+E37</f>
        <v>0</v>
      </c>
    </row>
    <row r="38" customFormat="false" ht="22.5" hidden="false" customHeight="true" outlineLevel="0" collapsed="false">
      <c r="B38" s="251" t="s">
        <v>953</v>
      </c>
      <c r="C38" s="252"/>
      <c r="D38" s="252"/>
      <c r="E38" s="252"/>
      <c r="G38" s="113" t="n">
        <f aca="false">C38+D38+E38</f>
        <v>0</v>
      </c>
    </row>
    <row r="39" customFormat="false" ht="25.5" hidden="false" customHeight="true" outlineLevel="0" collapsed="false">
      <c r="B39" s="251" t="s">
        <v>954</v>
      </c>
      <c r="C39" s="252"/>
      <c r="D39" s="252"/>
      <c r="E39" s="252"/>
      <c r="G39" s="113" t="n">
        <f aca="false">C39+D39+E39</f>
        <v>0</v>
      </c>
    </row>
    <row r="40" customFormat="false" ht="24.75" hidden="false" customHeight="true" outlineLevel="0" collapsed="false">
      <c r="B40" s="251" t="s">
        <v>955</v>
      </c>
      <c r="C40" s="252"/>
      <c r="D40" s="252"/>
      <c r="E40" s="252"/>
      <c r="G40" s="113" t="n">
        <f aca="false">C40+D40+E40</f>
        <v>0</v>
      </c>
    </row>
    <row r="41" customFormat="false" ht="28.5" hidden="false" customHeight="true" outlineLevel="0" collapsed="false">
      <c r="B41" s="251" t="s">
        <v>956</v>
      </c>
      <c r="C41" s="253"/>
      <c r="D41" s="253"/>
      <c r="E41" s="252"/>
      <c r="G41" s="113" t="n">
        <f aca="false">C41+D41+E41</f>
        <v>0</v>
      </c>
    </row>
    <row r="42" customFormat="false" ht="24" hidden="false" customHeight="true" outlineLevel="0" collapsed="false">
      <c r="B42" s="251" t="s">
        <v>957</v>
      </c>
      <c r="C42" s="254"/>
      <c r="D42" s="254"/>
      <c r="E42" s="255"/>
      <c r="G42" s="113" t="n">
        <f aca="false">C42+D42+E42</f>
        <v>0</v>
      </c>
    </row>
    <row r="43" customFormat="false" ht="28.5" hidden="false" customHeight="true" outlineLevel="0" collapsed="false">
      <c r="B43" s="256" t="s">
        <v>945</v>
      </c>
      <c r="C43" s="257" t="n">
        <f aca="false">SUM(C31:C40)</f>
        <v>57761700</v>
      </c>
      <c r="D43" s="257" t="n">
        <f aca="false">SUM(D31:D42)</f>
        <v>5053350</v>
      </c>
      <c r="E43" s="257" t="n">
        <f aca="false">SUM(E31:E40)</f>
        <v>6724450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J531"/>
  <sheetViews>
    <sheetView showFormulas="false" showGridLines="true" showRowColHeaders="true" showZeros="true" rightToLeft="false" tabSelected="false" showOutlineSymbols="true" defaultGridColor="true" view="pageBreakPreview" topLeftCell="A410" colorId="64" zoomScale="100" zoomScaleNormal="100" zoomScalePageLayoutView="100" workbookViewId="0">
      <selection pane="topLeft" activeCell="D19" activeCellId="0" sqref="D19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29.43"/>
    <col collapsed="false" customWidth="true" hidden="false" outlineLevel="0" max="3" min="3" style="1" width="13.57"/>
    <col collapsed="false" customWidth="true" hidden="false" outlineLevel="0" max="4" min="4" style="1" width="12.86"/>
    <col collapsed="false" customWidth="true" hidden="false" outlineLevel="0" max="5" min="5" style="1" width="13.57"/>
  </cols>
  <sheetData>
    <row r="3" customFormat="false" ht="17.35" hidden="false" customHeight="false" outlineLevel="0" collapsed="false">
      <c r="A3" s="2"/>
      <c r="B3" s="2" t="s">
        <v>0</v>
      </c>
    </row>
    <row r="5" customFormat="false" ht="17.25" hidden="false" customHeight="false" outlineLevel="0" collapsed="false">
      <c r="B5" s="3" t="s">
        <v>1</v>
      </c>
    </row>
    <row r="7" customFormat="false" ht="17.35" hidden="false" customHeight="false" outlineLevel="0" collapsed="false">
      <c r="B7" s="91" t="s">
        <v>283</v>
      </c>
    </row>
    <row r="8" customFormat="false" ht="15" hidden="false" customHeight="false" outlineLevel="0" collapsed="false">
      <c r="B8" s="4" t="s">
        <v>284</v>
      </c>
    </row>
    <row r="10" customFormat="false" ht="15" hidden="false" customHeight="false" outlineLevel="0" collapsed="false">
      <c r="A10" s="92" t="s">
        <v>4</v>
      </c>
      <c r="B10" s="93" t="s">
        <v>285</v>
      </c>
      <c r="C10" s="260" t="s">
        <v>961</v>
      </c>
      <c r="D10" s="261" t="s">
        <v>962</v>
      </c>
      <c r="E10" s="262" t="s">
        <v>963</v>
      </c>
    </row>
    <row r="11" customFormat="false" ht="15" hidden="false" customHeight="false" outlineLevel="0" collapsed="false">
      <c r="A11" s="95" t="n">
        <v>1</v>
      </c>
      <c r="B11" s="73" t="s">
        <v>286</v>
      </c>
      <c r="C11" s="263" t="n">
        <v>316500</v>
      </c>
      <c r="D11" s="116" t="n">
        <v>0</v>
      </c>
      <c r="E11" s="166" t="n">
        <f aca="false">C11+D11</f>
        <v>316500</v>
      </c>
    </row>
    <row r="12" customFormat="false" ht="15" hidden="false" customHeight="false" outlineLevel="0" collapsed="false">
      <c r="A12" s="95" t="n">
        <v>2</v>
      </c>
      <c r="B12" s="73" t="s">
        <v>287</v>
      </c>
      <c r="C12" s="263" t="n">
        <v>196500</v>
      </c>
      <c r="D12" s="116" t="n">
        <v>0</v>
      </c>
      <c r="E12" s="166" t="n">
        <f aca="false">C12+D12</f>
        <v>196500</v>
      </c>
    </row>
    <row r="13" customFormat="false" ht="15" hidden="false" customHeight="false" outlineLevel="0" collapsed="false">
      <c r="A13" s="95" t="n">
        <v>3</v>
      </c>
      <c r="B13" s="73" t="s">
        <v>964</v>
      </c>
      <c r="C13" s="263" t="n">
        <v>416500</v>
      </c>
      <c r="D13" s="116" t="n">
        <v>0</v>
      </c>
      <c r="E13" s="166" t="n">
        <f aca="false">C13+D13</f>
        <v>416500</v>
      </c>
    </row>
    <row r="14" customFormat="false" ht="15" hidden="false" customHeight="false" outlineLevel="0" collapsed="false">
      <c r="A14" s="95" t="n">
        <v>4</v>
      </c>
      <c r="B14" s="73" t="s">
        <v>288</v>
      </c>
      <c r="C14" s="263" t="n">
        <v>416500</v>
      </c>
      <c r="D14" s="116" t="n">
        <v>0</v>
      </c>
      <c r="E14" s="166" t="n">
        <f aca="false">C14+D14</f>
        <v>416500</v>
      </c>
    </row>
    <row r="15" customFormat="false" ht="15" hidden="false" customHeight="false" outlineLevel="0" collapsed="false">
      <c r="A15" s="95" t="n">
        <v>5</v>
      </c>
      <c r="B15" s="73" t="s">
        <v>289</v>
      </c>
      <c r="C15" s="263" t="n">
        <v>90500</v>
      </c>
      <c r="D15" s="116" t="n">
        <v>0</v>
      </c>
      <c r="E15" s="166" t="n">
        <f aca="false">C15+D15</f>
        <v>90500</v>
      </c>
    </row>
    <row r="16" customFormat="false" ht="15" hidden="false" customHeight="false" outlineLevel="0" collapsed="false">
      <c r="A16" s="95" t="n">
        <v>6</v>
      </c>
      <c r="B16" s="73" t="s">
        <v>290</v>
      </c>
      <c r="C16" s="263" t="n">
        <v>200000</v>
      </c>
      <c r="D16" s="116" t="n">
        <v>0</v>
      </c>
      <c r="E16" s="166" t="n">
        <f aca="false">C16+D16</f>
        <v>200000</v>
      </c>
    </row>
    <row r="17" customFormat="false" ht="15" hidden="false" customHeight="false" outlineLevel="0" collapsed="false">
      <c r="A17" s="95" t="n">
        <v>7</v>
      </c>
      <c r="B17" s="73" t="s">
        <v>291</v>
      </c>
      <c r="C17" s="263" t="n">
        <v>260000</v>
      </c>
      <c r="D17" s="116" t="n">
        <v>0</v>
      </c>
      <c r="E17" s="166" t="n">
        <f aca="false">C17+D17</f>
        <v>260000</v>
      </c>
    </row>
    <row r="18" customFormat="false" ht="15" hidden="false" customHeight="false" outlineLevel="0" collapsed="false">
      <c r="A18" s="95" t="n">
        <v>8</v>
      </c>
      <c r="B18" s="73" t="s">
        <v>292</v>
      </c>
      <c r="C18" s="263" t="n">
        <v>416500</v>
      </c>
      <c r="D18" s="164" t="n">
        <v>135000</v>
      </c>
      <c r="E18" s="166" t="n">
        <f aca="false">C18+D18</f>
        <v>551500</v>
      </c>
    </row>
    <row r="19" customFormat="false" ht="15" hidden="false" customHeight="false" outlineLevel="0" collapsed="false">
      <c r="A19" s="95" t="n">
        <v>9</v>
      </c>
      <c r="B19" s="73" t="s">
        <v>293</v>
      </c>
      <c r="C19" s="263" t="n">
        <v>200000</v>
      </c>
      <c r="D19" s="116" t="n">
        <v>0</v>
      </c>
      <c r="E19" s="166" t="n">
        <f aca="false">C19+D19</f>
        <v>200000</v>
      </c>
    </row>
    <row r="20" customFormat="false" ht="15" hidden="false" customHeight="false" outlineLevel="0" collapsed="false">
      <c r="A20" s="95" t="n">
        <v>10</v>
      </c>
      <c r="B20" s="73" t="s">
        <v>294</v>
      </c>
      <c r="C20" s="263" t="n">
        <v>416500</v>
      </c>
      <c r="D20" s="116" t="n">
        <v>0</v>
      </c>
      <c r="E20" s="166" t="n">
        <f aca="false">C20+D20</f>
        <v>416500</v>
      </c>
    </row>
    <row r="21" customFormat="false" ht="15" hidden="false" customHeight="false" outlineLevel="0" collapsed="false">
      <c r="A21" s="95" t="n">
        <v>11</v>
      </c>
      <c r="B21" s="73" t="s">
        <v>295</v>
      </c>
      <c r="C21" s="263" t="n">
        <v>0</v>
      </c>
      <c r="D21" s="116" t="n">
        <v>0</v>
      </c>
      <c r="E21" s="166" t="n">
        <f aca="false">C21+D21</f>
        <v>0</v>
      </c>
    </row>
    <row r="22" customFormat="false" ht="15" hidden="false" customHeight="false" outlineLevel="0" collapsed="false">
      <c r="A22" s="95" t="n">
        <v>12</v>
      </c>
      <c r="B22" s="73" t="s">
        <v>296</v>
      </c>
      <c r="C22" s="263" t="n">
        <v>416500</v>
      </c>
      <c r="D22" s="116" t="n">
        <v>0</v>
      </c>
      <c r="E22" s="166" t="n">
        <f aca="false">C22+D22</f>
        <v>416500</v>
      </c>
    </row>
    <row r="23" customFormat="false" ht="15" hidden="false" customHeight="false" outlineLevel="0" collapsed="false">
      <c r="A23" s="95" t="n">
        <v>13</v>
      </c>
      <c r="B23" s="73" t="s">
        <v>297</v>
      </c>
      <c r="C23" s="263" t="n">
        <v>416500</v>
      </c>
      <c r="D23" s="116" t="n">
        <v>0</v>
      </c>
      <c r="E23" s="166" t="n">
        <f aca="false">C23+D23</f>
        <v>416500</v>
      </c>
    </row>
    <row r="24" customFormat="false" ht="15" hidden="false" customHeight="false" outlineLevel="0" collapsed="false">
      <c r="A24" s="95" t="n">
        <v>14</v>
      </c>
      <c r="B24" s="73" t="s">
        <v>298</v>
      </c>
      <c r="C24" s="263" t="n">
        <v>416500</v>
      </c>
      <c r="D24" s="164" t="n">
        <v>1500</v>
      </c>
      <c r="E24" s="166" t="n">
        <f aca="false">C24+D24</f>
        <v>418000</v>
      </c>
    </row>
    <row r="25" customFormat="false" ht="15" hidden="false" customHeight="false" outlineLevel="0" collapsed="false">
      <c r="A25" s="95" t="n">
        <v>15</v>
      </c>
      <c r="B25" s="73" t="s">
        <v>299</v>
      </c>
      <c r="C25" s="263" t="n">
        <v>416500</v>
      </c>
      <c r="D25" s="116" t="n">
        <v>0</v>
      </c>
      <c r="E25" s="166" t="n">
        <f aca="false">C25+D25</f>
        <v>416500</v>
      </c>
    </row>
    <row r="26" customFormat="false" ht="15" hidden="false" customHeight="false" outlineLevel="0" collapsed="false">
      <c r="A26" s="95" t="n">
        <v>16</v>
      </c>
      <c r="B26" s="73" t="s">
        <v>300</v>
      </c>
      <c r="C26" s="263" t="n">
        <v>200000</v>
      </c>
      <c r="D26" s="116" t="n">
        <v>0</v>
      </c>
      <c r="E26" s="166" t="n">
        <f aca="false">C26+D26</f>
        <v>200000</v>
      </c>
    </row>
    <row r="27" customFormat="false" ht="15" hidden="false" customHeight="false" outlineLevel="0" collapsed="false">
      <c r="A27" s="95" t="n">
        <v>17</v>
      </c>
      <c r="B27" s="73" t="s">
        <v>301</v>
      </c>
      <c r="C27" s="263" t="n">
        <v>266500</v>
      </c>
      <c r="D27" s="116" t="n">
        <v>0</v>
      </c>
      <c r="E27" s="166" t="n">
        <f aca="false">C27+D27</f>
        <v>266500</v>
      </c>
    </row>
    <row r="28" customFormat="false" ht="15" hidden="false" customHeight="false" outlineLevel="0" collapsed="false">
      <c r="A28" s="95" t="n">
        <v>18</v>
      </c>
      <c r="B28" s="73" t="s">
        <v>302</v>
      </c>
      <c r="C28" s="263" t="n">
        <v>416500</v>
      </c>
      <c r="D28" s="164" t="n">
        <v>200000</v>
      </c>
      <c r="E28" s="166" t="n">
        <f aca="false">C28+D28</f>
        <v>616500</v>
      </c>
    </row>
    <row r="29" customFormat="false" ht="15" hidden="false" customHeight="false" outlineLevel="0" collapsed="false">
      <c r="A29" s="95" t="n">
        <v>19</v>
      </c>
      <c r="B29" s="73" t="s">
        <v>303</v>
      </c>
      <c r="C29" s="263" t="n">
        <v>200000</v>
      </c>
      <c r="D29" s="116" t="n">
        <v>0</v>
      </c>
      <c r="E29" s="166" t="n">
        <f aca="false">C29+D29</f>
        <v>200000</v>
      </c>
    </row>
    <row r="30" customFormat="false" ht="15" hidden="false" customHeight="false" outlineLevel="0" collapsed="false">
      <c r="A30" s="95" t="n">
        <v>20</v>
      </c>
      <c r="B30" s="73" t="s">
        <v>304</v>
      </c>
      <c r="C30" s="263" t="n">
        <v>416500</v>
      </c>
      <c r="D30" s="116" t="n">
        <v>0</v>
      </c>
      <c r="E30" s="166" t="n">
        <f aca="false">C30+D30</f>
        <v>416500</v>
      </c>
    </row>
    <row r="31" customFormat="false" ht="15" hidden="false" customHeight="false" outlineLevel="0" collapsed="false">
      <c r="A31" s="95" t="n">
        <v>21</v>
      </c>
      <c r="B31" s="73" t="s">
        <v>305</v>
      </c>
      <c r="C31" s="263" t="n">
        <v>416500</v>
      </c>
      <c r="D31" s="116" t="n">
        <v>0</v>
      </c>
      <c r="E31" s="166" t="n">
        <f aca="false">C31+D31</f>
        <v>416500</v>
      </c>
    </row>
    <row r="32" customFormat="false" ht="15" hidden="false" customHeight="false" outlineLevel="0" collapsed="false">
      <c r="A32" s="95" t="n">
        <v>22</v>
      </c>
      <c r="B32" s="73" t="s">
        <v>306</v>
      </c>
      <c r="C32" s="263" t="n">
        <v>383000</v>
      </c>
      <c r="D32" s="116" t="n">
        <v>0</v>
      </c>
      <c r="E32" s="166" t="n">
        <f aca="false">C32+D32</f>
        <v>383000</v>
      </c>
    </row>
    <row r="33" customFormat="false" ht="15" hidden="false" customHeight="false" outlineLevel="0" collapsed="false">
      <c r="A33" s="95" t="n">
        <v>23</v>
      </c>
      <c r="B33" s="98" t="s">
        <v>307</v>
      </c>
      <c r="C33" s="263" t="n">
        <v>166500</v>
      </c>
      <c r="D33" s="116" t="n">
        <v>0</v>
      </c>
      <c r="E33" s="166" t="n">
        <f aca="false">C33+D33</f>
        <v>166500</v>
      </c>
    </row>
    <row r="34" customFormat="false" ht="15" hidden="false" customHeight="false" outlineLevel="0" collapsed="false">
      <c r="A34" s="95" t="n">
        <v>24</v>
      </c>
      <c r="B34" s="73" t="s">
        <v>308</v>
      </c>
      <c r="C34" s="263" t="n">
        <v>416500</v>
      </c>
      <c r="D34" s="116" t="n">
        <v>0</v>
      </c>
      <c r="E34" s="166" t="n">
        <f aca="false">C34+D34</f>
        <v>416500</v>
      </c>
    </row>
    <row r="35" customFormat="false" ht="15" hidden="false" customHeight="false" outlineLevel="0" collapsed="false">
      <c r="A35" s="95" t="n">
        <v>25</v>
      </c>
      <c r="B35" s="73" t="s">
        <v>309</v>
      </c>
      <c r="C35" s="263" t="n">
        <v>136500</v>
      </c>
      <c r="D35" s="116" t="n">
        <v>0</v>
      </c>
      <c r="E35" s="166" t="n">
        <f aca="false">C35+D35</f>
        <v>136500</v>
      </c>
    </row>
    <row r="36" customFormat="false" ht="15" hidden="false" customHeight="false" outlineLevel="0" collapsed="false">
      <c r="A36" s="95" t="n">
        <v>26</v>
      </c>
      <c r="B36" s="73" t="s">
        <v>310</v>
      </c>
      <c r="C36" s="263" t="n">
        <v>416500</v>
      </c>
      <c r="D36" s="164" t="n">
        <v>116500</v>
      </c>
      <c r="E36" s="166" t="n">
        <f aca="false">C36+D36</f>
        <v>533000</v>
      </c>
    </row>
    <row r="37" customFormat="false" ht="15" hidden="false" customHeight="false" outlineLevel="0" collapsed="false">
      <c r="A37" s="95" t="n">
        <v>27</v>
      </c>
      <c r="B37" s="73" t="s">
        <v>311</v>
      </c>
      <c r="C37" s="263" t="n">
        <v>201500</v>
      </c>
      <c r="D37" s="116" t="n">
        <v>0</v>
      </c>
      <c r="E37" s="166" t="n">
        <f aca="false">C37+D37</f>
        <v>201500</v>
      </c>
    </row>
    <row r="38" customFormat="false" ht="15" hidden="false" customHeight="false" outlineLevel="0" collapsed="false">
      <c r="A38" s="95" t="n">
        <v>28</v>
      </c>
      <c r="B38" s="73" t="s">
        <v>312</v>
      </c>
      <c r="C38" s="263" t="n">
        <v>416500</v>
      </c>
      <c r="D38" s="116" t="n">
        <v>500</v>
      </c>
      <c r="E38" s="166" t="n">
        <f aca="false">C38+D38</f>
        <v>417000</v>
      </c>
    </row>
    <row r="39" customFormat="false" ht="15" hidden="false" customHeight="false" outlineLevel="0" collapsed="false">
      <c r="A39" s="95" t="n">
        <v>29</v>
      </c>
      <c r="B39" s="99" t="s">
        <v>313</v>
      </c>
      <c r="C39" s="263" t="n">
        <v>416500</v>
      </c>
      <c r="D39" s="116" t="n">
        <v>500</v>
      </c>
      <c r="E39" s="166" t="n">
        <f aca="false">C39+D39</f>
        <v>417000</v>
      </c>
    </row>
    <row r="40" customFormat="false" ht="17.35" hidden="false" customHeight="false" outlineLevel="0" collapsed="false">
      <c r="A40" s="112"/>
      <c r="B40" s="100" t="s">
        <v>22</v>
      </c>
      <c r="C40" s="264" t="n">
        <f aca="false">SUM(C11:C39)</f>
        <v>9065000</v>
      </c>
      <c r="D40" s="264" t="n">
        <f aca="false">SUM(D11:D39)</f>
        <v>454000</v>
      </c>
      <c r="E40" s="103" t="n">
        <f aca="false">SUM(E11:E39)</f>
        <v>9519000</v>
      </c>
    </row>
    <row r="41" customFormat="false" ht="17.35" hidden="false" customHeight="false" outlineLevel="0" collapsed="false">
      <c r="A41" s="104"/>
      <c r="B41" s="105"/>
      <c r="C41" s="77"/>
    </row>
    <row r="43" customFormat="false" ht="17.35" hidden="false" customHeight="false" outlineLevel="0" collapsed="false">
      <c r="A43" s="108"/>
      <c r="B43" s="2" t="s">
        <v>0</v>
      </c>
    </row>
    <row r="44" customFormat="false" ht="15" hidden="false" customHeight="false" outlineLevel="0" collapsed="false">
      <c r="A44" s="104"/>
    </row>
    <row r="45" customFormat="false" ht="17.25" hidden="false" customHeight="false" outlineLevel="0" collapsed="false">
      <c r="A45" s="104"/>
      <c r="B45" s="3" t="s">
        <v>1</v>
      </c>
    </row>
    <row r="46" customFormat="false" ht="15" hidden="false" customHeight="false" outlineLevel="0" collapsed="false">
      <c r="A46" s="104"/>
    </row>
    <row r="47" customFormat="false" ht="17.35" hidden="false" customHeight="false" outlineLevel="0" collapsed="false">
      <c r="A47" s="104"/>
      <c r="B47" s="91" t="s">
        <v>314</v>
      </c>
    </row>
    <row r="48" customFormat="false" ht="15" hidden="false" customHeight="false" outlineLevel="0" collapsed="false">
      <c r="A48" s="104"/>
      <c r="B48" s="4" t="s">
        <v>284</v>
      </c>
    </row>
    <row r="49" customFormat="false" ht="15" hidden="false" customHeight="false" outlineLevel="0" collapsed="false">
      <c r="A49" s="104"/>
    </row>
    <row r="50" customFormat="false" ht="15" hidden="false" customHeight="false" outlineLevel="0" collapsed="false">
      <c r="A50" s="92" t="s">
        <v>4</v>
      </c>
      <c r="B50" s="93" t="s">
        <v>285</v>
      </c>
      <c r="C50" s="260" t="s">
        <v>961</v>
      </c>
      <c r="D50" s="261" t="s">
        <v>962</v>
      </c>
      <c r="E50" s="262" t="s">
        <v>963</v>
      </c>
    </row>
    <row r="51" customFormat="false" ht="15" hidden="false" customHeight="false" outlineLevel="0" collapsed="false">
      <c r="A51" s="95" t="n">
        <v>1</v>
      </c>
      <c r="B51" s="73" t="s">
        <v>315</v>
      </c>
      <c r="C51" s="263" t="n">
        <v>416500</v>
      </c>
      <c r="D51" s="265" t="n">
        <v>316500</v>
      </c>
      <c r="E51" s="164" t="n">
        <f aca="false">C51+D51</f>
        <v>733000</v>
      </c>
    </row>
    <row r="52" customFormat="false" ht="15" hidden="false" customHeight="false" outlineLevel="0" collapsed="false">
      <c r="A52" s="95" t="n">
        <v>2</v>
      </c>
      <c r="B52" s="73" t="s">
        <v>316</v>
      </c>
      <c r="C52" s="263" t="n">
        <v>416500</v>
      </c>
      <c r="D52" s="266" t="n">
        <v>0</v>
      </c>
      <c r="E52" s="164" t="n">
        <f aca="false">C52+D52</f>
        <v>416500</v>
      </c>
      <c r="J52" s="1" t="s">
        <v>965</v>
      </c>
    </row>
    <row r="53" customFormat="false" ht="15" hidden="false" customHeight="false" outlineLevel="0" collapsed="false">
      <c r="A53" s="95" t="n">
        <v>3</v>
      </c>
      <c r="B53" s="73" t="s">
        <v>317</v>
      </c>
      <c r="C53" s="263" t="n">
        <v>416500</v>
      </c>
      <c r="D53" s="266" t="n">
        <v>0</v>
      </c>
      <c r="E53" s="164" t="n">
        <f aca="false">C53+D53</f>
        <v>416500</v>
      </c>
    </row>
    <row r="54" customFormat="false" ht="15" hidden="false" customHeight="false" outlineLevel="0" collapsed="false">
      <c r="A54" s="95" t="n">
        <v>4</v>
      </c>
      <c r="B54" s="73" t="s">
        <v>318</v>
      </c>
      <c r="C54" s="263" t="n">
        <v>416500</v>
      </c>
      <c r="D54" s="266" t="n">
        <v>0</v>
      </c>
      <c r="E54" s="164" t="n">
        <f aca="false">C54+D54</f>
        <v>416500</v>
      </c>
    </row>
    <row r="55" customFormat="false" ht="15" hidden="false" customHeight="false" outlineLevel="0" collapsed="false">
      <c r="A55" s="95" t="n">
        <v>5</v>
      </c>
      <c r="B55" s="73" t="s">
        <v>966</v>
      </c>
      <c r="C55" s="263" t="n">
        <v>316500</v>
      </c>
      <c r="D55" s="266" t="n">
        <v>0</v>
      </c>
      <c r="E55" s="164" t="n">
        <f aca="false">C55+D55</f>
        <v>316500</v>
      </c>
    </row>
    <row r="56" customFormat="false" ht="15" hidden="false" customHeight="false" outlineLevel="0" collapsed="false">
      <c r="A56" s="95" t="n">
        <v>6</v>
      </c>
      <c r="B56" s="109" t="s">
        <v>320</v>
      </c>
      <c r="C56" s="263" t="n">
        <v>416500</v>
      </c>
      <c r="D56" s="265" t="n">
        <v>266500</v>
      </c>
      <c r="E56" s="164" t="n">
        <f aca="false">C56+D56</f>
        <v>683000</v>
      </c>
    </row>
    <row r="57" customFormat="false" ht="15" hidden="false" customHeight="false" outlineLevel="0" collapsed="false">
      <c r="A57" s="95" t="n">
        <v>7</v>
      </c>
      <c r="B57" s="73" t="s">
        <v>967</v>
      </c>
      <c r="C57" s="263" t="n">
        <v>416500</v>
      </c>
      <c r="D57" s="265" t="n">
        <v>216500</v>
      </c>
      <c r="E57" s="164" t="n">
        <f aca="false">C57+D57</f>
        <v>633000</v>
      </c>
    </row>
    <row r="58" customFormat="false" ht="15" hidden="false" customHeight="false" outlineLevel="0" collapsed="false">
      <c r="A58" s="95" t="n">
        <v>8</v>
      </c>
      <c r="B58" s="73" t="s">
        <v>322</v>
      </c>
      <c r="C58" s="263" t="n">
        <v>416500</v>
      </c>
      <c r="D58" s="265" t="n">
        <f aca="false">416500+236500</f>
        <v>653000</v>
      </c>
      <c r="E58" s="164" t="n">
        <f aca="false">C58+D58</f>
        <v>1069500</v>
      </c>
    </row>
    <row r="59" customFormat="false" ht="15" hidden="false" customHeight="false" outlineLevel="0" collapsed="false">
      <c r="A59" s="95" t="n">
        <v>9</v>
      </c>
      <c r="B59" s="73" t="s">
        <v>323</v>
      </c>
      <c r="C59" s="263" t="n">
        <v>416500</v>
      </c>
      <c r="D59" s="266" t="n">
        <v>0</v>
      </c>
      <c r="E59" s="164" t="n">
        <f aca="false">C59+D59</f>
        <v>416500</v>
      </c>
    </row>
    <row r="60" customFormat="false" ht="15" hidden="false" customHeight="false" outlineLevel="0" collapsed="false">
      <c r="A60" s="95" t="n">
        <v>10</v>
      </c>
      <c r="B60" s="73" t="s">
        <v>324</v>
      </c>
      <c r="C60" s="263" t="n">
        <v>416500</v>
      </c>
      <c r="D60" s="265" t="n">
        <f aca="false">316500+416500</f>
        <v>733000</v>
      </c>
      <c r="E60" s="164" t="n">
        <f aca="false">C60+D60</f>
        <v>1149500</v>
      </c>
    </row>
    <row r="61" customFormat="false" ht="15" hidden="false" customHeight="false" outlineLevel="0" collapsed="false">
      <c r="A61" s="95" t="n">
        <v>11</v>
      </c>
      <c r="B61" s="73" t="s">
        <v>325</v>
      </c>
      <c r="C61" s="263" t="n">
        <v>416500</v>
      </c>
      <c r="D61" s="266" t="n">
        <v>0</v>
      </c>
      <c r="E61" s="164" t="n">
        <f aca="false">C61+D61</f>
        <v>416500</v>
      </c>
    </row>
    <row r="62" customFormat="false" ht="15" hidden="false" customHeight="false" outlineLevel="0" collapsed="false">
      <c r="A62" s="95" t="n">
        <v>12</v>
      </c>
      <c r="B62" s="73" t="s">
        <v>326</v>
      </c>
      <c r="C62" s="263" t="n">
        <v>416500</v>
      </c>
      <c r="D62" s="266" t="n">
        <v>0</v>
      </c>
      <c r="E62" s="164" t="n">
        <f aca="false">C62+D62</f>
        <v>416500</v>
      </c>
    </row>
    <row r="63" customFormat="false" ht="15" hidden="false" customHeight="false" outlineLevel="0" collapsed="false">
      <c r="A63" s="95" t="n">
        <v>13</v>
      </c>
      <c r="B63" s="73" t="s">
        <v>327</v>
      </c>
      <c r="C63" s="263" t="n">
        <v>96500</v>
      </c>
      <c r="D63" s="266" t="n">
        <v>0</v>
      </c>
      <c r="E63" s="164" t="n">
        <f aca="false">C63+D63</f>
        <v>96500</v>
      </c>
    </row>
    <row r="64" customFormat="false" ht="15" hidden="false" customHeight="false" outlineLevel="0" collapsed="false">
      <c r="A64" s="95" t="n">
        <v>14</v>
      </c>
      <c r="B64" s="73" t="s">
        <v>328</v>
      </c>
      <c r="C64" s="263" t="n">
        <v>216500</v>
      </c>
      <c r="D64" s="265" t="n">
        <v>2500</v>
      </c>
      <c r="E64" s="164" t="n">
        <f aca="false">C64+D64</f>
        <v>219000</v>
      </c>
    </row>
    <row r="65" customFormat="false" ht="15" hidden="false" customHeight="false" outlineLevel="0" collapsed="false">
      <c r="A65" s="95" t="n">
        <v>15</v>
      </c>
      <c r="B65" s="73" t="s">
        <v>329</v>
      </c>
      <c r="C65" s="263" t="n">
        <v>228000</v>
      </c>
      <c r="D65" s="266" t="n">
        <v>0</v>
      </c>
      <c r="E65" s="164" t="n">
        <f aca="false">C65+D65</f>
        <v>228000</v>
      </c>
    </row>
    <row r="66" customFormat="false" ht="15" hidden="false" customHeight="false" outlineLevel="0" collapsed="false">
      <c r="A66" s="95" t="n">
        <v>16</v>
      </c>
      <c r="B66" s="73" t="s">
        <v>330</v>
      </c>
      <c r="C66" s="263" t="n">
        <v>316500</v>
      </c>
      <c r="D66" s="266" t="n">
        <v>0</v>
      </c>
      <c r="E66" s="164" t="n">
        <f aca="false">C66+D66</f>
        <v>316500</v>
      </c>
    </row>
    <row r="67" customFormat="false" ht="15" hidden="false" customHeight="false" outlineLevel="0" collapsed="false">
      <c r="A67" s="95" t="n">
        <v>17</v>
      </c>
      <c r="B67" s="73" t="s">
        <v>331</v>
      </c>
      <c r="C67" s="263" t="n">
        <v>199500</v>
      </c>
      <c r="D67" s="266" t="n">
        <v>0</v>
      </c>
      <c r="E67" s="164" t="n">
        <f aca="false">C67+D67</f>
        <v>199500</v>
      </c>
    </row>
    <row r="68" customFormat="false" ht="15" hidden="false" customHeight="false" outlineLevel="0" collapsed="false">
      <c r="A68" s="95" t="n">
        <v>18</v>
      </c>
      <c r="B68" s="73" t="s">
        <v>332</v>
      </c>
      <c r="C68" s="263" t="n">
        <v>416500</v>
      </c>
      <c r="D68" s="266" t="n">
        <v>0</v>
      </c>
      <c r="E68" s="164" t="n">
        <f aca="false">C68+D68</f>
        <v>416500</v>
      </c>
    </row>
    <row r="69" customFormat="false" ht="15" hidden="false" customHeight="false" outlineLevel="0" collapsed="false">
      <c r="A69" s="95" t="n">
        <v>19</v>
      </c>
      <c r="B69" s="73" t="s">
        <v>333</v>
      </c>
      <c r="C69" s="263" t="n">
        <v>416500</v>
      </c>
      <c r="D69" s="266" t="n">
        <v>0</v>
      </c>
      <c r="E69" s="164" t="n">
        <f aca="false">C69+D69</f>
        <v>416500</v>
      </c>
    </row>
    <row r="70" customFormat="false" ht="15" hidden="false" customHeight="false" outlineLevel="0" collapsed="false">
      <c r="A70" s="95" t="n">
        <v>20</v>
      </c>
      <c r="B70" s="73" t="s">
        <v>334</v>
      </c>
      <c r="C70" s="263" t="n">
        <v>268000</v>
      </c>
      <c r="D70" s="266" t="n">
        <v>0</v>
      </c>
      <c r="E70" s="164" t="n">
        <f aca="false">C70+D70</f>
        <v>268000</v>
      </c>
    </row>
    <row r="71" customFormat="false" ht="15" hidden="false" customHeight="false" outlineLevel="0" collapsed="false">
      <c r="A71" s="95" t="n">
        <v>21</v>
      </c>
      <c r="B71" s="73" t="s">
        <v>335</v>
      </c>
      <c r="C71" s="263" t="n">
        <v>416500</v>
      </c>
      <c r="D71" s="265" t="n">
        <f aca="false">416500+41500</f>
        <v>458000</v>
      </c>
      <c r="E71" s="164" t="n">
        <f aca="false">C71+D71</f>
        <v>874500</v>
      </c>
    </row>
    <row r="72" customFormat="false" ht="15" hidden="false" customHeight="false" outlineLevel="0" collapsed="false">
      <c r="A72" s="95" t="n">
        <v>22</v>
      </c>
      <c r="B72" s="73" t="s">
        <v>336</v>
      </c>
      <c r="C72" s="263" t="n">
        <v>416500</v>
      </c>
      <c r="D72" s="265" t="n">
        <v>217500</v>
      </c>
      <c r="E72" s="164" t="n">
        <f aca="false">C72+D72</f>
        <v>634000</v>
      </c>
    </row>
    <row r="73" customFormat="false" ht="15" hidden="false" customHeight="false" outlineLevel="0" collapsed="false">
      <c r="A73" s="95" t="n">
        <v>23</v>
      </c>
      <c r="B73" s="73" t="s">
        <v>337</v>
      </c>
      <c r="C73" s="263" t="n">
        <v>210000</v>
      </c>
      <c r="D73" s="266" t="n">
        <v>0</v>
      </c>
      <c r="E73" s="164" t="n">
        <f aca="false">C73+D73</f>
        <v>210000</v>
      </c>
    </row>
    <row r="74" customFormat="false" ht="15" hidden="false" customHeight="false" outlineLevel="0" collapsed="false">
      <c r="A74" s="95" t="n">
        <v>24</v>
      </c>
      <c r="B74" s="98" t="s">
        <v>338</v>
      </c>
      <c r="C74" s="263" t="n">
        <v>416500</v>
      </c>
      <c r="D74" s="266" t="n">
        <v>0</v>
      </c>
      <c r="E74" s="164" t="n">
        <f aca="false">C74+D74</f>
        <v>416500</v>
      </c>
    </row>
    <row r="75" customFormat="false" ht="15" hidden="false" customHeight="false" outlineLevel="0" collapsed="false">
      <c r="A75" s="95" t="n">
        <v>25</v>
      </c>
      <c r="B75" s="73" t="s">
        <v>339</v>
      </c>
      <c r="C75" s="263" t="n">
        <v>199500</v>
      </c>
      <c r="D75" s="266" t="n">
        <v>0</v>
      </c>
      <c r="E75" s="164" t="n">
        <f aca="false">C75+D75</f>
        <v>199500</v>
      </c>
    </row>
    <row r="76" customFormat="false" ht="15" hidden="false" customHeight="false" outlineLevel="0" collapsed="false">
      <c r="A76" s="95" t="n">
        <v>26</v>
      </c>
      <c r="B76" s="73" t="s">
        <v>340</v>
      </c>
      <c r="C76" s="263" t="n">
        <v>413000</v>
      </c>
      <c r="D76" s="266" t="n">
        <v>0</v>
      </c>
      <c r="E76" s="164" t="n">
        <f aca="false">C76+D76</f>
        <v>413000</v>
      </c>
    </row>
    <row r="77" customFormat="false" ht="15" hidden="false" customHeight="false" outlineLevel="0" collapsed="false">
      <c r="A77" s="95" t="n">
        <v>27</v>
      </c>
      <c r="B77" s="73" t="s">
        <v>341</v>
      </c>
      <c r="C77" s="263" t="n">
        <v>216500</v>
      </c>
      <c r="D77" s="266" t="n">
        <v>0</v>
      </c>
      <c r="E77" s="164" t="n">
        <f aca="false">C77+D77</f>
        <v>216500</v>
      </c>
    </row>
    <row r="78" customFormat="false" ht="15" hidden="false" customHeight="false" outlineLevel="0" collapsed="false">
      <c r="A78" s="95" t="n">
        <v>28</v>
      </c>
      <c r="B78" s="98" t="s">
        <v>342</v>
      </c>
      <c r="C78" s="263" t="n">
        <v>200000</v>
      </c>
      <c r="D78" s="266" t="n">
        <v>0</v>
      </c>
      <c r="E78" s="164" t="n">
        <f aca="false">C78+D78</f>
        <v>200000</v>
      </c>
    </row>
    <row r="79" customFormat="false" ht="15" hidden="false" customHeight="false" outlineLevel="0" collapsed="false">
      <c r="A79" s="95" t="n">
        <v>29</v>
      </c>
      <c r="B79" s="73" t="s">
        <v>343</v>
      </c>
      <c r="C79" s="263" t="n">
        <v>200000</v>
      </c>
      <c r="D79" s="266" t="n">
        <v>0</v>
      </c>
      <c r="E79" s="164" t="n">
        <f aca="false">C79+D79</f>
        <v>200000</v>
      </c>
    </row>
    <row r="80" customFormat="false" ht="15" hidden="false" customHeight="false" outlineLevel="0" collapsed="false">
      <c r="A80" s="95" t="n">
        <v>30</v>
      </c>
      <c r="B80" s="73" t="s">
        <v>344</v>
      </c>
      <c r="C80" s="263" t="n">
        <v>183500</v>
      </c>
      <c r="D80" s="266" t="n">
        <v>0</v>
      </c>
      <c r="E80" s="164" t="n">
        <f aca="false">C80+D80</f>
        <v>183500</v>
      </c>
    </row>
    <row r="81" customFormat="false" ht="15" hidden="false" customHeight="false" outlineLevel="0" collapsed="false">
      <c r="A81" s="95" t="n">
        <v>31</v>
      </c>
      <c r="B81" s="98" t="s">
        <v>345</v>
      </c>
      <c r="C81" s="263" t="n">
        <v>416500</v>
      </c>
      <c r="D81" s="265" t="n">
        <v>91500</v>
      </c>
      <c r="E81" s="164" t="n">
        <f aca="false">C81+D81</f>
        <v>508000</v>
      </c>
    </row>
    <row r="82" customFormat="false" ht="15" hidden="false" customHeight="false" outlineLevel="0" collapsed="false">
      <c r="A82" s="95" t="n">
        <v>32</v>
      </c>
      <c r="B82" s="73" t="s">
        <v>346</v>
      </c>
      <c r="C82" s="263" t="n">
        <v>416500</v>
      </c>
      <c r="D82" s="266" t="n">
        <v>0</v>
      </c>
      <c r="E82" s="164" t="n">
        <f aca="false">C82+D82</f>
        <v>416500</v>
      </c>
    </row>
    <row r="83" customFormat="false" ht="15" hidden="false" customHeight="false" outlineLevel="0" collapsed="false">
      <c r="A83" s="95" t="n">
        <v>33</v>
      </c>
      <c r="B83" s="73" t="s">
        <v>347</v>
      </c>
      <c r="C83" s="263" t="n">
        <v>100000</v>
      </c>
      <c r="D83" s="266" t="n">
        <v>0</v>
      </c>
      <c r="E83" s="164" t="n">
        <f aca="false">C83+D83</f>
        <v>100000</v>
      </c>
    </row>
    <row r="84" customFormat="false" ht="15" hidden="false" customHeight="false" outlineLevel="0" collapsed="false">
      <c r="A84" s="95" t="n">
        <v>34</v>
      </c>
      <c r="B84" s="128" t="s">
        <v>348</v>
      </c>
      <c r="C84" s="267" t="n">
        <v>416500</v>
      </c>
      <c r="D84" s="268" t="n">
        <v>416500</v>
      </c>
      <c r="E84" s="269" t="n">
        <f aca="false">C84+D84</f>
        <v>833000</v>
      </c>
    </row>
    <row r="85" customFormat="false" ht="15" hidden="false" customHeight="false" outlineLevel="0" collapsed="false">
      <c r="A85" s="95" t="n">
        <v>35</v>
      </c>
      <c r="B85" s="73" t="s">
        <v>350</v>
      </c>
      <c r="C85" s="263" t="n">
        <v>266500</v>
      </c>
      <c r="D85" s="266" t="n">
        <v>0</v>
      </c>
      <c r="E85" s="164" t="n">
        <f aca="false">C85+D85</f>
        <v>266500</v>
      </c>
    </row>
    <row r="86" customFormat="false" ht="17.35" hidden="false" customHeight="false" outlineLevel="0" collapsed="false">
      <c r="A86" s="112"/>
      <c r="B86" s="100" t="s">
        <v>22</v>
      </c>
      <c r="C86" s="264" t="n">
        <f aca="false">SUM(C51:C85)</f>
        <v>11544000</v>
      </c>
      <c r="D86" s="264" t="n">
        <f aca="false">SUM(D51:D85)</f>
        <v>3371500</v>
      </c>
      <c r="E86" s="264" t="n">
        <f aca="false">SUM(E51:E85)</f>
        <v>14915500</v>
      </c>
    </row>
    <row r="87" customFormat="false" ht="15" hidden="false" customHeight="false" outlineLevel="0" collapsed="false">
      <c r="A87" s="104"/>
    </row>
    <row r="89" customFormat="false" ht="17.35" hidden="false" customHeight="false" outlineLevel="0" collapsed="false">
      <c r="A89" s="104"/>
      <c r="B89" s="2" t="s">
        <v>0</v>
      </c>
    </row>
    <row r="90" customFormat="false" ht="15" hidden="false" customHeight="false" outlineLevel="0" collapsed="false">
      <c r="A90" s="104"/>
    </row>
    <row r="91" customFormat="false" ht="17.35" hidden="false" customHeight="false" outlineLevel="0" collapsed="false">
      <c r="A91" s="104"/>
      <c r="B91" s="91" t="s">
        <v>283</v>
      </c>
    </row>
    <row r="92" customFormat="false" ht="15" hidden="false" customHeight="false" outlineLevel="0" collapsed="false">
      <c r="A92" s="104"/>
      <c r="B92" s="4" t="s">
        <v>392</v>
      </c>
    </row>
    <row r="93" customFormat="false" ht="15" hidden="false" customHeight="false" outlineLevel="0" collapsed="false">
      <c r="A93" s="104"/>
    </row>
    <row r="94" customFormat="false" ht="15" hidden="false" customHeight="false" outlineLevel="0" collapsed="false">
      <c r="A94" s="92" t="s">
        <v>4</v>
      </c>
      <c r="B94" s="93" t="s">
        <v>285</v>
      </c>
      <c r="C94" s="260" t="s">
        <v>961</v>
      </c>
      <c r="D94" s="261" t="s">
        <v>962</v>
      </c>
      <c r="E94" s="262" t="s">
        <v>963</v>
      </c>
    </row>
    <row r="95" customFormat="false" ht="15" hidden="false" customHeight="false" outlineLevel="0" collapsed="false">
      <c r="A95" s="95" t="n">
        <v>1</v>
      </c>
      <c r="B95" s="116" t="s">
        <v>393</v>
      </c>
      <c r="C95" s="263" t="n">
        <v>416500</v>
      </c>
      <c r="D95" s="116" t="n">
        <v>0</v>
      </c>
      <c r="E95" s="164" t="n">
        <f aca="false">C95+D95</f>
        <v>416500</v>
      </c>
    </row>
    <row r="96" customFormat="false" ht="15" hidden="false" customHeight="false" outlineLevel="0" collapsed="false">
      <c r="A96" s="95" t="n">
        <v>2</v>
      </c>
      <c r="B96" s="116" t="s">
        <v>395</v>
      </c>
      <c r="C96" s="263" t="n">
        <v>416500</v>
      </c>
      <c r="D96" s="116" t="n">
        <v>0</v>
      </c>
      <c r="E96" s="164" t="n">
        <f aca="false">C96+D96</f>
        <v>416500</v>
      </c>
    </row>
    <row r="97" customFormat="false" ht="15" hidden="false" customHeight="false" outlineLevel="0" collapsed="false">
      <c r="A97" s="95" t="n">
        <v>3</v>
      </c>
      <c r="B97" s="116" t="s">
        <v>396</v>
      </c>
      <c r="C97" s="263" t="n">
        <v>416500</v>
      </c>
      <c r="D97" s="164" t="n">
        <v>130500</v>
      </c>
      <c r="E97" s="164" t="n">
        <f aca="false">C97+D97</f>
        <v>547000</v>
      </c>
    </row>
    <row r="98" customFormat="false" ht="15" hidden="false" customHeight="false" outlineLevel="0" collapsed="false">
      <c r="A98" s="95" t="n">
        <v>4</v>
      </c>
      <c r="B98" s="118" t="s">
        <v>397</v>
      </c>
      <c r="C98" s="263" t="n">
        <v>416500</v>
      </c>
      <c r="D98" s="116" t="n">
        <v>0</v>
      </c>
      <c r="E98" s="164" t="n">
        <f aca="false">C98+D98</f>
        <v>416500</v>
      </c>
    </row>
    <row r="99" customFormat="false" ht="15" hidden="false" customHeight="false" outlineLevel="0" collapsed="false">
      <c r="A99" s="95" t="n">
        <v>5</v>
      </c>
      <c r="B99" s="116" t="s">
        <v>398</v>
      </c>
      <c r="C99" s="263" t="n">
        <v>616500</v>
      </c>
      <c r="D99" s="116" t="n">
        <v>0</v>
      </c>
      <c r="E99" s="164" t="n">
        <f aca="false">C99+D99</f>
        <v>616500</v>
      </c>
    </row>
    <row r="100" customFormat="false" ht="15" hidden="false" customHeight="false" outlineLevel="0" collapsed="false">
      <c r="A100" s="95" t="n">
        <v>6</v>
      </c>
      <c r="B100" s="116" t="s">
        <v>399</v>
      </c>
      <c r="C100" s="263" t="n">
        <v>416500</v>
      </c>
      <c r="D100" s="116" t="n">
        <v>0</v>
      </c>
      <c r="E100" s="164" t="n">
        <f aca="false">C100+D100</f>
        <v>416500</v>
      </c>
    </row>
    <row r="101" customFormat="false" ht="15" hidden="false" customHeight="false" outlineLevel="0" collapsed="false">
      <c r="A101" s="95" t="n">
        <v>7</v>
      </c>
      <c r="B101" s="116" t="s">
        <v>400</v>
      </c>
      <c r="C101" s="263" t="n">
        <v>200000</v>
      </c>
      <c r="D101" s="116" t="n">
        <v>0</v>
      </c>
      <c r="E101" s="164" t="n">
        <f aca="false">C101+D101</f>
        <v>200000</v>
      </c>
    </row>
    <row r="102" customFormat="false" ht="15" hidden="false" customHeight="false" outlineLevel="0" collapsed="false">
      <c r="A102" s="95" t="n">
        <v>8</v>
      </c>
      <c r="B102" s="116" t="s">
        <v>401</v>
      </c>
      <c r="C102" s="263" t="n">
        <v>416500</v>
      </c>
      <c r="D102" s="116" t="n">
        <v>0</v>
      </c>
      <c r="E102" s="164" t="n">
        <f aca="false">C102+D102</f>
        <v>416500</v>
      </c>
    </row>
    <row r="103" customFormat="false" ht="15" hidden="false" customHeight="false" outlineLevel="0" collapsed="false">
      <c r="A103" s="95" t="n">
        <v>9</v>
      </c>
      <c r="B103" s="116" t="s">
        <v>402</v>
      </c>
      <c r="C103" s="263" t="n">
        <v>266500</v>
      </c>
      <c r="D103" s="116" t="n">
        <v>0</v>
      </c>
      <c r="E103" s="164" t="n">
        <f aca="false">C103+D103</f>
        <v>266500</v>
      </c>
    </row>
    <row r="104" customFormat="false" ht="15" hidden="false" customHeight="false" outlineLevel="0" collapsed="false">
      <c r="A104" s="95" t="n">
        <v>10</v>
      </c>
      <c r="B104" s="116" t="s">
        <v>403</v>
      </c>
      <c r="C104" s="263" t="n">
        <v>146500</v>
      </c>
      <c r="D104" s="116" t="n">
        <v>0</v>
      </c>
      <c r="E104" s="164" t="n">
        <f aca="false">C104+D104</f>
        <v>146500</v>
      </c>
    </row>
    <row r="105" customFormat="false" ht="15" hidden="false" customHeight="false" outlineLevel="0" collapsed="false">
      <c r="A105" s="95" t="n">
        <v>11</v>
      </c>
      <c r="B105" s="116" t="s">
        <v>404</v>
      </c>
      <c r="C105" s="263" t="n">
        <v>416500</v>
      </c>
      <c r="D105" s="116" t="n">
        <v>0</v>
      </c>
      <c r="E105" s="164" t="n">
        <f aca="false">C105+D105</f>
        <v>416500</v>
      </c>
    </row>
    <row r="106" customFormat="false" ht="15" hidden="false" customHeight="false" outlineLevel="0" collapsed="false">
      <c r="A106" s="95" t="n">
        <v>12</v>
      </c>
      <c r="B106" s="116" t="s">
        <v>405</v>
      </c>
      <c r="C106" s="263" t="n">
        <v>316500</v>
      </c>
      <c r="D106" s="116" t="n">
        <v>0</v>
      </c>
      <c r="E106" s="164" t="n">
        <f aca="false">C106+D106</f>
        <v>316500</v>
      </c>
    </row>
    <row r="107" customFormat="false" ht="15" hidden="false" customHeight="false" outlineLevel="0" collapsed="false">
      <c r="A107" s="95" t="n">
        <v>13</v>
      </c>
      <c r="B107" s="116" t="s">
        <v>406</v>
      </c>
      <c r="C107" s="263" t="n">
        <v>416500</v>
      </c>
      <c r="D107" s="164" t="n">
        <v>116500</v>
      </c>
      <c r="E107" s="164" t="n">
        <f aca="false">C107+D107</f>
        <v>533000</v>
      </c>
    </row>
    <row r="108" customFormat="false" ht="15" hidden="false" customHeight="false" outlineLevel="0" collapsed="false">
      <c r="A108" s="95" t="n">
        <v>14</v>
      </c>
      <c r="B108" s="116" t="s">
        <v>407</v>
      </c>
      <c r="C108" s="263" t="n">
        <v>0</v>
      </c>
      <c r="D108" s="116" t="n">
        <v>0</v>
      </c>
      <c r="E108" s="164" t="n">
        <f aca="false">C108+D108</f>
        <v>0</v>
      </c>
    </row>
    <row r="109" customFormat="false" ht="15" hidden="false" customHeight="false" outlineLevel="0" collapsed="false">
      <c r="A109" s="95" t="n">
        <v>15</v>
      </c>
      <c r="B109" s="116" t="s">
        <v>408</v>
      </c>
      <c r="C109" s="263" t="n">
        <v>416500</v>
      </c>
      <c r="D109" s="164" t="n">
        <v>200000</v>
      </c>
      <c r="E109" s="164" t="n">
        <f aca="false">C109+D109</f>
        <v>616500</v>
      </c>
    </row>
    <row r="110" customFormat="false" ht="15" hidden="false" customHeight="false" outlineLevel="0" collapsed="false">
      <c r="A110" s="95" t="n">
        <v>16</v>
      </c>
      <c r="B110" s="116" t="s">
        <v>968</v>
      </c>
      <c r="C110" s="263" t="n">
        <v>416500</v>
      </c>
      <c r="D110" s="116" t="n">
        <v>0</v>
      </c>
      <c r="E110" s="164" t="n">
        <f aca="false">C110+D110</f>
        <v>416500</v>
      </c>
    </row>
    <row r="111" customFormat="false" ht="15" hidden="false" customHeight="false" outlineLevel="0" collapsed="false">
      <c r="A111" s="95" t="n">
        <v>17</v>
      </c>
      <c r="B111" s="116" t="s">
        <v>410</v>
      </c>
      <c r="C111" s="263" t="n">
        <v>316500</v>
      </c>
      <c r="D111" s="116" t="n">
        <v>0</v>
      </c>
      <c r="E111" s="164" t="n">
        <f aca="false">C111+D111</f>
        <v>316500</v>
      </c>
    </row>
    <row r="112" customFormat="false" ht="15" hidden="false" customHeight="false" outlineLevel="0" collapsed="false">
      <c r="A112" s="95" t="n">
        <v>18</v>
      </c>
      <c r="B112" s="116" t="s">
        <v>411</v>
      </c>
      <c r="C112" s="263" t="n">
        <v>363000</v>
      </c>
      <c r="D112" s="116" t="n">
        <v>0</v>
      </c>
      <c r="E112" s="164" t="n">
        <f aca="false">C112+D112</f>
        <v>363000</v>
      </c>
    </row>
    <row r="113" customFormat="false" ht="15" hidden="false" customHeight="false" outlineLevel="0" collapsed="false">
      <c r="A113" s="95" t="n">
        <v>19</v>
      </c>
      <c r="B113" s="116" t="s">
        <v>412</v>
      </c>
      <c r="C113" s="263" t="n">
        <v>416500</v>
      </c>
      <c r="D113" s="164" t="n">
        <v>200000</v>
      </c>
      <c r="E113" s="164" t="n">
        <f aca="false">C113+D113</f>
        <v>616500</v>
      </c>
    </row>
    <row r="114" customFormat="false" ht="15" hidden="false" customHeight="false" outlineLevel="0" collapsed="false">
      <c r="A114" s="95" t="n">
        <v>20</v>
      </c>
      <c r="B114" s="116" t="s">
        <v>413</v>
      </c>
      <c r="C114" s="263" t="n">
        <v>416500</v>
      </c>
      <c r="D114" s="116" t="n">
        <v>0</v>
      </c>
      <c r="E114" s="164" t="n">
        <f aca="false">C114+D114</f>
        <v>416500</v>
      </c>
    </row>
    <row r="115" customFormat="false" ht="15" hidden="false" customHeight="false" outlineLevel="0" collapsed="false">
      <c r="A115" s="95" t="n">
        <v>21</v>
      </c>
      <c r="B115" s="119" t="s">
        <v>414</v>
      </c>
      <c r="C115" s="263" t="n">
        <v>416500</v>
      </c>
      <c r="D115" s="116" t="n">
        <v>0</v>
      </c>
      <c r="E115" s="164" t="n">
        <f aca="false">C115+D115</f>
        <v>416500</v>
      </c>
    </row>
    <row r="116" customFormat="false" ht="15" hidden="false" customHeight="false" outlineLevel="0" collapsed="false">
      <c r="A116" s="95" t="n">
        <v>22</v>
      </c>
      <c r="B116" s="116" t="s">
        <v>415</v>
      </c>
      <c r="C116" s="263" t="n">
        <v>323000</v>
      </c>
      <c r="D116" s="116" t="n">
        <v>0</v>
      </c>
      <c r="E116" s="164" t="n">
        <f aca="false">C116+D116</f>
        <v>323000</v>
      </c>
    </row>
    <row r="117" customFormat="false" ht="15" hidden="false" customHeight="false" outlineLevel="0" collapsed="false">
      <c r="A117" s="95" t="n">
        <v>23</v>
      </c>
      <c r="B117" s="116" t="s">
        <v>416</v>
      </c>
      <c r="C117" s="263" t="n">
        <v>416500</v>
      </c>
      <c r="D117" s="116" t="n">
        <v>0</v>
      </c>
      <c r="E117" s="164" t="n">
        <f aca="false">C117+D117</f>
        <v>416500</v>
      </c>
    </row>
    <row r="118" customFormat="false" ht="15" hidden="false" customHeight="false" outlineLevel="0" collapsed="false">
      <c r="A118" s="95" t="n">
        <v>24</v>
      </c>
      <c r="B118" s="116" t="s">
        <v>417</v>
      </c>
      <c r="C118" s="263" t="n">
        <v>416500</v>
      </c>
      <c r="D118" s="164" t="n">
        <v>200000</v>
      </c>
      <c r="E118" s="164" t="n">
        <f aca="false">C118+D118</f>
        <v>616500</v>
      </c>
    </row>
    <row r="119" customFormat="false" ht="15" hidden="false" customHeight="false" outlineLevel="0" collapsed="false">
      <c r="A119" s="95" t="n">
        <v>25</v>
      </c>
      <c r="B119" s="116" t="s">
        <v>418</v>
      </c>
      <c r="C119" s="263" t="n">
        <v>416500</v>
      </c>
      <c r="D119" s="116" t="n">
        <v>0</v>
      </c>
      <c r="E119" s="164" t="n">
        <f aca="false">C119+D119</f>
        <v>416500</v>
      </c>
    </row>
    <row r="120" customFormat="false" ht="15" hidden="false" customHeight="false" outlineLevel="0" collapsed="false">
      <c r="A120" s="95" t="n">
        <v>26</v>
      </c>
      <c r="B120" s="116" t="s">
        <v>419</v>
      </c>
      <c r="C120" s="263" t="n">
        <v>200000</v>
      </c>
      <c r="D120" s="116" t="n">
        <v>0</v>
      </c>
      <c r="E120" s="164" t="n">
        <f aca="false">C120+D120</f>
        <v>200000</v>
      </c>
    </row>
    <row r="121" customFormat="false" ht="15" hidden="false" customHeight="false" outlineLevel="0" collapsed="false">
      <c r="A121" s="95" t="n">
        <v>27</v>
      </c>
      <c r="B121" s="116" t="s">
        <v>420</v>
      </c>
      <c r="C121" s="263" t="n">
        <v>199500</v>
      </c>
      <c r="D121" s="116" t="n">
        <v>0</v>
      </c>
      <c r="E121" s="164" t="n">
        <f aca="false">C121+D121</f>
        <v>199500</v>
      </c>
    </row>
    <row r="122" customFormat="false" ht="15" hidden="false" customHeight="false" outlineLevel="0" collapsed="false">
      <c r="A122" s="95" t="n">
        <v>28</v>
      </c>
      <c r="B122" s="116" t="s">
        <v>421</v>
      </c>
      <c r="C122" s="263" t="n">
        <v>216500</v>
      </c>
      <c r="D122" s="116" t="n">
        <v>0</v>
      </c>
      <c r="E122" s="164" t="n">
        <f aca="false">C122+D122</f>
        <v>216500</v>
      </c>
    </row>
    <row r="123" customFormat="false" ht="15" hidden="false" customHeight="false" outlineLevel="0" collapsed="false">
      <c r="A123" s="95" t="n">
        <v>29</v>
      </c>
      <c r="B123" s="116" t="s">
        <v>422</v>
      </c>
      <c r="C123" s="263" t="n">
        <v>416500</v>
      </c>
      <c r="D123" s="116" t="n">
        <v>0</v>
      </c>
      <c r="E123" s="164" t="n">
        <f aca="false">C123+D123</f>
        <v>416500</v>
      </c>
    </row>
    <row r="124" customFormat="false" ht="15" hidden="false" customHeight="false" outlineLevel="0" collapsed="false">
      <c r="A124" s="95" t="n">
        <v>30</v>
      </c>
      <c r="B124" s="116" t="s">
        <v>423</v>
      </c>
      <c r="C124" s="263" t="n">
        <v>416500</v>
      </c>
      <c r="D124" s="116" t="n">
        <v>0</v>
      </c>
      <c r="E124" s="164" t="n">
        <f aca="false">C124+D124</f>
        <v>416500</v>
      </c>
    </row>
    <row r="125" customFormat="false" ht="15" hidden="false" customHeight="false" outlineLevel="0" collapsed="false">
      <c r="A125" s="95" t="n">
        <v>31</v>
      </c>
      <c r="B125" s="116" t="s">
        <v>424</v>
      </c>
      <c r="C125" s="263" t="n">
        <v>416500</v>
      </c>
      <c r="D125" s="164" t="n">
        <v>416500</v>
      </c>
      <c r="E125" s="164" t="n">
        <f aca="false">C125+D125</f>
        <v>833000</v>
      </c>
    </row>
    <row r="126" customFormat="false" ht="19.7" hidden="false" customHeight="false" outlineLevel="0" collapsed="false">
      <c r="A126" s="95"/>
      <c r="B126" s="120" t="s">
        <v>22</v>
      </c>
      <c r="C126" s="264" t="n">
        <f aca="false">SUM(C95:C125)</f>
        <v>11078000</v>
      </c>
      <c r="D126" s="264" t="n">
        <f aca="false">SUM(D95:D125)</f>
        <v>1263500</v>
      </c>
      <c r="E126" s="264" t="n">
        <f aca="false">SUM(E95:E125)</f>
        <v>12341500</v>
      </c>
    </row>
    <row r="127" customFormat="false" ht="19.7" hidden="false" customHeight="false" outlineLevel="0" collapsed="false">
      <c r="A127" s="104"/>
      <c r="B127" s="121"/>
      <c r="C127" s="77"/>
    </row>
    <row r="128" customFormat="false" ht="19.7" hidden="false" customHeight="false" outlineLevel="0" collapsed="false">
      <c r="A128" s="104"/>
      <c r="B128" s="121"/>
      <c r="C128" s="77"/>
    </row>
    <row r="129" customFormat="false" ht="19.7" hidden="false" customHeight="false" outlineLevel="0" collapsed="false">
      <c r="A129" s="104"/>
      <c r="B129" s="121"/>
      <c r="C129" s="77"/>
    </row>
    <row r="130" customFormat="false" ht="17.35" hidden="false" customHeight="false" outlineLevel="0" collapsed="false">
      <c r="A130" s="104"/>
      <c r="B130" s="2" t="s">
        <v>0</v>
      </c>
    </row>
    <row r="131" customFormat="false" ht="15" hidden="false" customHeight="false" outlineLevel="0" collapsed="false">
      <c r="A131" s="104"/>
    </row>
    <row r="132" customFormat="false" ht="17.35" hidden="false" customHeight="false" outlineLevel="0" collapsed="false">
      <c r="A132" s="104"/>
      <c r="B132" s="91" t="s">
        <v>314</v>
      </c>
    </row>
    <row r="133" customFormat="false" ht="15" hidden="false" customHeight="false" outlineLevel="0" collapsed="false">
      <c r="A133" s="104"/>
      <c r="B133" s="4" t="s">
        <v>392</v>
      </c>
    </row>
    <row r="134" customFormat="false" ht="15" hidden="false" customHeight="false" outlineLevel="0" collapsed="false">
      <c r="A134" s="104"/>
    </row>
    <row r="135" customFormat="false" ht="15" hidden="false" customHeight="false" outlineLevel="0" collapsed="false">
      <c r="A135" s="92" t="s">
        <v>4</v>
      </c>
      <c r="B135" s="93" t="s">
        <v>285</v>
      </c>
      <c r="C135" s="260" t="s">
        <v>961</v>
      </c>
      <c r="D135" s="261" t="s">
        <v>962</v>
      </c>
      <c r="E135" s="262" t="s">
        <v>963</v>
      </c>
    </row>
    <row r="136" customFormat="false" ht="15" hidden="false" customHeight="false" outlineLevel="0" collapsed="false">
      <c r="A136" s="95" t="n">
        <v>1</v>
      </c>
      <c r="B136" s="116" t="s">
        <v>425</v>
      </c>
      <c r="C136" s="263" t="n">
        <v>416500</v>
      </c>
      <c r="D136" s="164" t="n">
        <v>416500</v>
      </c>
      <c r="E136" s="164" t="n">
        <f aca="false">C136+D136</f>
        <v>833000</v>
      </c>
    </row>
    <row r="137" customFormat="false" ht="15" hidden="false" customHeight="false" outlineLevel="0" collapsed="false">
      <c r="A137" s="95" t="n">
        <v>2</v>
      </c>
      <c r="B137" s="116" t="s">
        <v>426</v>
      </c>
      <c r="C137" s="263" t="n">
        <v>416500</v>
      </c>
      <c r="D137" s="116" t="n">
        <v>500</v>
      </c>
      <c r="E137" s="164" t="n">
        <f aca="false">C137+D137</f>
        <v>417000</v>
      </c>
    </row>
    <row r="138" customFormat="false" ht="15" hidden="false" customHeight="false" outlineLevel="0" collapsed="false">
      <c r="A138" s="95" t="n">
        <v>3</v>
      </c>
      <c r="B138" s="116" t="s">
        <v>427</v>
      </c>
      <c r="C138" s="263" t="n">
        <v>323000</v>
      </c>
      <c r="D138" s="116" t="n">
        <v>0</v>
      </c>
      <c r="E138" s="164" t="n">
        <f aca="false">C138+D138</f>
        <v>323000</v>
      </c>
    </row>
    <row r="139" customFormat="false" ht="15" hidden="false" customHeight="false" outlineLevel="0" collapsed="false">
      <c r="A139" s="95" t="n">
        <v>4</v>
      </c>
      <c r="B139" s="118" t="s">
        <v>428</v>
      </c>
      <c r="C139" s="263" t="n">
        <v>416500</v>
      </c>
      <c r="D139" s="164" t="n">
        <f aca="false">416500+266500</f>
        <v>683000</v>
      </c>
      <c r="E139" s="164" t="n">
        <f aca="false">C139+D139</f>
        <v>1099500</v>
      </c>
    </row>
    <row r="140" customFormat="false" ht="15" hidden="false" customHeight="false" outlineLevel="0" collapsed="false">
      <c r="A140" s="95" t="n">
        <v>5</v>
      </c>
      <c r="B140" s="116" t="s">
        <v>429</v>
      </c>
      <c r="C140" s="263" t="n">
        <v>416500</v>
      </c>
      <c r="D140" s="164" t="n">
        <v>0</v>
      </c>
      <c r="E140" s="164" t="n">
        <f aca="false">C140+D140</f>
        <v>416500</v>
      </c>
    </row>
    <row r="141" customFormat="false" ht="15" hidden="false" customHeight="false" outlineLevel="0" collapsed="false">
      <c r="A141" s="95" t="n">
        <v>6</v>
      </c>
      <c r="B141" s="116" t="s">
        <v>430</v>
      </c>
      <c r="C141" s="263" t="n">
        <v>416500</v>
      </c>
      <c r="D141" s="164" t="n">
        <v>3000</v>
      </c>
      <c r="E141" s="164" t="n">
        <f aca="false">C141+D141</f>
        <v>419500</v>
      </c>
    </row>
    <row r="142" customFormat="false" ht="15" hidden="false" customHeight="false" outlineLevel="0" collapsed="false">
      <c r="A142" s="95" t="n">
        <v>7</v>
      </c>
      <c r="B142" s="116" t="s">
        <v>431</v>
      </c>
      <c r="C142" s="263" t="n">
        <v>416500</v>
      </c>
      <c r="D142" s="164" t="n">
        <v>1000</v>
      </c>
      <c r="E142" s="164" t="n">
        <f aca="false">C142+D142</f>
        <v>417500</v>
      </c>
    </row>
    <row r="143" customFormat="false" ht="15" hidden="false" customHeight="false" outlineLevel="0" collapsed="false">
      <c r="A143" s="95" t="n">
        <v>8</v>
      </c>
      <c r="B143" s="116" t="s">
        <v>432</v>
      </c>
      <c r="C143" s="263" t="n">
        <v>416500</v>
      </c>
      <c r="D143" s="116" t="n">
        <v>0</v>
      </c>
      <c r="E143" s="164" t="n">
        <f aca="false">C143+D143</f>
        <v>416500</v>
      </c>
    </row>
    <row r="144" customFormat="false" ht="15" hidden="false" customHeight="false" outlineLevel="0" collapsed="false">
      <c r="A144" s="95" t="n">
        <v>9</v>
      </c>
      <c r="B144" s="116" t="s">
        <v>433</v>
      </c>
      <c r="C144" s="263" t="n">
        <v>416500</v>
      </c>
      <c r="D144" s="116" t="n">
        <v>0</v>
      </c>
      <c r="E144" s="164" t="n">
        <f aca="false">C144+D144</f>
        <v>416500</v>
      </c>
    </row>
    <row r="145" customFormat="false" ht="15" hidden="false" customHeight="false" outlineLevel="0" collapsed="false">
      <c r="A145" s="95" t="n">
        <v>10</v>
      </c>
      <c r="B145" s="116" t="s">
        <v>434</v>
      </c>
      <c r="C145" s="263" t="n">
        <v>200000</v>
      </c>
      <c r="D145" s="116" t="n">
        <v>0</v>
      </c>
      <c r="E145" s="164" t="n">
        <f aca="false">C145+D145</f>
        <v>200000</v>
      </c>
    </row>
    <row r="146" customFormat="false" ht="15" hidden="false" customHeight="false" outlineLevel="0" collapsed="false">
      <c r="A146" s="95" t="n">
        <v>11</v>
      </c>
      <c r="B146" s="116" t="s">
        <v>435</v>
      </c>
      <c r="C146" s="263" t="n">
        <v>416500</v>
      </c>
      <c r="D146" s="116" t="n">
        <v>0</v>
      </c>
      <c r="E146" s="164" t="n">
        <f aca="false">C146+D146</f>
        <v>416500</v>
      </c>
    </row>
    <row r="147" customFormat="false" ht="15" hidden="false" customHeight="false" outlineLevel="0" collapsed="false">
      <c r="A147" s="95" t="n">
        <v>12</v>
      </c>
      <c r="B147" s="116" t="s">
        <v>969</v>
      </c>
      <c r="C147" s="263" t="n">
        <v>416500</v>
      </c>
      <c r="D147" s="164" t="n">
        <v>283000</v>
      </c>
      <c r="E147" s="164" t="n">
        <f aca="false">C147+D147</f>
        <v>699500</v>
      </c>
    </row>
    <row r="148" customFormat="false" ht="15" hidden="false" customHeight="false" outlineLevel="0" collapsed="false">
      <c r="A148" s="95" t="n">
        <v>13</v>
      </c>
      <c r="B148" s="116" t="s">
        <v>437</v>
      </c>
      <c r="C148" s="263" t="n">
        <v>416500</v>
      </c>
      <c r="D148" s="164" t="n">
        <v>313000</v>
      </c>
      <c r="E148" s="164" t="n">
        <f aca="false">C148+D148</f>
        <v>729500</v>
      </c>
    </row>
    <row r="149" customFormat="false" ht="15" hidden="false" customHeight="false" outlineLevel="0" collapsed="false">
      <c r="A149" s="95" t="n">
        <v>14</v>
      </c>
      <c r="B149" s="116" t="s">
        <v>438</v>
      </c>
      <c r="C149" s="263" t="n">
        <v>416500</v>
      </c>
      <c r="D149" s="164" t="n">
        <f aca="false">416500+500</f>
        <v>417000</v>
      </c>
      <c r="E149" s="164" t="n">
        <f aca="false">C149+D149</f>
        <v>833500</v>
      </c>
    </row>
    <row r="150" customFormat="false" ht="15" hidden="false" customHeight="false" outlineLevel="0" collapsed="false">
      <c r="A150" s="95" t="n">
        <v>15</v>
      </c>
      <c r="B150" s="116" t="s">
        <v>439</v>
      </c>
      <c r="C150" s="263" t="n">
        <v>416500</v>
      </c>
      <c r="D150" s="164" t="n">
        <f aca="false">416500+216500</f>
        <v>633000</v>
      </c>
      <c r="E150" s="164" t="n">
        <f aca="false">C150+D150</f>
        <v>1049500</v>
      </c>
    </row>
    <row r="151" customFormat="false" ht="15" hidden="false" customHeight="false" outlineLevel="0" collapsed="false">
      <c r="A151" s="95" t="n">
        <v>16</v>
      </c>
      <c r="B151" s="116" t="s">
        <v>440</v>
      </c>
      <c r="C151" s="263" t="n">
        <v>416500</v>
      </c>
      <c r="D151" s="116" t="n">
        <v>0</v>
      </c>
      <c r="E151" s="164" t="n">
        <f aca="false">C151+D151</f>
        <v>416500</v>
      </c>
    </row>
    <row r="152" customFormat="false" ht="15" hidden="false" customHeight="false" outlineLevel="0" collapsed="false">
      <c r="A152" s="95" t="n">
        <v>17</v>
      </c>
      <c r="B152" s="116" t="s">
        <v>441</v>
      </c>
      <c r="C152" s="263" t="n">
        <v>416500</v>
      </c>
      <c r="D152" s="116" t="n">
        <v>0</v>
      </c>
      <c r="E152" s="164" t="n">
        <f aca="false">C152+D152</f>
        <v>416500</v>
      </c>
    </row>
    <row r="153" customFormat="false" ht="15" hidden="false" customHeight="false" outlineLevel="0" collapsed="false">
      <c r="A153" s="95" t="n">
        <v>18</v>
      </c>
      <c r="B153" s="116" t="s">
        <v>442</v>
      </c>
      <c r="C153" s="263" t="n">
        <v>416500</v>
      </c>
      <c r="D153" s="164" t="n">
        <f aca="false">416500+216500</f>
        <v>633000</v>
      </c>
      <c r="E153" s="164" t="n">
        <f aca="false">C153+D153</f>
        <v>1049500</v>
      </c>
    </row>
    <row r="154" customFormat="false" ht="15" hidden="false" customHeight="false" outlineLevel="0" collapsed="false">
      <c r="A154" s="95" t="n">
        <v>19</v>
      </c>
      <c r="B154" s="116" t="s">
        <v>443</v>
      </c>
      <c r="C154" s="263" t="n">
        <v>216000</v>
      </c>
      <c r="D154" s="116" t="n">
        <v>0</v>
      </c>
      <c r="E154" s="164" t="n">
        <f aca="false">C154+D154</f>
        <v>216000</v>
      </c>
    </row>
    <row r="155" customFormat="false" ht="15" hidden="false" customHeight="false" outlineLevel="0" collapsed="false">
      <c r="A155" s="95" t="n">
        <v>20</v>
      </c>
      <c r="B155" s="116" t="s">
        <v>444</v>
      </c>
      <c r="C155" s="263" t="n">
        <v>416500</v>
      </c>
      <c r="D155" s="164" t="n">
        <f aca="false">416500+500</f>
        <v>417000</v>
      </c>
      <c r="E155" s="164" t="n">
        <f aca="false">C155+D155</f>
        <v>833500</v>
      </c>
    </row>
    <row r="156" customFormat="false" ht="15" hidden="false" customHeight="false" outlineLevel="0" collapsed="false">
      <c r="A156" s="95" t="n">
        <v>21</v>
      </c>
      <c r="B156" s="116" t="s">
        <v>445</v>
      </c>
      <c r="C156" s="263" t="n">
        <v>416500</v>
      </c>
      <c r="D156" s="116" t="n">
        <v>0</v>
      </c>
      <c r="E156" s="164" t="n">
        <f aca="false">C156+D156</f>
        <v>416500</v>
      </c>
    </row>
    <row r="157" customFormat="false" ht="15" hidden="false" customHeight="false" outlineLevel="0" collapsed="false">
      <c r="A157" s="95" t="n">
        <v>22</v>
      </c>
      <c r="B157" s="116" t="s">
        <v>446</v>
      </c>
      <c r="C157" s="263" t="n">
        <v>223000</v>
      </c>
      <c r="D157" s="116" t="n">
        <v>0</v>
      </c>
      <c r="E157" s="164" t="n">
        <f aca="false">C157+D157</f>
        <v>223000</v>
      </c>
    </row>
    <row r="158" customFormat="false" ht="15" hidden="false" customHeight="false" outlineLevel="0" collapsed="false">
      <c r="A158" s="95" t="n">
        <v>23</v>
      </c>
      <c r="B158" s="73" t="s">
        <v>447</v>
      </c>
      <c r="C158" s="263" t="n">
        <v>416500</v>
      </c>
      <c r="D158" s="116" t="n">
        <v>0</v>
      </c>
      <c r="E158" s="164" t="n">
        <f aca="false">C158+D158</f>
        <v>416500</v>
      </c>
    </row>
    <row r="159" customFormat="false" ht="15" hidden="false" customHeight="false" outlineLevel="0" collapsed="false">
      <c r="A159" s="95" t="n">
        <v>24</v>
      </c>
      <c r="B159" s="116" t="s">
        <v>448</v>
      </c>
      <c r="C159" s="263" t="n">
        <v>416500</v>
      </c>
      <c r="D159" s="164" t="n">
        <v>216500</v>
      </c>
      <c r="E159" s="164" t="n">
        <f aca="false">C159+D159</f>
        <v>633000</v>
      </c>
    </row>
    <row r="160" customFormat="false" ht="15" hidden="false" customHeight="false" outlineLevel="0" collapsed="false">
      <c r="A160" s="95" t="n">
        <v>25</v>
      </c>
      <c r="B160" s="116" t="s">
        <v>449</v>
      </c>
      <c r="C160" s="263" t="n">
        <v>416500</v>
      </c>
      <c r="D160" s="164" t="n">
        <v>219500</v>
      </c>
      <c r="E160" s="164" t="n">
        <f aca="false">C160+D160</f>
        <v>636000</v>
      </c>
    </row>
    <row r="161" customFormat="false" ht="15" hidden="false" customHeight="false" outlineLevel="0" collapsed="false">
      <c r="A161" s="95" t="n">
        <v>26</v>
      </c>
      <c r="B161" s="116" t="s">
        <v>450</v>
      </c>
      <c r="C161" s="263" t="n">
        <v>416500</v>
      </c>
      <c r="D161" s="116" t="n">
        <v>0</v>
      </c>
      <c r="E161" s="164" t="n">
        <f aca="false">C161+D161</f>
        <v>416500</v>
      </c>
    </row>
    <row r="162" customFormat="false" ht="15" hidden="false" customHeight="false" outlineLevel="0" collapsed="false">
      <c r="A162" s="95" t="n">
        <v>27</v>
      </c>
      <c r="B162" s="116" t="s">
        <v>451</v>
      </c>
      <c r="C162" s="263" t="n">
        <v>416500</v>
      </c>
      <c r="D162" s="164" t="n">
        <v>266500</v>
      </c>
      <c r="E162" s="164" t="n">
        <f aca="false">C162+D162</f>
        <v>683000</v>
      </c>
    </row>
    <row r="163" customFormat="false" ht="15" hidden="false" customHeight="false" outlineLevel="0" collapsed="false">
      <c r="A163" s="95" t="n">
        <v>28</v>
      </c>
      <c r="B163" s="116" t="s">
        <v>452</v>
      </c>
      <c r="C163" s="263" t="n">
        <v>416500</v>
      </c>
      <c r="D163" s="116" t="n">
        <v>0</v>
      </c>
      <c r="E163" s="164" t="n">
        <f aca="false">C163+D163</f>
        <v>416500</v>
      </c>
    </row>
    <row r="164" customFormat="false" ht="15" hidden="false" customHeight="false" outlineLevel="0" collapsed="false">
      <c r="A164" s="95" t="n">
        <v>29</v>
      </c>
      <c r="B164" s="116" t="s">
        <v>453</v>
      </c>
      <c r="C164" s="263" t="n">
        <v>416500</v>
      </c>
      <c r="D164" s="164" t="n">
        <v>400000</v>
      </c>
      <c r="E164" s="164" t="n">
        <f aca="false">C164+D164</f>
        <v>816500</v>
      </c>
    </row>
    <row r="165" customFormat="false" ht="15" hidden="false" customHeight="false" outlineLevel="0" collapsed="false">
      <c r="A165" s="95" t="n">
        <v>30</v>
      </c>
      <c r="B165" s="116" t="s">
        <v>454</v>
      </c>
      <c r="C165" s="263" t="n">
        <v>416500</v>
      </c>
      <c r="D165" s="164" t="n">
        <v>366500</v>
      </c>
      <c r="E165" s="164" t="n">
        <f aca="false">C165+D165</f>
        <v>783000</v>
      </c>
    </row>
    <row r="166" customFormat="false" ht="15" hidden="false" customHeight="false" outlineLevel="0" collapsed="false">
      <c r="A166" s="95" t="n">
        <v>31</v>
      </c>
      <c r="B166" s="116" t="s">
        <v>455</v>
      </c>
      <c r="C166" s="263" t="n">
        <v>416500</v>
      </c>
      <c r="D166" s="164" t="n">
        <v>316500</v>
      </c>
      <c r="E166" s="164" t="n">
        <f aca="false">C166+D166</f>
        <v>733000</v>
      </c>
    </row>
    <row r="167" customFormat="false" ht="15" hidden="false" customHeight="false" outlineLevel="0" collapsed="false">
      <c r="A167" s="95" t="n">
        <v>32</v>
      </c>
      <c r="B167" s="73" t="s">
        <v>456</v>
      </c>
      <c r="C167" s="263" t="n">
        <v>300000</v>
      </c>
      <c r="D167" s="116" t="n">
        <v>0</v>
      </c>
      <c r="E167" s="164" t="n">
        <f aca="false">C167+D167</f>
        <v>300000</v>
      </c>
    </row>
    <row r="168" customFormat="false" ht="15" hidden="false" customHeight="false" outlineLevel="0" collapsed="false">
      <c r="A168" s="95" t="n">
        <v>33</v>
      </c>
      <c r="B168" s="116" t="s">
        <v>457</v>
      </c>
      <c r="C168" s="263" t="n">
        <v>416500</v>
      </c>
      <c r="D168" s="164" t="n">
        <v>333000</v>
      </c>
      <c r="E168" s="164" t="n">
        <f aca="false">C168+D168</f>
        <v>749500</v>
      </c>
    </row>
    <row r="169" customFormat="false" ht="15" hidden="false" customHeight="false" outlineLevel="0" collapsed="false">
      <c r="A169" s="95" t="n">
        <v>34</v>
      </c>
      <c r="B169" s="116" t="s">
        <v>458</v>
      </c>
      <c r="C169" s="263" t="n">
        <v>416500</v>
      </c>
      <c r="D169" s="164" t="n">
        <v>216500</v>
      </c>
      <c r="E169" s="164" t="n">
        <f aca="false">C169+D169</f>
        <v>633000</v>
      </c>
    </row>
    <row r="170" customFormat="false" ht="15" hidden="false" customHeight="false" outlineLevel="0" collapsed="false">
      <c r="A170" s="95" t="n">
        <v>35</v>
      </c>
      <c r="B170" s="116" t="s">
        <v>459</v>
      </c>
      <c r="C170" s="263" t="n">
        <v>316500</v>
      </c>
      <c r="D170" s="116" t="n">
        <v>0</v>
      </c>
      <c r="E170" s="164" t="n">
        <f aca="false">C170+D170</f>
        <v>316500</v>
      </c>
    </row>
    <row r="171" customFormat="false" ht="15" hidden="false" customHeight="false" outlineLevel="0" collapsed="false">
      <c r="A171" s="95" t="n">
        <v>36</v>
      </c>
      <c r="B171" s="116" t="s">
        <v>460</v>
      </c>
      <c r="C171" s="263" t="n">
        <v>292000</v>
      </c>
      <c r="D171" s="116" t="n">
        <v>0</v>
      </c>
      <c r="E171" s="164" t="n">
        <f aca="false">C171+D171</f>
        <v>292000</v>
      </c>
    </row>
    <row r="172" customFormat="false" ht="15" hidden="false" customHeight="false" outlineLevel="0" collapsed="false">
      <c r="A172" s="95" t="n">
        <v>37</v>
      </c>
      <c r="B172" s="116" t="s">
        <v>461</v>
      </c>
      <c r="C172" s="263" t="n">
        <v>216000</v>
      </c>
      <c r="D172" s="116" t="n">
        <v>0</v>
      </c>
      <c r="E172" s="164" t="n">
        <f aca="false">C172+D172</f>
        <v>216000</v>
      </c>
    </row>
    <row r="173" customFormat="false" ht="15" hidden="false" customHeight="false" outlineLevel="0" collapsed="false">
      <c r="A173" s="95" t="n">
        <v>38</v>
      </c>
      <c r="B173" s="116" t="s">
        <v>462</v>
      </c>
      <c r="C173" s="263" t="n">
        <v>316500</v>
      </c>
      <c r="D173" s="116" t="n">
        <v>0</v>
      </c>
      <c r="E173" s="164" t="n">
        <f aca="false">C173+D173</f>
        <v>316500</v>
      </c>
    </row>
    <row r="174" customFormat="false" ht="15" hidden="false" customHeight="false" outlineLevel="0" collapsed="false">
      <c r="A174" s="95" t="n">
        <v>39</v>
      </c>
      <c r="B174" s="116" t="s">
        <v>463</v>
      </c>
      <c r="C174" s="263" t="n">
        <v>416500</v>
      </c>
      <c r="D174" s="116" t="n">
        <v>0</v>
      </c>
      <c r="E174" s="164" t="n">
        <f aca="false">C174+D174</f>
        <v>416500</v>
      </c>
    </row>
    <row r="175" customFormat="false" ht="17.35" hidden="false" customHeight="false" outlineLevel="0" collapsed="false">
      <c r="A175" s="112"/>
      <c r="B175" s="100" t="s">
        <v>22</v>
      </c>
      <c r="C175" s="264" t="n">
        <f aca="false">SUM(C136:C174)</f>
        <v>14898000</v>
      </c>
      <c r="D175" s="264" t="n">
        <f aca="false">SUM(D136:D174)</f>
        <v>6135000</v>
      </c>
      <c r="E175" s="264" t="n">
        <f aca="false">SUM(E136:E174)</f>
        <v>21033000</v>
      </c>
    </row>
    <row r="176" customFormat="false" ht="15" hidden="false" customHeight="false" outlineLevel="0" collapsed="false">
      <c r="A176" s="104"/>
    </row>
    <row r="179" customFormat="false" ht="17.35" hidden="false" customHeight="false" outlineLevel="0" collapsed="false">
      <c r="A179" s="108"/>
      <c r="B179" s="2" t="s">
        <v>0</v>
      </c>
    </row>
    <row r="180" customFormat="false" ht="15" hidden="false" customHeight="false" outlineLevel="0" collapsed="false">
      <c r="A180" s="104"/>
    </row>
    <row r="181" customFormat="false" ht="17.35" hidden="false" customHeight="false" outlineLevel="0" collapsed="false">
      <c r="A181" s="104"/>
      <c r="B181" s="91" t="s">
        <v>283</v>
      </c>
    </row>
    <row r="182" customFormat="false" ht="15" hidden="false" customHeight="false" outlineLevel="0" collapsed="false">
      <c r="A182" s="104"/>
      <c r="B182" s="4" t="s">
        <v>493</v>
      </c>
    </row>
    <row r="183" customFormat="false" ht="15" hidden="false" customHeight="false" outlineLevel="0" collapsed="false">
      <c r="A183" s="104"/>
    </row>
    <row r="184" customFormat="false" ht="15" hidden="false" customHeight="false" outlineLevel="0" collapsed="false">
      <c r="A184" s="6" t="s">
        <v>4</v>
      </c>
      <c r="B184" s="7" t="s">
        <v>5</v>
      </c>
      <c r="C184" s="260" t="s">
        <v>961</v>
      </c>
      <c r="D184" s="261" t="s">
        <v>962</v>
      </c>
      <c r="E184" s="262" t="s">
        <v>963</v>
      </c>
    </row>
    <row r="185" customFormat="false" ht="15" hidden="false" customHeight="false" outlineLevel="0" collapsed="false">
      <c r="A185" s="95" t="n">
        <v>1</v>
      </c>
      <c r="B185" s="53" t="s">
        <v>494</v>
      </c>
      <c r="C185" s="263" t="n">
        <v>416500</v>
      </c>
      <c r="D185" s="164" t="n">
        <v>216500</v>
      </c>
      <c r="E185" s="164" t="n">
        <f aca="false">C185+D185</f>
        <v>633000</v>
      </c>
    </row>
    <row r="186" customFormat="false" ht="15" hidden="false" customHeight="false" outlineLevel="0" collapsed="false">
      <c r="A186" s="95" t="n">
        <v>2</v>
      </c>
      <c r="B186" s="41" t="s">
        <v>496</v>
      </c>
      <c r="C186" s="263" t="n">
        <v>246500</v>
      </c>
      <c r="D186" s="116" t="n">
        <v>0</v>
      </c>
      <c r="E186" s="164" t="n">
        <f aca="false">C186+D186</f>
        <v>246500</v>
      </c>
    </row>
    <row r="187" customFormat="false" ht="15" hidden="false" customHeight="false" outlineLevel="0" collapsed="false">
      <c r="A187" s="95" t="n">
        <v>3</v>
      </c>
      <c r="B187" s="41" t="s">
        <v>497</v>
      </c>
      <c r="C187" s="263" t="n">
        <v>416500</v>
      </c>
      <c r="D187" s="164" t="n">
        <v>50000</v>
      </c>
      <c r="E187" s="164" t="n">
        <f aca="false">C187+D187</f>
        <v>466500</v>
      </c>
    </row>
    <row r="188" customFormat="false" ht="15" hidden="false" customHeight="false" outlineLevel="0" collapsed="false">
      <c r="A188" s="95" t="n">
        <v>4</v>
      </c>
      <c r="B188" s="41" t="s">
        <v>499</v>
      </c>
      <c r="C188" s="263" t="n">
        <v>416500</v>
      </c>
      <c r="D188" s="164" t="n">
        <v>200500</v>
      </c>
      <c r="E188" s="164" t="n">
        <f aca="false">C188+D188</f>
        <v>617000</v>
      </c>
    </row>
    <row r="189" customFormat="false" ht="15" hidden="false" customHeight="false" outlineLevel="0" collapsed="false">
      <c r="A189" s="95" t="n">
        <v>5</v>
      </c>
      <c r="B189" s="41" t="s">
        <v>501</v>
      </c>
      <c r="C189" s="263" t="n">
        <v>216500</v>
      </c>
      <c r="D189" s="116" t="n">
        <v>0</v>
      </c>
      <c r="E189" s="164" t="n">
        <f aca="false">C189+D189</f>
        <v>216500</v>
      </c>
    </row>
    <row r="190" customFormat="false" ht="15" hidden="false" customHeight="false" outlineLevel="0" collapsed="false">
      <c r="A190" s="95" t="n">
        <v>6</v>
      </c>
      <c r="B190" s="41" t="s">
        <v>502</v>
      </c>
      <c r="C190" s="263" t="n">
        <v>241500</v>
      </c>
      <c r="D190" s="116" t="n">
        <v>0</v>
      </c>
      <c r="E190" s="164" t="n">
        <f aca="false">C190+D190</f>
        <v>241500</v>
      </c>
    </row>
    <row r="191" customFormat="false" ht="15" hidden="false" customHeight="false" outlineLevel="0" collapsed="false">
      <c r="A191" s="95" t="n">
        <v>7</v>
      </c>
      <c r="B191" s="41" t="s">
        <v>970</v>
      </c>
      <c r="C191" s="263" t="n">
        <v>416500</v>
      </c>
      <c r="D191" s="116" t="n">
        <v>0</v>
      </c>
      <c r="E191" s="164" t="n">
        <f aca="false">C191+D191</f>
        <v>416500</v>
      </c>
    </row>
    <row r="192" customFormat="false" ht="15" hidden="false" customHeight="false" outlineLevel="0" collapsed="false">
      <c r="A192" s="95" t="n">
        <v>8</v>
      </c>
      <c r="B192" s="41" t="s">
        <v>971</v>
      </c>
      <c r="C192" s="263" t="n">
        <v>416500</v>
      </c>
      <c r="D192" s="116" t="n">
        <v>0</v>
      </c>
      <c r="E192" s="164" t="n">
        <f aca="false">C192+D192</f>
        <v>416500</v>
      </c>
    </row>
    <row r="193" customFormat="false" ht="15" hidden="false" customHeight="false" outlineLevel="0" collapsed="false">
      <c r="A193" s="95" t="n">
        <v>9</v>
      </c>
      <c r="B193" s="41" t="s">
        <v>507</v>
      </c>
      <c r="C193" s="263" t="n">
        <v>281500</v>
      </c>
      <c r="D193" s="116" t="n">
        <v>0</v>
      </c>
      <c r="E193" s="164" t="n">
        <f aca="false">C193+D193</f>
        <v>281500</v>
      </c>
    </row>
    <row r="194" customFormat="false" ht="15" hidden="false" customHeight="false" outlineLevel="0" collapsed="false">
      <c r="A194" s="95" t="n">
        <v>10</v>
      </c>
      <c r="B194" s="41" t="s">
        <v>498</v>
      </c>
      <c r="C194" s="263" t="n">
        <v>416500</v>
      </c>
      <c r="D194" s="116" t="n">
        <v>0</v>
      </c>
      <c r="E194" s="164" t="n">
        <f aca="false">C194+D194</f>
        <v>416500</v>
      </c>
    </row>
    <row r="195" customFormat="false" ht="15" hidden="false" customHeight="false" outlineLevel="0" collapsed="false">
      <c r="A195" s="95" t="n">
        <v>11</v>
      </c>
      <c r="B195" s="41" t="s">
        <v>500</v>
      </c>
      <c r="C195" s="263" t="n">
        <v>200000</v>
      </c>
      <c r="D195" s="116" t="n">
        <v>0</v>
      </c>
      <c r="E195" s="164" t="n">
        <f aca="false">C195+D195</f>
        <v>200000</v>
      </c>
    </row>
    <row r="196" customFormat="false" ht="15" hidden="false" customHeight="false" outlineLevel="0" collapsed="false">
      <c r="A196" s="95" t="n">
        <v>12</v>
      </c>
      <c r="B196" s="41" t="s">
        <v>503</v>
      </c>
      <c r="C196" s="263" t="n">
        <v>416500</v>
      </c>
      <c r="D196" s="116" t="n">
        <v>0</v>
      </c>
      <c r="E196" s="164" t="n">
        <f aca="false">C196+D196</f>
        <v>416500</v>
      </c>
    </row>
    <row r="197" customFormat="false" ht="15" hidden="false" customHeight="false" outlineLevel="0" collapsed="false">
      <c r="A197" s="95" t="n">
        <v>13</v>
      </c>
      <c r="B197" s="41" t="s">
        <v>508</v>
      </c>
      <c r="C197" s="263" t="n">
        <v>416500</v>
      </c>
      <c r="D197" s="116" t="n">
        <v>0</v>
      </c>
      <c r="E197" s="164" t="n">
        <f aca="false">C197+D197</f>
        <v>416500</v>
      </c>
    </row>
    <row r="198" customFormat="false" ht="15" hidden="false" customHeight="false" outlineLevel="0" collapsed="false">
      <c r="A198" s="95" t="n">
        <v>14</v>
      </c>
      <c r="B198" s="41" t="s">
        <v>509</v>
      </c>
      <c r="C198" s="263" t="n">
        <v>416500</v>
      </c>
      <c r="D198" s="164" t="n">
        <v>200000</v>
      </c>
      <c r="E198" s="164" t="n">
        <f aca="false">C198+D198</f>
        <v>616500</v>
      </c>
    </row>
    <row r="199" customFormat="false" ht="15" hidden="false" customHeight="false" outlineLevel="0" collapsed="false">
      <c r="A199" s="95" t="n">
        <v>15</v>
      </c>
      <c r="B199" s="41" t="s">
        <v>511</v>
      </c>
      <c r="C199" s="263" t="n">
        <v>416500</v>
      </c>
      <c r="D199" s="164" t="n">
        <v>316500</v>
      </c>
      <c r="E199" s="164" t="n">
        <f aca="false">C199+D199</f>
        <v>733000</v>
      </c>
    </row>
    <row r="200" customFormat="false" ht="15" hidden="false" customHeight="false" outlineLevel="0" collapsed="false">
      <c r="A200" s="95" t="n">
        <v>16</v>
      </c>
      <c r="B200" s="41" t="s">
        <v>510</v>
      </c>
      <c r="C200" s="263" t="n">
        <v>416500</v>
      </c>
      <c r="D200" s="116" t="n">
        <v>0</v>
      </c>
      <c r="E200" s="164" t="n">
        <f aca="false">C200+D200</f>
        <v>416500</v>
      </c>
    </row>
    <row r="201" customFormat="false" ht="15" hidden="false" customHeight="false" outlineLevel="0" collapsed="false">
      <c r="A201" s="95" t="n">
        <v>17</v>
      </c>
      <c r="B201" s="41" t="s">
        <v>495</v>
      </c>
      <c r="C201" s="263" t="n">
        <v>416500</v>
      </c>
      <c r="D201" s="116" t="n">
        <v>500</v>
      </c>
      <c r="E201" s="164" t="n">
        <f aca="false">C201+D201</f>
        <v>417000</v>
      </c>
    </row>
    <row r="202" customFormat="false" ht="15" hidden="false" customHeight="false" outlineLevel="0" collapsed="false">
      <c r="A202" s="95" t="n">
        <v>18</v>
      </c>
      <c r="B202" s="41" t="s">
        <v>513</v>
      </c>
      <c r="C202" s="263" t="n">
        <v>200000</v>
      </c>
      <c r="D202" s="116" t="n">
        <v>0</v>
      </c>
      <c r="E202" s="164" t="n">
        <f aca="false">C202+D202</f>
        <v>200000</v>
      </c>
    </row>
    <row r="203" customFormat="false" ht="15" hidden="false" customHeight="false" outlineLevel="0" collapsed="false">
      <c r="A203" s="95" t="n">
        <v>19</v>
      </c>
      <c r="B203" s="41" t="s">
        <v>512</v>
      </c>
      <c r="C203" s="263" t="n">
        <v>416500</v>
      </c>
      <c r="D203" s="116" t="n">
        <v>0</v>
      </c>
      <c r="E203" s="164" t="n">
        <f aca="false">C203+D203</f>
        <v>416500</v>
      </c>
    </row>
    <row r="204" customFormat="false" ht="15" hidden="false" customHeight="false" outlineLevel="0" collapsed="false">
      <c r="A204" s="95" t="n">
        <v>20</v>
      </c>
      <c r="B204" s="41" t="s">
        <v>515</v>
      </c>
      <c r="C204" s="263" t="n">
        <v>416500</v>
      </c>
      <c r="D204" s="116" t="n">
        <v>0</v>
      </c>
      <c r="E204" s="164" t="n">
        <f aca="false">C204+D204</f>
        <v>416500</v>
      </c>
    </row>
    <row r="205" customFormat="false" ht="15" hidden="false" customHeight="false" outlineLevel="0" collapsed="false">
      <c r="A205" s="95" t="n">
        <v>21</v>
      </c>
      <c r="B205" s="41" t="s">
        <v>516</v>
      </c>
      <c r="C205" s="263" t="n">
        <v>416500</v>
      </c>
      <c r="D205" s="116" t="n">
        <v>0</v>
      </c>
      <c r="E205" s="164" t="n">
        <f aca="false">C205+D205</f>
        <v>416500</v>
      </c>
    </row>
    <row r="206" customFormat="false" ht="15" hidden="false" customHeight="false" outlineLevel="0" collapsed="false">
      <c r="A206" s="95" t="n">
        <v>22</v>
      </c>
      <c r="B206" s="41" t="s">
        <v>517</v>
      </c>
      <c r="C206" s="263" t="n">
        <v>416500</v>
      </c>
      <c r="D206" s="164" t="n">
        <v>0</v>
      </c>
      <c r="E206" s="164" t="n">
        <f aca="false">C206+D206</f>
        <v>416500</v>
      </c>
    </row>
    <row r="207" customFormat="false" ht="15" hidden="false" customHeight="false" outlineLevel="0" collapsed="false">
      <c r="A207" s="95" t="n">
        <v>23</v>
      </c>
      <c r="B207" s="41" t="s">
        <v>514</v>
      </c>
      <c r="C207" s="263" t="n">
        <v>199500</v>
      </c>
      <c r="D207" s="116" t="n">
        <v>0</v>
      </c>
      <c r="E207" s="164" t="n">
        <f aca="false">C207+D207</f>
        <v>199500</v>
      </c>
    </row>
    <row r="208" customFormat="false" ht="15" hidden="false" customHeight="false" outlineLevel="0" collapsed="false">
      <c r="A208" s="95" t="n">
        <v>24</v>
      </c>
      <c r="B208" s="41" t="s">
        <v>518</v>
      </c>
      <c r="C208" s="263" t="n">
        <v>416500</v>
      </c>
      <c r="D208" s="116" t="n">
        <v>0</v>
      </c>
      <c r="E208" s="164" t="n">
        <f aca="false">C208+D208</f>
        <v>416500</v>
      </c>
    </row>
    <row r="209" customFormat="false" ht="15" hidden="false" customHeight="false" outlineLevel="0" collapsed="false">
      <c r="A209" s="95" t="n">
        <v>25</v>
      </c>
      <c r="B209" s="270" t="s">
        <v>519</v>
      </c>
      <c r="C209" s="263" t="n">
        <v>416500</v>
      </c>
      <c r="D209" s="116" t="n">
        <v>250</v>
      </c>
      <c r="E209" s="164" t="n">
        <f aca="false">C209+D209</f>
        <v>416750</v>
      </c>
    </row>
    <row r="210" customFormat="false" ht="15" hidden="false" customHeight="false" outlineLevel="0" collapsed="false">
      <c r="A210" s="95" t="n">
        <v>26</v>
      </c>
      <c r="B210" s="41" t="s">
        <v>520</v>
      </c>
      <c r="C210" s="263" t="n">
        <v>200000</v>
      </c>
      <c r="D210" s="116" t="n">
        <v>0</v>
      </c>
      <c r="E210" s="164" t="n">
        <f aca="false">C210+D210</f>
        <v>200000</v>
      </c>
    </row>
    <row r="211" customFormat="false" ht="15" hidden="false" customHeight="false" outlineLevel="0" collapsed="false">
      <c r="A211" s="95" t="n">
        <v>27</v>
      </c>
      <c r="B211" s="41" t="s">
        <v>522</v>
      </c>
      <c r="C211" s="263" t="n">
        <v>416500</v>
      </c>
      <c r="D211" s="116" t="n">
        <v>0</v>
      </c>
      <c r="E211" s="164" t="n">
        <f aca="false">C211+D211</f>
        <v>416500</v>
      </c>
    </row>
    <row r="212" customFormat="false" ht="15" hidden="false" customHeight="false" outlineLevel="0" collapsed="false">
      <c r="A212" s="95" t="n">
        <v>28</v>
      </c>
      <c r="B212" s="41" t="s">
        <v>521</v>
      </c>
      <c r="C212" s="263" t="n">
        <v>416500</v>
      </c>
      <c r="D212" s="164" t="n">
        <f aca="false">216500+416500</f>
        <v>633000</v>
      </c>
      <c r="E212" s="164" t="n">
        <f aca="false">C212+D212</f>
        <v>1049500</v>
      </c>
    </row>
    <row r="213" customFormat="false" ht="15" hidden="false" customHeight="false" outlineLevel="0" collapsed="false">
      <c r="A213" s="95" t="n">
        <v>29</v>
      </c>
      <c r="B213" s="41" t="s">
        <v>559</v>
      </c>
      <c r="C213" s="263" t="n">
        <v>413500</v>
      </c>
      <c r="D213" s="116" t="n">
        <v>0</v>
      </c>
      <c r="E213" s="164" t="n">
        <f aca="false">C213+D213</f>
        <v>413500</v>
      </c>
    </row>
    <row r="214" customFormat="false" ht="15" hidden="false" customHeight="false" outlineLevel="0" collapsed="false">
      <c r="A214" s="95" t="n">
        <v>30</v>
      </c>
      <c r="B214" s="41" t="s">
        <v>523</v>
      </c>
      <c r="C214" s="263" t="n">
        <v>416500</v>
      </c>
      <c r="D214" s="116" t="n">
        <v>500</v>
      </c>
      <c r="E214" s="164" t="n">
        <f aca="false">C214+D214</f>
        <v>417000</v>
      </c>
    </row>
    <row r="215" customFormat="false" ht="15" hidden="false" customHeight="false" outlineLevel="0" collapsed="false">
      <c r="A215" s="95" t="n">
        <v>31</v>
      </c>
      <c r="B215" s="41" t="s">
        <v>972</v>
      </c>
      <c r="C215" s="263" t="n">
        <v>416500</v>
      </c>
      <c r="D215" s="116" t="n">
        <v>0</v>
      </c>
      <c r="E215" s="164" t="n">
        <f aca="false">C215+D215</f>
        <v>416500</v>
      </c>
    </row>
    <row r="216" customFormat="false" ht="15" hidden="false" customHeight="false" outlineLevel="0" collapsed="false">
      <c r="A216" s="95" t="n">
        <v>32</v>
      </c>
      <c r="B216" s="41" t="s">
        <v>525</v>
      </c>
      <c r="C216" s="263" t="n">
        <v>200000</v>
      </c>
      <c r="D216" s="116" t="n">
        <v>0</v>
      </c>
      <c r="E216" s="164" t="n">
        <f aca="false">C216+D216</f>
        <v>200000</v>
      </c>
    </row>
    <row r="217" customFormat="false" ht="15" hidden="false" customHeight="false" outlineLevel="0" collapsed="false">
      <c r="A217" s="95" t="n">
        <v>33</v>
      </c>
      <c r="B217" s="41" t="s">
        <v>526</v>
      </c>
      <c r="C217" s="263" t="n">
        <v>416500</v>
      </c>
      <c r="D217" s="116" t="n">
        <v>0</v>
      </c>
      <c r="E217" s="164" t="n">
        <f aca="false">C217+D217</f>
        <v>416500</v>
      </c>
    </row>
    <row r="218" customFormat="false" ht="15" hidden="false" customHeight="false" outlineLevel="0" collapsed="false">
      <c r="A218" s="95" t="n">
        <v>34</v>
      </c>
      <c r="B218" s="41" t="s">
        <v>527</v>
      </c>
      <c r="C218" s="263" t="n">
        <v>416500</v>
      </c>
      <c r="D218" s="164" t="n">
        <v>116500</v>
      </c>
      <c r="E218" s="164" t="n">
        <f aca="false">C218+D218</f>
        <v>533000</v>
      </c>
    </row>
    <row r="219" customFormat="false" ht="17.35" hidden="false" customHeight="false" outlineLevel="0" collapsed="false">
      <c r="A219" s="16"/>
      <c r="B219" s="100" t="s">
        <v>22</v>
      </c>
      <c r="C219" s="264" t="n">
        <f aca="false">SUM(C185:C218)</f>
        <v>12395000</v>
      </c>
      <c r="D219" s="264" t="n">
        <f aca="false">SUM(D185:D218)</f>
        <v>1734250</v>
      </c>
      <c r="E219" s="264" t="n">
        <f aca="false">SUM(E185:E218)</f>
        <v>14129250</v>
      </c>
    </row>
    <row r="222" customFormat="false" ht="15" hidden="false" customHeight="false" outlineLevel="0" collapsed="false">
      <c r="A222" s="104"/>
    </row>
    <row r="223" customFormat="false" ht="15" hidden="false" customHeight="false" outlineLevel="0" collapsed="false">
      <c r="A223" s="104"/>
    </row>
    <row r="224" customFormat="false" ht="17.35" hidden="false" customHeight="false" outlineLevel="0" collapsed="false">
      <c r="A224" s="108"/>
      <c r="B224" s="2" t="s">
        <v>0</v>
      </c>
    </row>
    <row r="225" customFormat="false" ht="15" hidden="false" customHeight="false" outlineLevel="0" collapsed="false">
      <c r="A225" s="104"/>
    </row>
    <row r="226" customFormat="false" ht="17.35" hidden="false" customHeight="false" outlineLevel="0" collapsed="false">
      <c r="A226" s="104"/>
      <c r="B226" s="91" t="s">
        <v>314</v>
      </c>
    </row>
    <row r="227" customFormat="false" ht="15" hidden="false" customHeight="false" outlineLevel="0" collapsed="false">
      <c r="A227" s="104"/>
      <c r="B227" s="4" t="s">
        <v>493</v>
      </c>
    </row>
    <row r="228" customFormat="false" ht="15" hidden="false" customHeight="false" outlineLevel="0" collapsed="false">
      <c r="A228" s="104"/>
    </row>
    <row r="229" customFormat="false" ht="15" hidden="false" customHeight="false" outlineLevel="0" collapsed="false">
      <c r="A229" s="92" t="s">
        <v>4</v>
      </c>
      <c r="B229" s="93" t="s">
        <v>285</v>
      </c>
      <c r="C229" s="260" t="s">
        <v>961</v>
      </c>
      <c r="D229" s="261" t="s">
        <v>962</v>
      </c>
      <c r="E229" s="262" t="s">
        <v>963</v>
      </c>
    </row>
    <row r="230" customFormat="false" ht="15" hidden="false" customHeight="false" outlineLevel="0" collapsed="false">
      <c r="A230" s="95" t="n">
        <v>1</v>
      </c>
      <c r="B230" s="116" t="s">
        <v>528</v>
      </c>
      <c r="C230" s="263" t="n">
        <v>266500</v>
      </c>
      <c r="D230" s="116" t="n">
        <v>0</v>
      </c>
      <c r="E230" s="164" t="n">
        <f aca="false">C230+D230</f>
        <v>266500</v>
      </c>
    </row>
    <row r="231" customFormat="false" ht="15" hidden="false" customHeight="false" outlineLevel="0" collapsed="false">
      <c r="A231" s="95" t="n">
        <v>2</v>
      </c>
      <c r="B231" s="116" t="s">
        <v>529</v>
      </c>
      <c r="C231" s="263" t="n">
        <v>416500</v>
      </c>
      <c r="D231" s="116" t="n">
        <f aca="false">F230</f>
        <v>0</v>
      </c>
      <c r="E231" s="164" t="n">
        <f aca="false">C231+D231</f>
        <v>416500</v>
      </c>
    </row>
    <row r="232" customFormat="false" ht="15" hidden="false" customHeight="false" outlineLevel="0" collapsed="false">
      <c r="A232" s="95" t="n">
        <v>3</v>
      </c>
      <c r="B232" s="116" t="s">
        <v>530</v>
      </c>
      <c r="C232" s="263" t="n">
        <v>416500</v>
      </c>
      <c r="D232" s="164" t="n">
        <v>286500</v>
      </c>
      <c r="E232" s="164" t="n">
        <f aca="false">C232+D232</f>
        <v>703000</v>
      </c>
    </row>
    <row r="233" customFormat="false" ht="15" hidden="false" customHeight="false" outlineLevel="0" collapsed="false">
      <c r="A233" s="95" t="n">
        <v>4</v>
      </c>
      <c r="B233" s="116" t="s">
        <v>531</v>
      </c>
      <c r="C233" s="263" t="n">
        <v>243000</v>
      </c>
      <c r="D233" s="116" t="n">
        <v>0</v>
      </c>
      <c r="E233" s="164" t="n">
        <f aca="false">C233+D233</f>
        <v>243000</v>
      </c>
    </row>
    <row r="234" customFormat="false" ht="15" hidden="false" customHeight="false" outlineLevel="0" collapsed="false">
      <c r="A234" s="95" t="n">
        <v>5</v>
      </c>
      <c r="B234" s="116" t="s">
        <v>532</v>
      </c>
      <c r="C234" s="263" t="n">
        <v>200000</v>
      </c>
      <c r="D234" s="116" t="n">
        <v>0</v>
      </c>
      <c r="E234" s="164" t="n">
        <f aca="false">C234+D234</f>
        <v>200000</v>
      </c>
    </row>
    <row r="235" customFormat="false" ht="15" hidden="false" customHeight="false" outlineLevel="0" collapsed="false">
      <c r="A235" s="95" t="n">
        <v>6</v>
      </c>
      <c r="B235" s="116" t="s">
        <v>533</v>
      </c>
      <c r="C235" s="263" t="n">
        <v>416500</v>
      </c>
      <c r="D235" s="116" t="n">
        <v>0</v>
      </c>
      <c r="E235" s="164" t="n">
        <f aca="false">C235+D235</f>
        <v>416500</v>
      </c>
    </row>
    <row r="236" customFormat="false" ht="15" hidden="false" customHeight="false" outlineLevel="0" collapsed="false">
      <c r="A236" s="95" t="n">
        <v>7</v>
      </c>
      <c r="B236" s="116" t="s">
        <v>534</v>
      </c>
      <c r="C236" s="263" t="n">
        <v>416500</v>
      </c>
      <c r="D236" s="164" t="n">
        <v>366500</v>
      </c>
      <c r="E236" s="164" t="n">
        <f aca="false">C236+D236</f>
        <v>783000</v>
      </c>
    </row>
    <row r="237" customFormat="false" ht="15" hidden="false" customHeight="false" outlineLevel="0" collapsed="false">
      <c r="A237" s="95" t="n">
        <v>8</v>
      </c>
      <c r="B237" s="116" t="s">
        <v>535</v>
      </c>
      <c r="C237" s="263" t="n">
        <v>416500</v>
      </c>
      <c r="D237" s="164" t="n">
        <v>3000</v>
      </c>
      <c r="E237" s="164" t="n">
        <f aca="false">C237+D237</f>
        <v>419500</v>
      </c>
    </row>
    <row r="238" customFormat="false" ht="15" hidden="false" customHeight="false" outlineLevel="0" collapsed="false">
      <c r="A238" s="95" t="n">
        <v>9</v>
      </c>
      <c r="B238" s="116" t="s">
        <v>536</v>
      </c>
      <c r="C238" s="263" t="n">
        <v>416500</v>
      </c>
      <c r="D238" s="116" t="n">
        <v>0</v>
      </c>
      <c r="E238" s="164" t="n">
        <f aca="false">C238+D238</f>
        <v>416500</v>
      </c>
    </row>
    <row r="239" customFormat="false" ht="15" hidden="false" customHeight="false" outlineLevel="0" collapsed="false">
      <c r="A239" s="95" t="n">
        <v>10</v>
      </c>
      <c r="B239" s="116" t="s">
        <v>537</v>
      </c>
      <c r="C239" s="263" t="n">
        <v>200000</v>
      </c>
      <c r="D239" s="116" t="n">
        <v>0</v>
      </c>
      <c r="E239" s="164" t="n">
        <f aca="false">C239+D239</f>
        <v>200000</v>
      </c>
    </row>
    <row r="240" customFormat="false" ht="15" hidden="false" customHeight="false" outlineLevel="0" collapsed="false">
      <c r="A240" s="95" t="n">
        <v>11</v>
      </c>
      <c r="B240" s="116" t="s">
        <v>538</v>
      </c>
      <c r="C240" s="263" t="n">
        <v>416500</v>
      </c>
      <c r="D240" s="116" t="n">
        <v>0</v>
      </c>
      <c r="E240" s="164" t="n">
        <f aca="false">C240+D240</f>
        <v>416500</v>
      </c>
    </row>
    <row r="241" customFormat="false" ht="15" hidden="false" customHeight="false" outlineLevel="0" collapsed="false">
      <c r="A241" s="95" t="n">
        <v>12</v>
      </c>
      <c r="B241" s="116" t="s">
        <v>539</v>
      </c>
      <c r="C241" s="263" t="n">
        <v>416500</v>
      </c>
      <c r="D241" s="116" t="n">
        <v>0</v>
      </c>
      <c r="E241" s="164" t="n">
        <f aca="false">C241+D241</f>
        <v>416500</v>
      </c>
    </row>
    <row r="242" customFormat="false" ht="15" hidden="false" customHeight="false" outlineLevel="0" collapsed="false">
      <c r="A242" s="95" t="n">
        <v>13</v>
      </c>
      <c r="B242" s="116" t="s">
        <v>542</v>
      </c>
      <c r="C242" s="263" t="n">
        <v>416500</v>
      </c>
      <c r="D242" s="116" t="n">
        <v>0</v>
      </c>
      <c r="E242" s="164" t="n">
        <f aca="false">C242+D242</f>
        <v>416500</v>
      </c>
    </row>
    <row r="243" customFormat="false" ht="15" hidden="false" customHeight="false" outlineLevel="0" collapsed="false">
      <c r="A243" s="95" t="n">
        <v>14</v>
      </c>
      <c r="B243" s="116" t="s">
        <v>543</v>
      </c>
      <c r="C243" s="263" t="n">
        <v>200000</v>
      </c>
      <c r="D243" s="116" t="n">
        <v>0</v>
      </c>
      <c r="E243" s="164" t="n">
        <f aca="false">C243+D243</f>
        <v>200000</v>
      </c>
    </row>
    <row r="244" customFormat="false" ht="15" hidden="false" customHeight="false" outlineLevel="0" collapsed="false">
      <c r="A244" s="95" t="n">
        <v>15</v>
      </c>
      <c r="B244" s="116" t="s">
        <v>544</v>
      </c>
      <c r="C244" s="263" t="n">
        <v>416500</v>
      </c>
      <c r="D244" s="164" t="n">
        <f aca="false">316500+416500</f>
        <v>733000</v>
      </c>
      <c r="E244" s="164" t="n">
        <f aca="false">C244+D244</f>
        <v>1149500</v>
      </c>
    </row>
    <row r="245" customFormat="false" ht="15" hidden="false" customHeight="false" outlineLevel="0" collapsed="false">
      <c r="A245" s="95" t="n">
        <v>16</v>
      </c>
      <c r="B245" s="116" t="s">
        <v>545</v>
      </c>
      <c r="C245" s="263" t="n">
        <v>416500</v>
      </c>
      <c r="D245" s="164" t="n">
        <v>363000</v>
      </c>
      <c r="E245" s="164" t="n">
        <f aca="false">C245+D245</f>
        <v>779500</v>
      </c>
    </row>
    <row r="246" customFormat="false" ht="15" hidden="false" customHeight="false" outlineLevel="0" collapsed="false">
      <c r="A246" s="95" t="n">
        <v>17</v>
      </c>
      <c r="B246" s="116" t="s">
        <v>546</v>
      </c>
      <c r="C246" s="263" t="n">
        <v>416500</v>
      </c>
      <c r="D246" s="116" t="n">
        <v>0</v>
      </c>
      <c r="E246" s="164" t="n">
        <f aca="false">C246+D246</f>
        <v>416500</v>
      </c>
    </row>
    <row r="247" customFormat="false" ht="15" hidden="false" customHeight="false" outlineLevel="0" collapsed="false">
      <c r="A247" s="95" t="n">
        <v>18</v>
      </c>
      <c r="B247" s="116" t="s">
        <v>547</v>
      </c>
      <c r="C247" s="263" t="n">
        <v>416500</v>
      </c>
      <c r="D247" s="116" t="n">
        <v>0</v>
      </c>
      <c r="E247" s="164" t="n">
        <f aca="false">C247+D247</f>
        <v>416500</v>
      </c>
    </row>
    <row r="248" customFormat="false" ht="15" hidden="false" customHeight="false" outlineLevel="0" collapsed="false">
      <c r="A248" s="95" t="n">
        <v>19</v>
      </c>
      <c r="B248" s="116" t="s">
        <v>548</v>
      </c>
      <c r="C248" s="263" t="n">
        <v>316500</v>
      </c>
      <c r="D248" s="116" t="n">
        <v>0</v>
      </c>
      <c r="E248" s="164" t="n">
        <f aca="false">C248+D248</f>
        <v>316500</v>
      </c>
    </row>
    <row r="249" customFormat="false" ht="15" hidden="false" customHeight="false" outlineLevel="0" collapsed="false">
      <c r="A249" s="95" t="n">
        <v>20</v>
      </c>
      <c r="B249" s="116" t="s">
        <v>549</v>
      </c>
      <c r="C249" s="263" t="n">
        <v>276500</v>
      </c>
      <c r="D249" s="116" t="n">
        <v>0</v>
      </c>
      <c r="E249" s="164" t="n">
        <f aca="false">C249+D249</f>
        <v>276500</v>
      </c>
    </row>
    <row r="250" customFormat="false" ht="15" hidden="false" customHeight="false" outlineLevel="0" collapsed="false">
      <c r="A250" s="95" t="n">
        <v>21</v>
      </c>
      <c r="B250" s="116" t="s">
        <v>550</v>
      </c>
      <c r="C250" s="263" t="n">
        <v>416500</v>
      </c>
      <c r="D250" s="116" t="n">
        <v>0</v>
      </c>
      <c r="E250" s="164" t="n">
        <f aca="false">C250+D250</f>
        <v>416500</v>
      </c>
    </row>
    <row r="251" customFormat="false" ht="15" hidden="false" customHeight="false" outlineLevel="0" collapsed="false">
      <c r="A251" s="95" t="n">
        <v>22</v>
      </c>
      <c r="B251" s="116" t="s">
        <v>551</v>
      </c>
      <c r="C251" s="263" t="n">
        <v>416500</v>
      </c>
      <c r="D251" s="164" t="n">
        <v>200000</v>
      </c>
      <c r="E251" s="164" t="n">
        <f aca="false">C251+D251</f>
        <v>616500</v>
      </c>
    </row>
    <row r="252" customFormat="false" ht="15" hidden="false" customHeight="false" outlineLevel="0" collapsed="false">
      <c r="A252" s="95" t="n">
        <v>23</v>
      </c>
      <c r="B252" s="116" t="s">
        <v>552</v>
      </c>
      <c r="C252" s="263" t="n">
        <v>416500</v>
      </c>
      <c r="D252" s="116" t="n">
        <v>0</v>
      </c>
      <c r="E252" s="164" t="n">
        <f aca="false">C252+D252</f>
        <v>416500</v>
      </c>
    </row>
    <row r="253" customFormat="false" ht="15" hidden="false" customHeight="false" outlineLevel="0" collapsed="false">
      <c r="A253" s="95" t="n">
        <v>24</v>
      </c>
      <c r="B253" s="116" t="s">
        <v>553</v>
      </c>
      <c r="C253" s="263" t="n">
        <v>216500</v>
      </c>
      <c r="D253" s="116" t="n">
        <v>0</v>
      </c>
      <c r="E253" s="164" t="n">
        <f aca="false">C253+D253</f>
        <v>216500</v>
      </c>
    </row>
    <row r="254" customFormat="false" ht="15" hidden="false" customHeight="false" outlineLevel="0" collapsed="false">
      <c r="A254" s="95" t="n">
        <v>25</v>
      </c>
      <c r="B254" s="116" t="s">
        <v>554</v>
      </c>
      <c r="C254" s="263" t="n">
        <v>416500</v>
      </c>
      <c r="D254" s="116" t="n">
        <v>0</v>
      </c>
      <c r="E254" s="164" t="n">
        <f aca="false">C254+D254</f>
        <v>416500</v>
      </c>
    </row>
    <row r="255" customFormat="false" ht="15" hidden="false" customHeight="false" outlineLevel="0" collapsed="false">
      <c r="A255" s="95" t="n">
        <v>26</v>
      </c>
      <c r="B255" s="116" t="s">
        <v>555</v>
      </c>
      <c r="C255" s="263" t="n">
        <v>416500</v>
      </c>
      <c r="D255" s="164" t="n">
        <f aca="false">216500+416500</f>
        <v>633000</v>
      </c>
      <c r="E255" s="164" t="n">
        <f aca="false">C255+D255</f>
        <v>1049500</v>
      </c>
    </row>
    <row r="256" customFormat="false" ht="15" hidden="false" customHeight="false" outlineLevel="0" collapsed="false">
      <c r="A256" s="95" t="n">
        <v>27</v>
      </c>
      <c r="B256" s="116" t="s">
        <v>556</v>
      </c>
      <c r="C256" s="263" t="n">
        <v>323000</v>
      </c>
      <c r="D256" s="116" t="n">
        <v>0</v>
      </c>
      <c r="E256" s="164" t="n">
        <f aca="false">C256+D256</f>
        <v>323000</v>
      </c>
    </row>
    <row r="257" customFormat="false" ht="15" hidden="false" customHeight="false" outlineLevel="0" collapsed="false">
      <c r="A257" s="95" t="n">
        <v>28</v>
      </c>
      <c r="B257" s="116" t="s">
        <v>557</v>
      </c>
      <c r="C257" s="263" t="n">
        <v>366500</v>
      </c>
      <c r="D257" s="116" t="n">
        <v>0</v>
      </c>
      <c r="E257" s="164" t="n">
        <f aca="false">C257+D257</f>
        <v>366500</v>
      </c>
    </row>
    <row r="258" customFormat="false" ht="15" hidden="false" customHeight="false" outlineLevel="0" collapsed="false">
      <c r="A258" s="95" t="n">
        <v>29</v>
      </c>
      <c r="B258" s="116" t="s">
        <v>973</v>
      </c>
      <c r="C258" s="263" t="n">
        <v>216500</v>
      </c>
      <c r="D258" s="116" t="n">
        <v>0</v>
      </c>
      <c r="E258" s="164" t="n">
        <f aca="false">C258+D258</f>
        <v>216500</v>
      </c>
    </row>
    <row r="259" customFormat="false" ht="15" hidden="false" customHeight="false" outlineLevel="0" collapsed="false">
      <c r="A259" s="95" t="n">
        <v>30</v>
      </c>
      <c r="B259" s="116" t="s">
        <v>560</v>
      </c>
      <c r="C259" s="263" t="n">
        <v>416500</v>
      </c>
      <c r="D259" s="164" t="n">
        <v>0</v>
      </c>
      <c r="E259" s="164" t="n">
        <f aca="false">C259+D259</f>
        <v>416500</v>
      </c>
    </row>
    <row r="260" customFormat="false" ht="15" hidden="false" customHeight="false" outlineLevel="0" collapsed="false">
      <c r="A260" s="95" t="n">
        <v>31</v>
      </c>
      <c r="B260" s="116" t="s">
        <v>561</v>
      </c>
      <c r="C260" s="263" t="n">
        <v>416500</v>
      </c>
      <c r="D260" s="164" t="n">
        <f aca="false">200000+416500</f>
        <v>616500</v>
      </c>
      <c r="E260" s="164" t="n">
        <f aca="false">C260+D260</f>
        <v>1033000</v>
      </c>
    </row>
    <row r="261" customFormat="false" ht="15" hidden="false" customHeight="false" outlineLevel="0" collapsed="false">
      <c r="A261" s="95" t="n">
        <v>32</v>
      </c>
      <c r="B261" s="116" t="s">
        <v>562</v>
      </c>
      <c r="C261" s="263" t="n">
        <v>416500</v>
      </c>
      <c r="D261" s="116" t="n">
        <v>0</v>
      </c>
      <c r="E261" s="164" t="n">
        <f aca="false">C261+D261</f>
        <v>416500</v>
      </c>
    </row>
    <row r="262" customFormat="false" ht="15" hidden="false" customHeight="false" outlineLevel="0" collapsed="false">
      <c r="A262" s="95" t="n">
        <v>33</v>
      </c>
      <c r="B262" s="116" t="s">
        <v>563</v>
      </c>
      <c r="C262" s="263" t="n">
        <v>416500</v>
      </c>
      <c r="D262" s="116" t="n">
        <v>0</v>
      </c>
      <c r="E262" s="164" t="n">
        <f aca="false">C262+D262</f>
        <v>416500</v>
      </c>
    </row>
    <row r="263" customFormat="false" ht="15" hidden="false" customHeight="false" outlineLevel="0" collapsed="false">
      <c r="A263" s="95" t="n">
        <v>34</v>
      </c>
      <c r="B263" s="116" t="s">
        <v>564</v>
      </c>
      <c r="C263" s="263" t="n">
        <v>316500</v>
      </c>
      <c r="D263" s="116" t="n">
        <v>201500</v>
      </c>
      <c r="E263" s="164" t="n">
        <f aca="false">C263+D263</f>
        <v>518000</v>
      </c>
    </row>
    <row r="264" customFormat="false" ht="15" hidden="false" customHeight="false" outlineLevel="0" collapsed="false">
      <c r="A264" s="95" t="n">
        <v>35</v>
      </c>
      <c r="B264" s="116" t="s">
        <v>565</v>
      </c>
      <c r="C264" s="263" t="n">
        <v>416500</v>
      </c>
      <c r="D264" s="116" t="n">
        <v>0</v>
      </c>
      <c r="E264" s="164" t="n">
        <f aca="false">C264+D264</f>
        <v>416500</v>
      </c>
    </row>
    <row r="265" customFormat="false" ht="15" hidden="false" customHeight="false" outlineLevel="0" collapsed="false">
      <c r="A265" s="95" t="n">
        <v>36</v>
      </c>
      <c r="B265" s="116" t="s">
        <v>566</v>
      </c>
      <c r="C265" s="263" t="n">
        <v>416500</v>
      </c>
      <c r="D265" s="116" t="n">
        <v>0</v>
      </c>
      <c r="E265" s="164" t="n">
        <f aca="false">C265+D265</f>
        <v>416500</v>
      </c>
    </row>
    <row r="266" customFormat="false" ht="15" hidden="false" customHeight="false" outlineLevel="0" collapsed="false">
      <c r="A266" s="95" t="n">
        <v>37</v>
      </c>
      <c r="B266" s="116" t="s">
        <v>567</v>
      </c>
      <c r="C266" s="263" t="n">
        <v>416500</v>
      </c>
      <c r="D266" s="164" t="n">
        <f aca="false">206500+416500</f>
        <v>623000</v>
      </c>
      <c r="E266" s="164" t="n">
        <f aca="false">C266+D266</f>
        <v>1039500</v>
      </c>
    </row>
    <row r="267" customFormat="false" ht="15" hidden="false" customHeight="false" outlineLevel="0" collapsed="false">
      <c r="A267" s="95" t="n">
        <v>38</v>
      </c>
      <c r="B267" s="116" t="s">
        <v>568</v>
      </c>
      <c r="C267" s="263" t="n">
        <v>416500</v>
      </c>
      <c r="D267" s="164" t="n">
        <v>393000</v>
      </c>
      <c r="E267" s="164" t="n">
        <f aca="false">C267+D267</f>
        <v>809500</v>
      </c>
    </row>
    <row r="268" customFormat="false" ht="15" hidden="false" customHeight="false" outlineLevel="0" collapsed="false">
      <c r="A268" s="95" t="n">
        <v>39</v>
      </c>
      <c r="B268" s="116" t="s">
        <v>569</v>
      </c>
      <c r="C268" s="263" t="n">
        <v>349500</v>
      </c>
      <c r="D268" s="116" t="n">
        <v>0</v>
      </c>
      <c r="E268" s="164" t="n">
        <f aca="false">C268+D268</f>
        <v>349500</v>
      </c>
    </row>
    <row r="269" customFormat="false" ht="15" hidden="false" customHeight="false" outlineLevel="0" collapsed="false">
      <c r="A269" s="95" t="n">
        <v>40</v>
      </c>
      <c r="B269" s="116" t="s">
        <v>570</v>
      </c>
      <c r="C269" s="263" t="n">
        <v>416500</v>
      </c>
      <c r="D269" s="164" t="n">
        <v>100000</v>
      </c>
      <c r="E269" s="164" t="n">
        <f aca="false">C269+D269</f>
        <v>516500</v>
      </c>
    </row>
    <row r="270" customFormat="false" ht="15" hidden="false" customHeight="false" outlineLevel="0" collapsed="false">
      <c r="A270" s="95" t="n">
        <v>41</v>
      </c>
      <c r="B270" s="116" t="s">
        <v>571</v>
      </c>
      <c r="C270" s="263" t="n">
        <v>416500</v>
      </c>
      <c r="D270" s="116" t="n">
        <v>0</v>
      </c>
      <c r="E270" s="164" t="n">
        <f aca="false">C270+D270</f>
        <v>416500</v>
      </c>
    </row>
    <row r="271" customFormat="false" ht="15" hidden="false" customHeight="false" outlineLevel="0" collapsed="false">
      <c r="A271" s="95" t="n">
        <v>42</v>
      </c>
      <c r="B271" s="116" t="s">
        <v>572</v>
      </c>
      <c r="C271" s="263" t="n">
        <v>308000</v>
      </c>
      <c r="D271" s="116" t="n">
        <v>0</v>
      </c>
      <c r="E271" s="164" t="n">
        <f aca="false">C271+D271</f>
        <v>308000</v>
      </c>
    </row>
    <row r="272" customFormat="false" ht="17.35" hidden="false" customHeight="false" outlineLevel="0" collapsed="false">
      <c r="A272" s="112"/>
      <c r="B272" s="100" t="s">
        <v>22</v>
      </c>
      <c r="C272" s="264" t="n">
        <f aca="false">SUM(C230:C271)</f>
        <v>15461000</v>
      </c>
      <c r="D272" s="264" t="n">
        <f aca="false">SUM(D230:D271)</f>
        <v>4519000</v>
      </c>
      <c r="E272" s="264" t="n">
        <f aca="false">SUM(E230:E271)</f>
        <v>19980000</v>
      </c>
    </row>
    <row r="275" customFormat="false" ht="17.35" hidden="false" customHeight="false" outlineLevel="0" collapsed="false">
      <c r="A275" s="104"/>
      <c r="B275" s="2" t="s">
        <v>0</v>
      </c>
    </row>
    <row r="276" customFormat="false" ht="15" hidden="false" customHeight="false" outlineLevel="0" collapsed="false">
      <c r="A276" s="104"/>
    </row>
    <row r="277" customFormat="false" ht="17.35" hidden="false" customHeight="false" outlineLevel="0" collapsed="false">
      <c r="A277" s="104"/>
      <c r="B277" s="91" t="s">
        <v>283</v>
      </c>
    </row>
    <row r="278" customFormat="false" ht="15" hidden="false" customHeight="false" outlineLevel="0" collapsed="false">
      <c r="A278" s="104"/>
      <c r="B278" s="4" t="s">
        <v>591</v>
      </c>
    </row>
    <row r="279" customFormat="false" ht="15" hidden="false" customHeight="false" outlineLevel="0" collapsed="false">
      <c r="A279" s="104"/>
    </row>
    <row r="280" customFormat="false" ht="15" hidden="false" customHeight="false" outlineLevel="0" collapsed="false">
      <c r="A280" s="92" t="s">
        <v>4</v>
      </c>
      <c r="B280" s="93" t="s">
        <v>285</v>
      </c>
      <c r="C280" s="260" t="s">
        <v>961</v>
      </c>
      <c r="D280" s="261" t="s">
        <v>962</v>
      </c>
      <c r="E280" s="262" t="s">
        <v>963</v>
      </c>
    </row>
    <row r="281" customFormat="false" ht="15" hidden="false" customHeight="false" outlineLevel="0" collapsed="false">
      <c r="A281" s="95" t="n">
        <v>1</v>
      </c>
      <c r="B281" s="116" t="s">
        <v>974</v>
      </c>
      <c r="C281" s="263" t="n">
        <v>216500</v>
      </c>
      <c r="D281" s="116" t="n">
        <v>0</v>
      </c>
      <c r="E281" s="164" t="n">
        <f aca="false">C281+D281</f>
        <v>216500</v>
      </c>
    </row>
    <row r="282" customFormat="false" ht="15" hidden="false" customHeight="false" outlineLevel="0" collapsed="false">
      <c r="A282" s="95" t="n">
        <v>2</v>
      </c>
      <c r="B282" s="116" t="s">
        <v>593</v>
      </c>
      <c r="C282" s="263" t="n">
        <v>316500</v>
      </c>
      <c r="D282" s="116" t="n">
        <v>0</v>
      </c>
      <c r="E282" s="164" t="n">
        <f aca="false">C282+D282</f>
        <v>316500</v>
      </c>
    </row>
    <row r="283" customFormat="false" ht="15" hidden="false" customHeight="false" outlineLevel="0" collapsed="false">
      <c r="A283" s="95" t="n">
        <v>3</v>
      </c>
      <c r="B283" s="116" t="s">
        <v>594</v>
      </c>
      <c r="C283" s="263" t="n">
        <v>300000</v>
      </c>
      <c r="D283" s="116" t="n">
        <v>0</v>
      </c>
      <c r="E283" s="164" t="n">
        <f aca="false">C283+D283</f>
        <v>300000</v>
      </c>
    </row>
    <row r="284" customFormat="false" ht="15" hidden="false" customHeight="false" outlineLevel="0" collapsed="false">
      <c r="A284" s="95" t="n">
        <v>4</v>
      </c>
      <c r="B284" s="116" t="s">
        <v>595</v>
      </c>
      <c r="C284" s="263" t="n">
        <v>416500</v>
      </c>
      <c r="D284" s="116" t="n">
        <v>0</v>
      </c>
      <c r="E284" s="164" t="n">
        <f aca="false">C284+D284</f>
        <v>416500</v>
      </c>
    </row>
    <row r="285" customFormat="false" ht="15" hidden="false" customHeight="false" outlineLevel="0" collapsed="false">
      <c r="A285" s="95" t="n">
        <v>5</v>
      </c>
      <c r="B285" s="116" t="s">
        <v>596</v>
      </c>
      <c r="C285" s="263" t="n">
        <v>200000</v>
      </c>
      <c r="D285" s="116" t="n">
        <v>0</v>
      </c>
      <c r="E285" s="164" t="n">
        <f aca="false">C285+D285</f>
        <v>200000</v>
      </c>
    </row>
    <row r="286" customFormat="false" ht="15" hidden="false" customHeight="false" outlineLevel="0" collapsed="false">
      <c r="A286" s="95" t="n">
        <v>6</v>
      </c>
      <c r="B286" s="116" t="s">
        <v>597</v>
      </c>
      <c r="C286" s="263" t="n">
        <v>206000</v>
      </c>
      <c r="D286" s="116" t="n">
        <v>0</v>
      </c>
      <c r="E286" s="164" t="n">
        <f aca="false">C286+D286</f>
        <v>206000</v>
      </c>
    </row>
    <row r="287" customFormat="false" ht="15" hidden="false" customHeight="false" outlineLevel="0" collapsed="false">
      <c r="A287" s="95" t="n">
        <v>7</v>
      </c>
      <c r="B287" s="116" t="s">
        <v>598</v>
      </c>
      <c r="C287" s="263" t="n">
        <v>416500</v>
      </c>
      <c r="D287" s="164" t="n">
        <v>116500</v>
      </c>
      <c r="E287" s="164" t="n">
        <f aca="false">C287+D287</f>
        <v>533000</v>
      </c>
    </row>
    <row r="288" customFormat="false" ht="15" hidden="false" customHeight="false" outlineLevel="0" collapsed="false">
      <c r="A288" s="95" t="n">
        <v>8</v>
      </c>
      <c r="B288" s="41" t="s">
        <v>599</v>
      </c>
      <c r="C288" s="263" t="n">
        <v>416500</v>
      </c>
      <c r="D288" s="164" t="n">
        <v>143000</v>
      </c>
      <c r="E288" s="164" t="n">
        <f aca="false">C288+D288</f>
        <v>559500</v>
      </c>
    </row>
    <row r="289" customFormat="false" ht="15" hidden="false" customHeight="false" outlineLevel="0" collapsed="false">
      <c r="A289" s="95" t="n">
        <v>9</v>
      </c>
      <c r="B289" s="116" t="s">
        <v>600</v>
      </c>
      <c r="C289" s="263" t="n">
        <v>0</v>
      </c>
      <c r="D289" s="116" t="n">
        <v>0</v>
      </c>
      <c r="E289" s="164" t="n">
        <f aca="false">C289+D289</f>
        <v>0</v>
      </c>
    </row>
    <row r="290" customFormat="false" ht="15" hidden="false" customHeight="false" outlineLevel="0" collapsed="false">
      <c r="A290" s="95" t="n">
        <v>10</v>
      </c>
      <c r="B290" s="116" t="s">
        <v>601</v>
      </c>
      <c r="C290" s="263" t="n">
        <v>200000</v>
      </c>
      <c r="D290" s="116" t="n">
        <v>0</v>
      </c>
      <c r="E290" s="164" t="n">
        <f aca="false">C290+D290</f>
        <v>200000</v>
      </c>
    </row>
    <row r="291" customFormat="false" ht="15" hidden="false" customHeight="false" outlineLevel="0" collapsed="false">
      <c r="A291" s="95" t="n">
        <v>11</v>
      </c>
      <c r="B291" s="116" t="s">
        <v>602</v>
      </c>
      <c r="C291" s="263" t="n">
        <v>316500</v>
      </c>
      <c r="D291" s="164" t="n">
        <v>76500</v>
      </c>
      <c r="E291" s="164" t="n">
        <f aca="false">C291+D291</f>
        <v>393000</v>
      </c>
    </row>
    <row r="292" customFormat="false" ht="15" hidden="false" customHeight="false" outlineLevel="0" collapsed="false">
      <c r="A292" s="95" t="n">
        <v>12</v>
      </c>
      <c r="B292" s="116" t="s">
        <v>975</v>
      </c>
      <c r="C292" s="263" t="n">
        <v>251500</v>
      </c>
      <c r="D292" s="116" t="n">
        <v>0</v>
      </c>
      <c r="E292" s="164" t="n">
        <f aca="false">C292+D292</f>
        <v>251500</v>
      </c>
    </row>
    <row r="293" customFormat="false" ht="15" hidden="false" customHeight="false" outlineLevel="0" collapsed="false">
      <c r="A293" s="95" t="n">
        <v>13</v>
      </c>
      <c r="B293" s="116" t="s">
        <v>603</v>
      </c>
      <c r="C293" s="263" t="n">
        <v>200500</v>
      </c>
      <c r="D293" s="116" t="n">
        <v>0</v>
      </c>
      <c r="E293" s="164" t="n">
        <f aca="false">C293+D293</f>
        <v>200500</v>
      </c>
    </row>
    <row r="294" customFormat="false" ht="15" hidden="false" customHeight="false" outlineLevel="0" collapsed="false">
      <c r="A294" s="95" t="n">
        <v>14</v>
      </c>
      <c r="B294" s="116" t="s">
        <v>604</v>
      </c>
      <c r="C294" s="263" t="n">
        <v>166500</v>
      </c>
      <c r="D294" s="116" t="n">
        <v>0</v>
      </c>
      <c r="E294" s="164" t="n">
        <f aca="false">C294+D294</f>
        <v>166500</v>
      </c>
    </row>
    <row r="295" customFormat="false" ht="15" hidden="false" customHeight="false" outlineLevel="0" collapsed="false">
      <c r="A295" s="95" t="n">
        <v>15</v>
      </c>
      <c r="B295" s="116" t="s">
        <v>605</v>
      </c>
      <c r="C295" s="263" t="n">
        <v>200000</v>
      </c>
      <c r="D295" s="116" t="n">
        <v>0</v>
      </c>
      <c r="E295" s="164" t="n">
        <f aca="false">C295+D295</f>
        <v>200000</v>
      </c>
    </row>
    <row r="296" customFormat="false" ht="15" hidden="false" customHeight="false" outlineLevel="0" collapsed="false">
      <c r="A296" s="95" t="n">
        <v>16</v>
      </c>
      <c r="B296" s="116" t="s">
        <v>606</v>
      </c>
      <c r="C296" s="263" t="n">
        <v>246500</v>
      </c>
      <c r="D296" s="116" t="n">
        <v>0</v>
      </c>
      <c r="E296" s="164" t="n">
        <f aca="false">C296+D296</f>
        <v>246500</v>
      </c>
    </row>
    <row r="297" customFormat="false" ht="15" hidden="false" customHeight="false" outlineLevel="0" collapsed="false">
      <c r="A297" s="95" t="n">
        <v>17</v>
      </c>
      <c r="B297" s="116" t="s">
        <v>607</v>
      </c>
      <c r="C297" s="263" t="n">
        <v>200000</v>
      </c>
      <c r="D297" s="116" t="n">
        <v>0</v>
      </c>
      <c r="E297" s="164" t="n">
        <f aca="false">C297+D297</f>
        <v>200000</v>
      </c>
    </row>
    <row r="298" customFormat="false" ht="15" hidden="false" customHeight="false" outlineLevel="0" collapsed="false">
      <c r="A298" s="132" t="n">
        <v>18</v>
      </c>
      <c r="B298" s="133" t="s">
        <v>608</v>
      </c>
      <c r="C298" s="263" t="n">
        <v>200000</v>
      </c>
      <c r="D298" s="116" t="n">
        <v>0</v>
      </c>
      <c r="E298" s="164" t="n">
        <f aca="false">C298+D298</f>
        <v>200000</v>
      </c>
    </row>
    <row r="299" customFormat="false" ht="17.35" hidden="false" customHeight="false" outlineLevel="0" collapsed="false">
      <c r="A299" s="116"/>
      <c r="B299" s="134" t="s">
        <v>22</v>
      </c>
      <c r="C299" s="264" t="n">
        <f aca="false">SUM(C281:C298)</f>
        <v>4470000</v>
      </c>
      <c r="D299" s="264" t="n">
        <f aca="false">SUM(D281:D298)</f>
        <v>336000</v>
      </c>
      <c r="E299" s="264" t="n">
        <f aca="false">SUM(E281:E298)</f>
        <v>4806000</v>
      </c>
    </row>
    <row r="303" customFormat="false" ht="15" hidden="false" customHeight="false" outlineLevel="0" collapsed="false">
      <c r="A303" s="104"/>
    </row>
    <row r="304" customFormat="false" ht="17.35" hidden="false" customHeight="false" outlineLevel="0" collapsed="false">
      <c r="A304" s="104"/>
      <c r="B304" s="135" t="s">
        <v>0</v>
      </c>
      <c r="C304" s="135"/>
    </row>
    <row r="305" customFormat="false" ht="15" hidden="false" customHeight="false" outlineLevel="0" collapsed="false">
      <c r="A305" s="104"/>
    </row>
    <row r="306" customFormat="false" ht="17.35" hidden="false" customHeight="false" outlineLevel="0" collapsed="false">
      <c r="A306" s="104"/>
      <c r="B306" s="91" t="s">
        <v>314</v>
      </c>
    </row>
    <row r="307" customFormat="false" ht="15" hidden="false" customHeight="false" outlineLevel="0" collapsed="false">
      <c r="A307" s="104"/>
      <c r="B307" s="4" t="s">
        <v>591</v>
      </c>
    </row>
    <row r="308" customFormat="false" ht="15" hidden="false" customHeight="false" outlineLevel="0" collapsed="false">
      <c r="A308" s="92" t="s">
        <v>4</v>
      </c>
      <c r="B308" s="93" t="s">
        <v>285</v>
      </c>
      <c r="C308" s="10" t="s">
        <v>8</v>
      </c>
    </row>
    <row r="309" customFormat="false" ht="15" hidden="false" customHeight="false" outlineLevel="0" collapsed="false">
      <c r="A309" s="95" t="n">
        <v>1</v>
      </c>
      <c r="B309" s="116" t="s">
        <v>609</v>
      </c>
      <c r="C309" s="97" t="e">
        <f aca="false">#REF!-#REF!</f>
        <v>#REF!</v>
      </c>
    </row>
    <row r="310" customFormat="false" ht="15" hidden="false" customHeight="false" outlineLevel="0" collapsed="false">
      <c r="A310" s="95" t="n">
        <v>2</v>
      </c>
      <c r="B310" s="116" t="s">
        <v>610</v>
      </c>
      <c r="C310" s="97" t="e">
        <f aca="false">#REF!-#REF!</f>
        <v>#REF!</v>
      </c>
    </row>
    <row r="311" customFormat="false" ht="15" hidden="false" customHeight="false" outlineLevel="0" collapsed="false">
      <c r="A311" s="95" t="n">
        <v>3</v>
      </c>
      <c r="B311" s="118" t="s">
        <v>611</v>
      </c>
      <c r="C311" s="97" t="e">
        <f aca="false">#REF!-#REF!</f>
        <v>#REF!</v>
      </c>
    </row>
    <row r="312" customFormat="false" ht="15" hidden="false" customHeight="false" outlineLevel="0" collapsed="false">
      <c r="A312" s="95" t="n">
        <v>4</v>
      </c>
      <c r="B312" s="116" t="s">
        <v>612</v>
      </c>
      <c r="C312" s="97" t="e">
        <f aca="false">#REF!-#REF!</f>
        <v>#REF!</v>
      </c>
    </row>
    <row r="313" customFormat="false" ht="15" hidden="false" customHeight="false" outlineLevel="0" collapsed="false">
      <c r="A313" s="95" t="n">
        <v>5</v>
      </c>
      <c r="B313" s="116" t="s">
        <v>613</v>
      </c>
      <c r="C313" s="97" t="e">
        <f aca="false">#REF!-#REF!</f>
        <v>#REF!</v>
      </c>
    </row>
    <row r="314" customFormat="false" ht="15" hidden="false" customHeight="false" outlineLevel="0" collapsed="false">
      <c r="A314" s="95" t="n">
        <v>6</v>
      </c>
      <c r="B314" s="116" t="s">
        <v>614</v>
      </c>
      <c r="C314" s="97" t="e">
        <f aca="false">#REF!-#REF!</f>
        <v>#REF!</v>
      </c>
    </row>
    <row r="315" customFormat="false" ht="15" hidden="false" customHeight="false" outlineLevel="0" collapsed="false">
      <c r="A315" s="95" t="n">
        <v>7</v>
      </c>
      <c r="B315" s="116" t="s">
        <v>615</v>
      </c>
      <c r="C315" s="97" t="e">
        <f aca="false">#REF!-#REF!</f>
        <v>#REF!</v>
      </c>
    </row>
    <row r="316" customFormat="false" ht="15" hidden="false" customHeight="false" outlineLevel="0" collapsed="false">
      <c r="A316" s="95" t="n">
        <v>8</v>
      </c>
      <c r="B316" s="116" t="s">
        <v>616</v>
      </c>
      <c r="C316" s="97" t="e">
        <f aca="false">#REF!-#REF!</f>
        <v>#REF!</v>
      </c>
      <c r="E316" s="1" t="s">
        <v>976</v>
      </c>
    </row>
    <row r="317" customFormat="false" ht="15" hidden="false" customHeight="false" outlineLevel="0" collapsed="false">
      <c r="A317" s="95" t="n">
        <v>9</v>
      </c>
      <c r="B317" s="116" t="s">
        <v>617</v>
      </c>
      <c r="C317" s="97" t="e">
        <f aca="false">#REF!-#REF!</f>
        <v>#REF!</v>
      </c>
    </row>
    <row r="318" customFormat="false" ht="15" hidden="false" customHeight="false" outlineLevel="0" collapsed="false">
      <c r="A318" s="95" t="n">
        <v>10</v>
      </c>
      <c r="B318" s="116" t="s">
        <v>618</v>
      </c>
      <c r="C318" s="97" t="e">
        <f aca="false">#REF!-#REF!</f>
        <v>#REF!</v>
      </c>
    </row>
    <row r="319" customFormat="false" ht="15" hidden="false" customHeight="false" outlineLevel="0" collapsed="false">
      <c r="A319" s="95" t="n">
        <v>11</v>
      </c>
      <c r="B319" s="116" t="s">
        <v>619</v>
      </c>
      <c r="C319" s="97" t="e">
        <f aca="false">#REF!-#REF!</f>
        <v>#REF!</v>
      </c>
    </row>
    <row r="320" customFormat="false" ht="15" hidden="false" customHeight="false" outlineLevel="0" collapsed="false">
      <c r="A320" s="95" t="n">
        <v>12</v>
      </c>
      <c r="B320" s="116" t="s">
        <v>620</v>
      </c>
      <c r="C320" s="97" t="e">
        <f aca="false">#REF!-#REF!</f>
        <v>#REF!</v>
      </c>
    </row>
    <row r="321" customFormat="false" ht="15" hidden="false" customHeight="false" outlineLevel="0" collapsed="false">
      <c r="A321" s="95" t="n">
        <v>13</v>
      </c>
      <c r="B321" s="116" t="s">
        <v>621</v>
      </c>
      <c r="C321" s="97" t="e">
        <f aca="false">#REF!-#REF!</f>
        <v>#REF!</v>
      </c>
    </row>
    <row r="322" customFormat="false" ht="19.7" hidden="false" customHeight="false" outlineLevel="0" collapsed="false">
      <c r="A322" s="112"/>
      <c r="B322" s="120" t="s">
        <v>22</v>
      </c>
      <c r="C322" s="103" t="e">
        <f aca="false">SUM(C309:C321)</f>
        <v>#REF!</v>
      </c>
    </row>
    <row r="323" customFormat="false" ht="15" hidden="false" customHeight="false" outlineLevel="0" collapsed="false">
      <c r="A323" s="104"/>
    </row>
    <row r="325" customFormat="false" ht="17.35" hidden="false" customHeight="false" outlineLevel="0" collapsed="false">
      <c r="A325" s="104"/>
      <c r="B325" s="2" t="s">
        <v>0</v>
      </c>
    </row>
    <row r="326" customFormat="false" ht="15" hidden="false" customHeight="false" outlineLevel="0" collapsed="false">
      <c r="A326" s="104"/>
    </row>
    <row r="327" customFormat="false" ht="17.35" hidden="false" customHeight="false" outlineLevel="0" collapsed="false">
      <c r="A327" s="104"/>
      <c r="B327" s="91" t="s">
        <v>622</v>
      </c>
    </row>
    <row r="328" customFormat="false" ht="15" hidden="false" customHeight="false" outlineLevel="0" collapsed="false">
      <c r="A328" s="104"/>
      <c r="B328" s="4" t="s">
        <v>623</v>
      </c>
    </row>
    <row r="329" customFormat="false" ht="15" hidden="false" customHeight="false" outlineLevel="0" collapsed="false">
      <c r="A329" s="92" t="s">
        <v>4</v>
      </c>
      <c r="B329" s="93" t="s">
        <v>285</v>
      </c>
      <c r="C329" s="260" t="s">
        <v>961</v>
      </c>
      <c r="D329" s="261" t="s">
        <v>962</v>
      </c>
      <c r="E329" s="262" t="s">
        <v>963</v>
      </c>
    </row>
    <row r="330" customFormat="false" ht="15" hidden="false" customHeight="false" outlineLevel="0" collapsed="false">
      <c r="A330" s="95" t="n">
        <v>1</v>
      </c>
      <c r="B330" s="11" t="s">
        <v>624</v>
      </c>
      <c r="C330" s="263" t="n">
        <v>196500</v>
      </c>
      <c r="D330" s="116" t="n">
        <v>0</v>
      </c>
      <c r="E330" s="164" t="n">
        <f aca="false">C330+D330</f>
        <v>196500</v>
      </c>
    </row>
    <row r="331" customFormat="false" ht="15" hidden="false" customHeight="false" outlineLevel="0" collapsed="false">
      <c r="A331" s="95" t="n">
        <v>2</v>
      </c>
      <c r="B331" s="11" t="s">
        <v>625</v>
      </c>
      <c r="C331" s="263" t="n">
        <v>416500</v>
      </c>
      <c r="D331" s="116" t="n">
        <f aca="false">500+416500</f>
        <v>417000</v>
      </c>
      <c r="E331" s="164" t="n">
        <f aca="false">C331+D331</f>
        <v>833500</v>
      </c>
    </row>
    <row r="332" customFormat="false" ht="15" hidden="false" customHeight="false" outlineLevel="0" collapsed="false">
      <c r="A332" s="95" t="n">
        <v>3</v>
      </c>
      <c r="B332" s="11" t="s">
        <v>626</v>
      </c>
      <c r="C332" s="263" t="n">
        <v>416500</v>
      </c>
      <c r="D332" s="164" t="n">
        <f aca="false">1500+216500</f>
        <v>218000</v>
      </c>
      <c r="E332" s="164" t="n">
        <f aca="false">C332+D332</f>
        <v>634500</v>
      </c>
    </row>
    <row r="333" customFormat="false" ht="15" hidden="false" customHeight="false" outlineLevel="0" collapsed="false">
      <c r="A333" s="95" t="n">
        <v>4</v>
      </c>
      <c r="B333" s="11" t="s">
        <v>627</v>
      </c>
      <c r="C333" s="263" t="n">
        <v>206500</v>
      </c>
      <c r="D333" s="116" t="n">
        <v>0</v>
      </c>
      <c r="E333" s="164" t="n">
        <f aca="false">C333+D333</f>
        <v>206500</v>
      </c>
    </row>
    <row r="334" customFormat="false" ht="15" hidden="false" customHeight="false" outlineLevel="0" collapsed="false">
      <c r="A334" s="95" t="n">
        <v>5</v>
      </c>
      <c r="B334" s="11" t="s">
        <v>628</v>
      </c>
      <c r="C334" s="263" t="n">
        <v>416500</v>
      </c>
      <c r="D334" s="116" t="n">
        <v>500</v>
      </c>
      <c r="E334" s="164" t="n">
        <f aca="false">C334+D334</f>
        <v>417000</v>
      </c>
    </row>
    <row r="335" customFormat="false" ht="15" hidden="false" customHeight="false" outlineLevel="0" collapsed="false">
      <c r="A335" s="95" t="n">
        <v>6</v>
      </c>
      <c r="B335" s="11" t="s">
        <v>629</v>
      </c>
      <c r="C335" s="263" t="n">
        <v>2000</v>
      </c>
      <c r="D335" s="116" t="n">
        <v>0</v>
      </c>
      <c r="E335" s="164" t="n">
        <f aca="false">C335+D335</f>
        <v>2000</v>
      </c>
    </row>
    <row r="336" customFormat="false" ht="15" hidden="false" customHeight="false" outlineLevel="0" collapsed="false">
      <c r="A336" s="95" t="n">
        <v>7</v>
      </c>
      <c r="B336" s="11" t="s">
        <v>630</v>
      </c>
      <c r="C336" s="263" t="n">
        <v>416500</v>
      </c>
      <c r="D336" s="116" t="n">
        <v>0</v>
      </c>
      <c r="E336" s="164" t="n">
        <f aca="false">C336+D336</f>
        <v>416500</v>
      </c>
    </row>
    <row r="337" customFormat="false" ht="15" hidden="false" customHeight="false" outlineLevel="0" collapsed="false">
      <c r="A337" s="95" t="n">
        <v>8</v>
      </c>
      <c r="B337" s="11" t="s">
        <v>631</v>
      </c>
      <c r="C337" s="263" t="n">
        <v>416500</v>
      </c>
      <c r="D337" s="116" t="n">
        <v>416500</v>
      </c>
      <c r="E337" s="164" t="n">
        <f aca="false">C337+D337</f>
        <v>833000</v>
      </c>
    </row>
    <row r="338" customFormat="false" ht="15" hidden="false" customHeight="false" outlineLevel="0" collapsed="false">
      <c r="A338" s="95" t="n">
        <v>9</v>
      </c>
      <c r="B338" s="11" t="s">
        <v>632</v>
      </c>
      <c r="C338" s="263" t="n">
        <v>416500</v>
      </c>
      <c r="D338" s="116" t="n">
        <v>0</v>
      </c>
      <c r="E338" s="164" t="n">
        <f aca="false">C338+D338</f>
        <v>416500</v>
      </c>
    </row>
    <row r="339" customFormat="false" ht="15" hidden="false" customHeight="false" outlineLevel="0" collapsed="false">
      <c r="A339" s="95" t="n">
        <v>10</v>
      </c>
      <c r="B339" s="11" t="s">
        <v>633</v>
      </c>
      <c r="C339" s="263" t="n">
        <v>416500</v>
      </c>
      <c r="D339" s="116" t="n">
        <v>0</v>
      </c>
      <c r="E339" s="164" t="n">
        <f aca="false">C339+D339</f>
        <v>416500</v>
      </c>
    </row>
    <row r="340" customFormat="false" ht="15" hidden="false" customHeight="false" outlineLevel="0" collapsed="false">
      <c r="A340" s="95" t="n">
        <v>11</v>
      </c>
      <c r="B340" s="11" t="s">
        <v>634</v>
      </c>
      <c r="C340" s="263" t="n">
        <v>416500</v>
      </c>
      <c r="D340" s="116" t="n">
        <v>0</v>
      </c>
      <c r="E340" s="164" t="n">
        <f aca="false">C340+D340</f>
        <v>416500</v>
      </c>
    </row>
    <row r="341" customFormat="false" ht="15" hidden="false" customHeight="false" outlineLevel="0" collapsed="false">
      <c r="A341" s="95" t="n">
        <v>12</v>
      </c>
      <c r="B341" s="11" t="s">
        <v>635</v>
      </c>
      <c r="C341" s="263" t="n">
        <v>200000</v>
      </c>
      <c r="D341" s="116" t="n">
        <v>0</v>
      </c>
      <c r="E341" s="164" t="n">
        <f aca="false">C341+D341</f>
        <v>200000</v>
      </c>
    </row>
    <row r="342" customFormat="false" ht="15" hidden="false" customHeight="false" outlineLevel="0" collapsed="false">
      <c r="A342" s="95" t="n">
        <v>13</v>
      </c>
      <c r="B342" s="11" t="s">
        <v>636</v>
      </c>
      <c r="C342" s="263" t="n">
        <v>416500</v>
      </c>
      <c r="D342" s="116" t="n">
        <v>0</v>
      </c>
      <c r="E342" s="164" t="n">
        <f aca="false">C342+D342</f>
        <v>416500</v>
      </c>
    </row>
    <row r="343" customFormat="false" ht="15" hidden="false" customHeight="false" outlineLevel="0" collapsed="false">
      <c r="A343" s="95" t="n">
        <v>14</v>
      </c>
      <c r="B343" s="11" t="s">
        <v>637</v>
      </c>
      <c r="C343" s="263" t="n">
        <v>416500</v>
      </c>
      <c r="D343" s="116" t="n">
        <v>0</v>
      </c>
      <c r="E343" s="164" t="n">
        <f aca="false">C343+D343</f>
        <v>416500</v>
      </c>
    </row>
    <row r="344" customFormat="false" ht="17.35" hidden="false" customHeight="false" outlineLevel="0" collapsed="false">
      <c r="A344" s="112"/>
      <c r="B344" s="100" t="s">
        <v>22</v>
      </c>
      <c r="C344" s="264" t="n">
        <f aca="false">SUM(C330:C343)</f>
        <v>4770000</v>
      </c>
      <c r="D344" s="264" t="n">
        <f aca="false">SUM(D330:D343)</f>
        <v>1052000</v>
      </c>
      <c r="E344" s="264" t="n">
        <f aca="false">SUM(E330:E343)</f>
        <v>5822000</v>
      </c>
    </row>
    <row r="349" customFormat="false" ht="17.35" hidden="false" customHeight="false" outlineLevel="0" collapsed="false">
      <c r="A349" s="108"/>
    </row>
    <row r="350" customFormat="false" ht="17.35" hidden="false" customHeight="false" outlineLevel="0" collapsed="false">
      <c r="A350" s="104"/>
      <c r="B350" s="2" t="s">
        <v>0</v>
      </c>
    </row>
    <row r="351" customFormat="false" ht="15" hidden="false" customHeight="false" outlineLevel="0" collapsed="false">
      <c r="A351" s="104"/>
    </row>
    <row r="352" customFormat="false" ht="17.35" hidden="false" customHeight="false" outlineLevel="0" collapsed="false">
      <c r="A352" s="104"/>
      <c r="B352" s="91" t="s">
        <v>638</v>
      </c>
    </row>
    <row r="353" customFormat="false" ht="15" hidden="false" customHeight="false" outlineLevel="0" collapsed="false">
      <c r="A353" s="104"/>
      <c r="B353" s="4" t="s">
        <v>623</v>
      </c>
    </row>
    <row r="354" customFormat="false" ht="15" hidden="false" customHeight="false" outlineLevel="0" collapsed="false">
      <c r="A354" s="92" t="s">
        <v>4</v>
      </c>
      <c r="B354" s="93" t="s">
        <v>285</v>
      </c>
      <c r="C354" s="260" t="s">
        <v>961</v>
      </c>
      <c r="D354" s="261" t="s">
        <v>962</v>
      </c>
      <c r="E354" s="262" t="s">
        <v>963</v>
      </c>
    </row>
    <row r="355" customFormat="false" ht="15" hidden="false" customHeight="false" outlineLevel="0" collapsed="false">
      <c r="A355" s="138" t="n">
        <v>1</v>
      </c>
      <c r="B355" s="139" t="s">
        <v>639</v>
      </c>
      <c r="C355" s="263" t="n">
        <v>416500</v>
      </c>
      <c r="D355" s="164" t="n">
        <f aca="false">200000+416500</f>
        <v>616500</v>
      </c>
      <c r="E355" s="164" t="n">
        <f aca="false">C355+D355</f>
        <v>1033000</v>
      </c>
    </row>
    <row r="356" customFormat="false" ht="15" hidden="false" customHeight="false" outlineLevel="0" collapsed="false">
      <c r="A356" s="95" t="n">
        <v>2</v>
      </c>
      <c r="B356" s="73" t="s">
        <v>640</v>
      </c>
      <c r="C356" s="263" t="n">
        <v>416500</v>
      </c>
      <c r="D356" s="116" t="n">
        <v>0</v>
      </c>
      <c r="E356" s="164" t="n">
        <f aca="false">C356+D356</f>
        <v>416500</v>
      </c>
    </row>
    <row r="357" customFormat="false" ht="15" hidden="false" customHeight="false" outlineLevel="0" collapsed="false">
      <c r="A357" s="95" t="n">
        <v>3</v>
      </c>
      <c r="B357" s="73" t="s">
        <v>641</v>
      </c>
      <c r="C357" s="263" t="n">
        <v>416500</v>
      </c>
      <c r="D357" s="116" t="n">
        <v>0</v>
      </c>
      <c r="E357" s="164" t="n">
        <f aca="false">C357+D357</f>
        <v>416500</v>
      </c>
    </row>
    <row r="358" customFormat="false" ht="15" hidden="false" customHeight="false" outlineLevel="0" collapsed="false">
      <c r="A358" s="95" t="n">
        <v>4</v>
      </c>
      <c r="B358" s="73" t="s">
        <v>642</v>
      </c>
      <c r="C358" s="263" t="n">
        <v>416500</v>
      </c>
      <c r="D358" s="164" t="n">
        <v>2000</v>
      </c>
      <c r="E358" s="164" t="n">
        <f aca="false">C358+D358</f>
        <v>418500</v>
      </c>
      <c r="G358" s="1" t="s">
        <v>23</v>
      </c>
    </row>
    <row r="359" customFormat="false" ht="15" hidden="false" customHeight="false" outlineLevel="0" collapsed="false">
      <c r="A359" s="95" t="n">
        <v>5</v>
      </c>
      <c r="B359" s="73" t="s">
        <v>643</v>
      </c>
      <c r="C359" s="263" t="n">
        <v>416500</v>
      </c>
      <c r="D359" s="116" t="n">
        <v>0</v>
      </c>
      <c r="E359" s="164" t="n">
        <f aca="false">C359+D359</f>
        <v>416500</v>
      </c>
    </row>
    <row r="360" customFormat="false" ht="15" hidden="false" customHeight="false" outlineLevel="0" collapsed="false">
      <c r="A360" s="95" t="n">
        <v>6</v>
      </c>
      <c r="B360" s="73" t="s">
        <v>644</v>
      </c>
      <c r="C360" s="263" t="n">
        <v>416500</v>
      </c>
      <c r="D360" s="116" t="n">
        <v>0</v>
      </c>
      <c r="E360" s="164" t="n">
        <f aca="false">C360+D360</f>
        <v>416500</v>
      </c>
    </row>
    <row r="361" customFormat="false" ht="15" hidden="false" customHeight="false" outlineLevel="0" collapsed="false">
      <c r="A361" s="95" t="n">
        <v>7</v>
      </c>
      <c r="B361" s="73" t="s">
        <v>645</v>
      </c>
      <c r="C361" s="263" t="n">
        <v>416500</v>
      </c>
      <c r="D361" s="116" t="n">
        <v>500</v>
      </c>
      <c r="E361" s="164" t="n">
        <f aca="false">C361+D361</f>
        <v>417000</v>
      </c>
    </row>
    <row r="362" customFormat="false" ht="15" hidden="false" customHeight="false" outlineLevel="0" collapsed="false">
      <c r="A362" s="95" t="n">
        <v>8</v>
      </c>
      <c r="B362" s="73" t="s">
        <v>646</v>
      </c>
      <c r="C362" s="263" t="n">
        <v>416500</v>
      </c>
      <c r="D362" s="164" t="n">
        <v>200000</v>
      </c>
      <c r="E362" s="164" t="n">
        <f aca="false">C362+D362</f>
        <v>616500</v>
      </c>
    </row>
    <row r="363" customFormat="false" ht="15" hidden="false" customHeight="false" outlineLevel="0" collapsed="false">
      <c r="A363" s="95" t="n">
        <v>9</v>
      </c>
      <c r="B363" s="140" t="s">
        <v>647</v>
      </c>
      <c r="C363" s="263" t="n">
        <v>216500</v>
      </c>
      <c r="D363" s="116" t="n">
        <v>0</v>
      </c>
      <c r="E363" s="164" t="n">
        <f aca="false">C363+D363</f>
        <v>216500</v>
      </c>
    </row>
    <row r="364" customFormat="false" ht="15" hidden="false" customHeight="false" outlineLevel="0" collapsed="false">
      <c r="A364" s="95" t="n">
        <v>10</v>
      </c>
      <c r="B364" s="73" t="s">
        <v>648</v>
      </c>
      <c r="C364" s="263" t="n">
        <v>416500</v>
      </c>
      <c r="D364" s="164" t="n">
        <v>176500</v>
      </c>
      <c r="E364" s="164" t="n">
        <f aca="false">C364+D364</f>
        <v>593000</v>
      </c>
    </row>
    <row r="365" customFormat="false" ht="15" hidden="false" customHeight="false" outlineLevel="0" collapsed="false">
      <c r="A365" s="95" t="n">
        <v>11</v>
      </c>
      <c r="B365" s="73" t="s">
        <v>649</v>
      </c>
      <c r="C365" s="263" t="n">
        <v>216500</v>
      </c>
      <c r="D365" s="116" t="n">
        <v>0</v>
      </c>
      <c r="E365" s="164" t="n">
        <f aca="false">C365+D365</f>
        <v>216500</v>
      </c>
    </row>
    <row r="366" customFormat="false" ht="15" hidden="false" customHeight="false" outlineLevel="0" collapsed="false">
      <c r="A366" s="95" t="n">
        <v>12</v>
      </c>
      <c r="B366" s="73" t="s">
        <v>650</v>
      </c>
      <c r="C366" s="263" t="n">
        <v>416500</v>
      </c>
      <c r="D366" s="164" t="n">
        <v>241500</v>
      </c>
      <c r="E366" s="164" t="n">
        <f aca="false">C366+D366</f>
        <v>658000</v>
      </c>
    </row>
    <row r="367" customFormat="false" ht="19.7" hidden="false" customHeight="false" outlineLevel="0" collapsed="false">
      <c r="A367" s="112"/>
      <c r="B367" s="141" t="s">
        <v>22</v>
      </c>
      <c r="C367" s="264" t="n">
        <f aca="false">SUM(C356:C366)</f>
        <v>4181500</v>
      </c>
      <c r="D367" s="264" t="n">
        <f aca="false">SUM(D356:D366)</f>
        <v>620500</v>
      </c>
      <c r="E367" s="264" t="n">
        <f aca="false">SUM(E356:E366)</f>
        <v>4802000</v>
      </c>
    </row>
    <row r="370" customFormat="false" ht="17.35" hidden="false" customHeight="false" outlineLevel="0" collapsed="false">
      <c r="A370" s="108"/>
    </row>
    <row r="371" customFormat="false" ht="17.35" hidden="false" customHeight="false" outlineLevel="0" collapsed="false">
      <c r="A371" s="104"/>
      <c r="B371" s="2" t="s">
        <v>0</v>
      </c>
    </row>
    <row r="372" customFormat="false" ht="15" hidden="false" customHeight="false" outlineLevel="0" collapsed="false">
      <c r="A372" s="104"/>
    </row>
    <row r="373" customFormat="false" ht="17.35" hidden="false" customHeight="false" outlineLevel="0" collapsed="false">
      <c r="A373" s="104"/>
      <c r="B373" s="91" t="s">
        <v>670</v>
      </c>
    </row>
    <row r="374" customFormat="false" ht="15" hidden="false" customHeight="false" outlineLevel="0" collapsed="false">
      <c r="A374" s="104"/>
      <c r="B374" s="4" t="s">
        <v>671</v>
      </c>
    </row>
    <row r="375" customFormat="false" ht="15" hidden="false" customHeight="false" outlineLevel="0" collapsed="false">
      <c r="A375" s="92" t="s">
        <v>4</v>
      </c>
      <c r="B375" s="93" t="s">
        <v>285</v>
      </c>
      <c r="C375" s="260" t="s">
        <v>961</v>
      </c>
      <c r="D375" s="261" t="s">
        <v>962</v>
      </c>
      <c r="E375" s="262" t="s">
        <v>963</v>
      </c>
    </row>
    <row r="376" customFormat="false" ht="15" hidden="false" customHeight="false" outlineLevel="0" collapsed="false">
      <c r="A376" s="142" t="n">
        <v>1</v>
      </c>
      <c r="B376" s="41" t="s">
        <v>672</v>
      </c>
      <c r="C376" s="263" t="n">
        <v>416500</v>
      </c>
      <c r="D376" s="164" t="n">
        <v>6500</v>
      </c>
      <c r="E376" s="164" t="n">
        <f aca="false">C376+D376</f>
        <v>423000</v>
      </c>
    </row>
    <row r="377" customFormat="false" ht="15" hidden="false" customHeight="false" outlineLevel="0" collapsed="false">
      <c r="A377" s="95" t="n">
        <v>2</v>
      </c>
      <c r="B377" s="41" t="s">
        <v>673</v>
      </c>
      <c r="C377" s="263" t="n">
        <v>151500</v>
      </c>
      <c r="D377" s="116" t="n">
        <v>0</v>
      </c>
      <c r="E377" s="164" t="n">
        <f aca="false">C377+D377</f>
        <v>151500</v>
      </c>
    </row>
    <row r="378" customFormat="false" ht="15" hidden="false" customHeight="false" outlineLevel="0" collapsed="false">
      <c r="A378" s="142" t="n">
        <v>3</v>
      </c>
      <c r="B378" s="143" t="s">
        <v>674</v>
      </c>
      <c r="C378" s="263" t="n">
        <v>336500</v>
      </c>
      <c r="D378" s="116" t="n">
        <v>0</v>
      </c>
      <c r="E378" s="164" t="n">
        <f aca="false">C378+D378</f>
        <v>336500</v>
      </c>
    </row>
    <row r="379" customFormat="false" ht="15" hidden="false" customHeight="false" outlineLevel="0" collapsed="false">
      <c r="A379" s="95" t="n">
        <v>4</v>
      </c>
      <c r="B379" s="41" t="s">
        <v>675</v>
      </c>
      <c r="C379" s="263" t="n">
        <v>416500</v>
      </c>
      <c r="D379" s="116" t="n">
        <v>0</v>
      </c>
      <c r="E379" s="164" t="n">
        <f aca="false">C379+D379</f>
        <v>416500</v>
      </c>
    </row>
    <row r="380" customFormat="false" ht="15" hidden="false" customHeight="false" outlineLevel="0" collapsed="false">
      <c r="A380" s="142" t="n">
        <v>5</v>
      </c>
      <c r="B380" s="56" t="s">
        <v>676</v>
      </c>
      <c r="C380" s="263" t="n">
        <v>416500</v>
      </c>
      <c r="D380" s="116" t="n">
        <v>0</v>
      </c>
      <c r="E380" s="164" t="n">
        <f aca="false">C380+D380</f>
        <v>416500</v>
      </c>
    </row>
    <row r="381" customFormat="false" ht="15" hidden="false" customHeight="false" outlineLevel="0" collapsed="false">
      <c r="A381" s="142" t="n">
        <v>6</v>
      </c>
      <c r="B381" s="41" t="s">
        <v>677</v>
      </c>
      <c r="C381" s="263" t="n">
        <v>416500</v>
      </c>
      <c r="D381" s="164" t="n">
        <v>416500</v>
      </c>
      <c r="E381" s="164" t="n">
        <f aca="false">C381+D381</f>
        <v>833000</v>
      </c>
    </row>
    <row r="382" customFormat="false" ht="15" hidden="false" customHeight="false" outlineLevel="0" collapsed="false">
      <c r="A382" s="95" t="n">
        <v>7</v>
      </c>
      <c r="B382" s="41" t="s">
        <v>678</v>
      </c>
      <c r="C382" s="263" t="n">
        <v>366500</v>
      </c>
      <c r="D382" s="116" t="n">
        <v>0</v>
      </c>
      <c r="E382" s="164" t="n">
        <f aca="false">C382+D382</f>
        <v>366500</v>
      </c>
    </row>
    <row r="383" customFormat="false" ht="15" hidden="false" customHeight="false" outlineLevel="0" collapsed="false">
      <c r="A383" s="144" t="n">
        <v>8</v>
      </c>
      <c r="B383" s="41" t="s">
        <v>679</v>
      </c>
      <c r="C383" s="263" t="n">
        <v>416500</v>
      </c>
      <c r="D383" s="116" t="n">
        <v>0</v>
      </c>
      <c r="E383" s="164" t="n">
        <f aca="false">C383+D383</f>
        <v>416500</v>
      </c>
    </row>
    <row r="384" customFormat="false" ht="15" hidden="false" customHeight="false" outlineLevel="0" collapsed="false">
      <c r="A384" s="144" t="n">
        <v>9</v>
      </c>
      <c r="B384" s="41" t="s">
        <v>680</v>
      </c>
      <c r="C384" s="263" t="n">
        <v>200500</v>
      </c>
      <c r="D384" s="116" t="n">
        <v>0</v>
      </c>
      <c r="E384" s="164" t="n">
        <f aca="false">C384+D384</f>
        <v>200500</v>
      </c>
    </row>
    <row r="385" customFormat="false" ht="15" hidden="false" customHeight="false" outlineLevel="0" collapsed="false">
      <c r="A385" s="142" t="n">
        <v>10</v>
      </c>
      <c r="B385" s="56" t="s">
        <v>681</v>
      </c>
      <c r="C385" s="263" t="n">
        <v>416500</v>
      </c>
      <c r="D385" s="164" t="n">
        <v>216500</v>
      </c>
      <c r="E385" s="164" t="n">
        <f aca="false">C385+D385</f>
        <v>633000</v>
      </c>
    </row>
    <row r="386" customFormat="false" ht="19.7" hidden="false" customHeight="false" outlineLevel="0" collapsed="false">
      <c r="A386" s="112"/>
      <c r="B386" s="141" t="s">
        <v>22</v>
      </c>
      <c r="C386" s="264" t="n">
        <f aca="false">SUM(C377:C385)</f>
        <v>3137500</v>
      </c>
      <c r="D386" s="264" t="n">
        <f aca="false">SUM(D377:D385)</f>
        <v>633000</v>
      </c>
      <c r="E386" s="264" t="n">
        <f aca="false">SUM(E377:E385)</f>
        <v>3770500</v>
      </c>
    </row>
    <row r="391" customFormat="false" ht="17.35" hidden="false" customHeight="false" outlineLevel="0" collapsed="false">
      <c r="A391" s="108"/>
    </row>
    <row r="392" customFormat="false" ht="17.35" hidden="false" customHeight="false" outlineLevel="0" collapsed="false">
      <c r="A392" s="104"/>
      <c r="B392" s="2" t="s">
        <v>0</v>
      </c>
    </row>
    <row r="393" customFormat="false" ht="15" hidden="false" customHeight="false" outlineLevel="0" collapsed="false">
      <c r="A393" s="104"/>
    </row>
    <row r="394" customFormat="false" ht="17.35" hidden="false" customHeight="false" outlineLevel="0" collapsed="false">
      <c r="A394" s="104"/>
      <c r="B394" s="91" t="s">
        <v>682</v>
      </c>
    </row>
    <row r="395" customFormat="false" ht="15" hidden="false" customHeight="false" outlineLevel="0" collapsed="false">
      <c r="A395" s="104"/>
      <c r="B395" s="4" t="s">
        <v>671</v>
      </c>
    </row>
    <row r="396" customFormat="false" ht="15" hidden="false" customHeight="false" outlineLevel="0" collapsed="false">
      <c r="A396" s="92" t="s">
        <v>4</v>
      </c>
      <c r="B396" s="93" t="s">
        <v>285</v>
      </c>
      <c r="C396" s="260" t="s">
        <v>961</v>
      </c>
      <c r="D396" s="261" t="s">
        <v>962</v>
      </c>
      <c r="E396" s="262" t="s">
        <v>963</v>
      </c>
    </row>
    <row r="397" customFormat="false" ht="15" hidden="false" customHeight="false" outlineLevel="0" collapsed="false">
      <c r="A397" s="142" t="n">
        <v>1</v>
      </c>
      <c r="B397" s="58" t="s">
        <v>683</v>
      </c>
      <c r="C397" s="263" t="n">
        <v>187500</v>
      </c>
      <c r="D397" s="116" t="n">
        <v>0</v>
      </c>
      <c r="E397" s="164" t="n">
        <f aca="false">C397+D397</f>
        <v>187500</v>
      </c>
    </row>
    <row r="398" customFormat="false" ht="15" hidden="false" customHeight="false" outlineLevel="0" collapsed="false">
      <c r="A398" s="142" t="n">
        <v>2</v>
      </c>
      <c r="B398" s="116" t="s">
        <v>684</v>
      </c>
      <c r="C398" s="263" t="n">
        <v>416500</v>
      </c>
      <c r="D398" s="164" t="n">
        <v>200000</v>
      </c>
      <c r="E398" s="164" t="n">
        <f aca="false">C398+D398</f>
        <v>616500</v>
      </c>
    </row>
    <row r="399" customFormat="false" ht="15" hidden="false" customHeight="false" outlineLevel="0" collapsed="false">
      <c r="A399" s="142" t="n">
        <v>3</v>
      </c>
      <c r="B399" s="116" t="s">
        <v>685</v>
      </c>
      <c r="C399" s="263" t="n">
        <v>0</v>
      </c>
      <c r="D399" s="116" t="n">
        <v>0</v>
      </c>
      <c r="E399" s="164" t="n">
        <f aca="false">C399+D399</f>
        <v>0</v>
      </c>
    </row>
    <row r="400" customFormat="false" ht="15" hidden="false" customHeight="false" outlineLevel="0" collapsed="false">
      <c r="A400" s="95" t="n">
        <v>4</v>
      </c>
      <c r="B400" s="116" t="s">
        <v>686</v>
      </c>
      <c r="C400" s="263" t="n">
        <v>203000</v>
      </c>
      <c r="D400" s="116" t="n">
        <v>0</v>
      </c>
      <c r="E400" s="164" t="n">
        <f aca="false">C400+D400</f>
        <v>203000</v>
      </c>
    </row>
    <row r="401" customFormat="false" ht="15" hidden="false" customHeight="false" outlineLevel="0" collapsed="false">
      <c r="A401" s="95" t="n">
        <v>5</v>
      </c>
      <c r="B401" s="116" t="s">
        <v>687</v>
      </c>
      <c r="C401" s="263" t="n">
        <v>279500</v>
      </c>
      <c r="D401" s="116" t="n">
        <v>0</v>
      </c>
      <c r="E401" s="164" t="n">
        <f aca="false">C401+D401</f>
        <v>279500</v>
      </c>
    </row>
    <row r="402" customFormat="false" ht="15" hidden="false" customHeight="false" outlineLevel="0" collapsed="false">
      <c r="A402" s="95" t="n">
        <v>6</v>
      </c>
      <c r="B402" s="116" t="s">
        <v>688</v>
      </c>
      <c r="C402" s="263" t="n">
        <v>416500</v>
      </c>
      <c r="D402" s="116" t="n">
        <v>0</v>
      </c>
      <c r="E402" s="164" t="n">
        <f aca="false">C402+D402</f>
        <v>416500</v>
      </c>
    </row>
    <row r="403" customFormat="false" ht="15" hidden="false" customHeight="false" outlineLevel="0" collapsed="false">
      <c r="A403" s="95" t="n">
        <v>7</v>
      </c>
      <c r="B403" s="116" t="s">
        <v>689</v>
      </c>
      <c r="C403" s="263" t="n">
        <v>300000</v>
      </c>
      <c r="D403" s="116" t="n">
        <v>0</v>
      </c>
      <c r="E403" s="164" t="n">
        <f aca="false">C403+D403</f>
        <v>300000</v>
      </c>
    </row>
    <row r="404" customFormat="false" ht="15" hidden="false" customHeight="false" outlineLevel="0" collapsed="false">
      <c r="A404" s="95" t="n">
        <v>8</v>
      </c>
      <c r="B404" s="116" t="s">
        <v>690</v>
      </c>
      <c r="C404" s="263" t="n">
        <v>416500</v>
      </c>
      <c r="D404" s="164" t="n">
        <v>217000</v>
      </c>
      <c r="E404" s="164" t="n">
        <f aca="false">C404+D404</f>
        <v>633500</v>
      </c>
    </row>
    <row r="405" customFormat="false" ht="15" hidden="false" customHeight="false" outlineLevel="0" collapsed="false">
      <c r="A405" s="95" t="n">
        <v>9</v>
      </c>
      <c r="B405" s="116" t="s">
        <v>691</v>
      </c>
      <c r="C405" s="263" t="n">
        <v>416500</v>
      </c>
      <c r="D405" s="116" t="n">
        <v>0</v>
      </c>
      <c r="E405" s="164" t="n">
        <f aca="false">C405+D405</f>
        <v>416500</v>
      </c>
    </row>
    <row r="406" customFormat="false" ht="15" hidden="false" customHeight="false" outlineLevel="0" collapsed="false">
      <c r="A406" s="95" t="n">
        <v>10</v>
      </c>
      <c r="B406" s="116" t="s">
        <v>692</v>
      </c>
      <c r="C406" s="263" t="n">
        <v>416500</v>
      </c>
      <c r="D406" s="164" t="n">
        <v>358000</v>
      </c>
      <c r="E406" s="164" t="n">
        <f aca="false">C406+D406</f>
        <v>774500</v>
      </c>
    </row>
    <row r="407" customFormat="false" ht="15" hidden="false" customHeight="false" outlineLevel="0" collapsed="false">
      <c r="A407" s="95" t="n">
        <v>11</v>
      </c>
      <c r="B407" s="116" t="s">
        <v>693</v>
      </c>
      <c r="C407" s="263" t="n">
        <v>316000</v>
      </c>
      <c r="D407" s="116" t="n">
        <v>0</v>
      </c>
      <c r="E407" s="164" t="n">
        <f aca="false">C407+D407</f>
        <v>316000</v>
      </c>
    </row>
    <row r="408" customFormat="false" ht="17.35" hidden="false" customHeight="false" outlineLevel="0" collapsed="false">
      <c r="A408" s="112"/>
      <c r="B408" s="100" t="s">
        <v>22</v>
      </c>
      <c r="C408" s="264" t="n">
        <f aca="false">SUM(C400:C407)</f>
        <v>2764500</v>
      </c>
      <c r="D408" s="264" t="n">
        <f aca="false">SUM(D400:D407)</f>
        <v>575000</v>
      </c>
      <c r="E408" s="264" t="n">
        <f aca="false">SUM(E400:E407)</f>
        <v>3339500</v>
      </c>
    </row>
    <row r="411" customFormat="false" ht="17.35" hidden="false" customHeight="false" outlineLevel="0" collapsed="false">
      <c r="A411" s="104"/>
      <c r="B411" s="2" t="s">
        <v>0</v>
      </c>
    </row>
    <row r="412" customFormat="false" ht="15" hidden="false" customHeight="false" outlineLevel="0" collapsed="false">
      <c r="A412" s="104"/>
    </row>
    <row r="413" customFormat="false" ht="17.35" hidden="false" customHeight="false" outlineLevel="0" collapsed="false">
      <c r="A413" s="104"/>
      <c r="B413" s="91" t="s">
        <v>704</v>
      </c>
    </row>
    <row r="414" customFormat="false" ht="15" hidden="false" customHeight="false" outlineLevel="0" collapsed="false">
      <c r="A414" s="104"/>
      <c r="B414" s="4" t="s">
        <v>705</v>
      </c>
    </row>
    <row r="415" customFormat="false" ht="15" hidden="false" customHeight="false" outlineLevel="0" collapsed="false">
      <c r="A415" s="92" t="s">
        <v>4</v>
      </c>
      <c r="B415" s="93" t="s">
        <v>285</v>
      </c>
      <c r="C415" s="260" t="s">
        <v>961</v>
      </c>
      <c r="D415" s="261" t="s">
        <v>962</v>
      </c>
      <c r="E415" s="262" t="s">
        <v>963</v>
      </c>
    </row>
    <row r="416" customFormat="false" ht="15" hidden="false" customHeight="false" outlineLevel="0" collapsed="false">
      <c r="A416" s="95" t="n">
        <v>1</v>
      </c>
      <c r="B416" s="11" t="s">
        <v>706</v>
      </c>
      <c r="C416" s="263" t="n">
        <v>316500</v>
      </c>
      <c r="D416" s="116" t="n">
        <v>0</v>
      </c>
      <c r="E416" s="164" t="n">
        <f aca="false">C416+D416</f>
        <v>316500</v>
      </c>
    </row>
    <row r="417" customFormat="false" ht="15" hidden="false" customHeight="false" outlineLevel="0" collapsed="false">
      <c r="A417" s="95" t="n">
        <v>2</v>
      </c>
      <c r="B417" s="11" t="s">
        <v>707</v>
      </c>
      <c r="C417" s="263" t="n">
        <v>267000</v>
      </c>
      <c r="D417" s="116" t="n">
        <v>0</v>
      </c>
      <c r="E417" s="164" t="n">
        <f aca="false">C417+D417</f>
        <v>267000</v>
      </c>
    </row>
    <row r="418" customFormat="false" ht="15" hidden="false" customHeight="false" outlineLevel="0" collapsed="false">
      <c r="A418" s="95" t="n">
        <v>3</v>
      </c>
      <c r="B418" s="11" t="s">
        <v>708</v>
      </c>
      <c r="C418" s="263" t="n">
        <v>196500</v>
      </c>
      <c r="D418" s="116" t="n">
        <v>0</v>
      </c>
      <c r="E418" s="164" t="n">
        <f aca="false">C418+D418</f>
        <v>196500</v>
      </c>
    </row>
    <row r="419" customFormat="false" ht="15" hidden="false" customHeight="false" outlineLevel="0" collapsed="false">
      <c r="A419" s="95" t="n">
        <v>4</v>
      </c>
      <c r="B419" s="11" t="s">
        <v>709</v>
      </c>
      <c r="C419" s="263" t="n">
        <v>416500</v>
      </c>
      <c r="D419" s="164" t="n">
        <v>11500</v>
      </c>
      <c r="E419" s="164" t="n">
        <f aca="false">C419+D419</f>
        <v>428000</v>
      </c>
    </row>
    <row r="420" customFormat="false" ht="15" hidden="false" customHeight="false" outlineLevel="0" collapsed="false">
      <c r="A420" s="95" t="n">
        <v>5</v>
      </c>
      <c r="B420" s="11" t="s">
        <v>710</v>
      </c>
      <c r="C420" s="263" t="n">
        <v>116500</v>
      </c>
      <c r="D420" s="116" t="n">
        <v>0</v>
      </c>
      <c r="E420" s="164" t="n">
        <f aca="false">C420+D420</f>
        <v>116500</v>
      </c>
    </row>
    <row r="421" customFormat="false" ht="15" hidden="false" customHeight="false" outlineLevel="0" collapsed="false">
      <c r="A421" s="95" t="n">
        <v>6</v>
      </c>
      <c r="B421" s="11" t="s">
        <v>711</v>
      </c>
      <c r="C421" s="263" t="n">
        <v>416500</v>
      </c>
      <c r="D421" s="116" t="n">
        <v>0</v>
      </c>
      <c r="E421" s="164" t="n">
        <f aca="false">C421+D421</f>
        <v>416500</v>
      </c>
    </row>
    <row r="422" customFormat="false" ht="15" hidden="false" customHeight="false" outlineLevel="0" collapsed="false">
      <c r="A422" s="95" t="n">
        <v>7</v>
      </c>
      <c r="B422" s="11" t="s">
        <v>712</v>
      </c>
      <c r="C422" s="263" t="n">
        <v>318000</v>
      </c>
      <c r="D422" s="116" t="n">
        <v>0</v>
      </c>
      <c r="E422" s="164" t="n">
        <f aca="false">C422+D422</f>
        <v>318000</v>
      </c>
    </row>
    <row r="423" customFormat="false" ht="15" hidden="false" customHeight="false" outlineLevel="0" collapsed="false">
      <c r="A423" s="95" t="n">
        <v>8</v>
      </c>
      <c r="B423" s="11" t="s">
        <v>713</v>
      </c>
      <c r="C423" s="263" t="n">
        <v>416500</v>
      </c>
      <c r="D423" s="164" t="n">
        <v>216500</v>
      </c>
      <c r="E423" s="164" t="n">
        <f aca="false">C423+D423</f>
        <v>633000</v>
      </c>
    </row>
    <row r="424" customFormat="false" ht="15" hidden="false" customHeight="false" outlineLevel="0" collapsed="false">
      <c r="A424" s="95" t="n">
        <v>9</v>
      </c>
      <c r="B424" s="11" t="s">
        <v>714</v>
      </c>
      <c r="C424" s="263" t="n">
        <v>416500</v>
      </c>
      <c r="D424" s="164" t="n">
        <v>206500</v>
      </c>
      <c r="E424" s="164" t="n">
        <f aca="false">C424+D424</f>
        <v>623000</v>
      </c>
    </row>
    <row r="425" customFormat="false" ht="15" hidden="false" customHeight="false" outlineLevel="0" collapsed="false">
      <c r="A425" s="95" t="n">
        <v>10</v>
      </c>
      <c r="B425" s="11" t="s">
        <v>715</v>
      </c>
      <c r="C425" s="263" t="n">
        <v>350000</v>
      </c>
      <c r="D425" s="116" t="n">
        <v>0</v>
      </c>
      <c r="E425" s="164" t="n">
        <f aca="false">C425+D425</f>
        <v>350000</v>
      </c>
    </row>
    <row r="426" customFormat="false" ht="15" hidden="false" customHeight="false" outlineLevel="0" collapsed="false">
      <c r="A426" s="95" t="n">
        <v>11</v>
      </c>
      <c r="B426" s="11" t="s">
        <v>716</v>
      </c>
      <c r="C426" s="263" t="n">
        <v>316500</v>
      </c>
      <c r="D426" s="116" t="n">
        <v>0</v>
      </c>
      <c r="E426" s="164" t="n">
        <f aca="false">C426+D426</f>
        <v>316500</v>
      </c>
    </row>
    <row r="427" customFormat="false" ht="15" hidden="false" customHeight="false" outlineLevel="0" collapsed="false">
      <c r="A427" s="95" t="n">
        <v>12</v>
      </c>
      <c r="B427" s="11" t="s">
        <v>717</v>
      </c>
      <c r="C427" s="263" t="n">
        <v>416500</v>
      </c>
      <c r="D427" s="116" t="n">
        <v>0</v>
      </c>
      <c r="E427" s="164" t="n">
        <f aca="false">C427+D427</f>
        <v>416500</v>
      </c>
    </row>
    <row r="428" customFormat="false" ht="15" hidden="false" customHeight="false" outlineLevel="0" collapsed="false">
      <c r="A428" s="95" t="n">
        <v>13</v>
      </c>
      <c r="B428" s="11" t="s">
        <v>718</v>
      </c>
      <c r="C428" s="263" t="n">
        <v>316500</v>
      </c>
      <c r="D428" s="116" t="n">
        <v>0</v>
      </c>
      <c r="E428" s="164" t="n">
        <f aca="false">C428+D428</f>
        <v>316500</v>
      </c>
    </row>
    <row r="429" customFormat="false" ht="15" hidden="false" customHeight="false" outlineLevel="0" collapsed="false">
      <c r="A429" s="95" t="n">
        <v>14</v>
      </c>
      <c r="B429" s="54" t="s">
        <v>719</v>
      </c>
      <c r="C429" s="263" t="n">
        <v>416500</v>
      </c>
      <c r="D429" s="116" t="n">
        <v>0</v>
      </c>
      <c r="E429" s="164" t="n">
        <f aca="false">C429+D429</f>
        <v>416500</v>
      </c>
    </row>
    <row r="430" customFormat="false" ht="15" hidden="false" customHeight="false" outlineLevel="0" collapsed="false">
      <c r="A430" s="112" t="n">
        <v>15</v>
      </c>
      <c r="B430" s="54" t="s">
        <v>720</v>
      </c>
      <c r="C430" s="263" t="n">
        <v>416500</v>
      </c>
      <c r="D430" s="164" t="n">
        <v>168500</v>
      </c>
      <c r="E430" s="164" t="n">
        <f aca="false">C430+D430</f>
        <v>585000</v>
      </c>
    </row>
    <row r="431" customFormat="false" ht="17.35" hidden="false" customHeight="false" outlineLevel="0" collapsed="false">
      <c r="A431" s="112"/>
      <c r="B431" s="100" t="s">
        <v>22</v>
      </c>
      <c r="C431" s="264" t="n">
        <f aca="false">SUM(C416:C430)</f>
        <v>5113000</v>
      </c>
      <c r="D431" s="264" t="n">
        <f aca="false">SUM(D416:D430)</f>
        <v>603000</v>
      </c>
      <c r="E431" s="264" t="n">
        <f aca="false">SUM(E416:E430)</f>
        <v>5716000</v>
      </c>
    </row>
    <row r="440" customFormat="false" ht="17.35" hidden="false" customHeight="false" outlineLevel="0" collapsed="false">
      <c r="A440" s="108"/>
    </row>
    <row r="441" customFormat="false" ht="17.35" hidden="false" customHeight="false" outlineLevel="0" collapsed="false">
      <c r="A441" s="104"/>
      <c r="B441" s="2" t="s">
        <v>0</v>
      </c>
    </row>
    <row r="442" customFormat="false" ht="15" hidden="false" customHeight="false" outlineLevel="0" collapsed="false">
      <c r="A442" s="104"/>
    </row>
    <row r="443" customFormat="false" ht="17.35" hidden="false" customHeight="false" outlineLevel="0" collapsed="false">
      <c r="A443" s="104"/>
      <c r="B443" s="91" t="s">
        <v>721</v>
      </c>
    </row>
    <row r="444" customFormat="false" ht="15" hidden="false" customHeight="false" outlineLevel="0" collapsed="false">
      <c r="A444" s="104"/>
      <c r="B444" s="4" t="s">
        <v>705</v>
      </c>
    </row>
    <row r="445" customFormat="false" ht="15" hidden="false" customHeight="false" outlineLevel="0" collapsed="false">
      <c r="A445" s="92" t="s">
        <v>4</v>
      </c>
      <c r="B445" s="93" t="s">
        <v>285</v>
      </c>
      <c r="C445" s="10" t="s">
        <v>8</v>
      </c>
    </row>
    <row r="446" customFormat="false" ht="15" hidden="false" customHeight="false" outlineLevel="0" collapsed="false">
      <c r="A446" s="95" t="n">
        <v>1</v>
      </c>
      <c r="B446" s="116" t="s">
        <v>722</v>
      </c>
      <c r="C446" s="97" t="e">
        <f aca="false">#REF!-#REF!</f>
        <v>#REF!</v>
      </c>
    </row>
    <row r="447" customFormat="false" ht="15" hidden="false" customHeight="false" outlineLevel="0" collapsed="false">
      <c r="A447" s="95" t="n">
        <v>2</v>
      </c>
      <c r="B447" s="119" t="s">
        <v>723</v>
      </c>
      <c r="C447" s="97" t="e">
        <f aca="false">#REF!-#REF!</f>
        <v>#REF!</v>
      </c>
    </row>
    <row r="448" customFormat="false" ht="15" hidden="false" customHeight="false" outlineLevel="0" collapsed="false">
      <c r="A448" s="95" t="n">
        <v>3</v>
      </c>
      <c r="B448" s="116" t="s">
        <v>724</v>
      </c>
      <c r="C448" s="97" t="e">
        <f aca="false">#REF!-#REF!</f>
        <v>#REF!</v>
      </c>
    </row>
    <row r="449" customFormat="false" ht="15" hidden="false" customHeight="false" outlineLevel="0" collapsed="false">
      <c r="A449" s="95" t="n">
        <v>4</v>
      </c>
      <c r="B449" s="118" t="s">
        <v>725</v>
      </c>
      <c r="C449" s="97" t="e">
        <f aca="false">#REF!-#REF!</f>
        <v>#REF!</v>
      </c>
    </row>
    <row r="450" customFormat="false" ht="15" hidden="false" customHeight="false" outlineLevel="0" collapsed="false">
      <c r="A450" s="95" t="n">
        <v>5</v>
      </c>
      <c r="B450" s="116" t="s">
        <v>726</v>
      </c>
      <c r="C450" s="97" t="n">
        <v>417000</v>
      </c>
    </row>
    <row r="451" customFormat="false" ht="17.35" hidden="false" customHeight="false" outlineLevel="0" collapsed="false">
      <c r="A451" s="148"/>
      <c r="B451" s="100" t="s">
        <v>22</v>
      </c>
      <c r="C451" s="103" t="e">
        <f aca="false">SUM(C446:C450)</f>
        <v>#REF!</v>
      </c>
    </row>
    <row r="453" customFormat="false" ht="17.35" hidden="false" customHeight="false" outlineLevel="0" collapsed="false">
      <c r="A453" s="104"/>
      <c r="B453" s="2" t="s">
        <v>0</v>
      </c>
    </row>
    <row r="454" customFormat="false" ht="15" hidden="false" customHeight="false" outlineLevel="0" collapsed="false">
      <c r="A454" s="104"/>
    </row>
    <row r="455" customFormat="false" ht="17.35" hidden="false" customHeight="false" outlineLevel="0" collapsed="false">
      <c r="A455" s="104"/>
      <c r="B455" s="91" t="s">
        <v>283</v>
      </c>
    </row>
    <row r="456" customFormat="false" ht="15" hidden="false" customHeight="false" outlineLevel="0" collapsed="false">
      <c r="A456" s="104"/>
      <c r="B456" s="4" t="s">
        <v>738</v>
      </c>
    </row>
    <row r="457" customFormat="false" ht="15" hidden="false" customHeight="false" outlineLevel="0" collapsed="false">
      <c r="A457" s="92" t="s">
        <v>4</v>
      </c>
      <c r="B457" s="93" t="s">
        <v>285</v>
      </c>
      <c r="C457" s="260" t="s">
        <v>961</v>
      </c>
      <c r="D457" s="261" t="s">
        <v>962</v>
      </c>
      <c r="E457" s="262" t="s">
        <v>963</v>
      </c>
    </row>
    <row r="458" customFormat="false" ht="15" hidden="false" customHeight="false" outlineLevel="0" collapsed="false">
      <c r="A458" s="138" t="n">
        <v>1</v>
      </c>
      <c r="B458" s="41" t="s">
        <v>739</v>
      </c>
      <c r="C458" s="263" t="n">
        <v>416500</v>
      </c>
      <c r="D458" s="116" t="n">
        <v>0</v>
      </c>
      <c r="E458" s="164" t="n">
        <f aca="false">C458+D458</f>
        <v>416500</v>
      </c>
    </row>
    <row r="459" customFormat="false" ht="15" hidden="false" customHeight="false" outlineLevel="0" collapsed="false">
      <c r="A459" s="138" t="n">
        <v>2</v>
      </c>
      <c r="B459" s="41" t="s">
        <v>740</v>
      </c>
      <c r="C459" s="263" t="n">
        <v>200000</v>
      </c>
      <c r="D459" s="116" t="n">
        <v>0</v>
      </c>
      <c r="E459" s="164" t="n">
        <f aca="false">C459+D459</f>
        <v>200000</v>
      </c>
    </row>
    <row r="460" customFormat="false" ht="15" hidden="false" customHeight="false" outlineLevel="0" collapsed="false">
      <c r="A460" s="138" t="n">
        <v>3</v>
      </c>
      <c r="B460" s="41" t="s">
        <v>741</v>
      </c>
      <c r="C460" s="263" t="n">
        <v>416500</v>
      </c>
      <c r="D460" s="116" t="n">
        <v>0</v>
      </c>
      <c r="E460" s="164" t="n">
        <f aca="false">C460+D460</f>
        <v>416500</v>
      </c>
    </row>
    <row r="461" customFormat="false" ht="15" hidden="false" customHeight="false" outlineLevel="0" collapsed="false">
      <c r="A461" s="138" t="n">
        <v>4</v>
      </c>
      <c r="B461" s="41" t="s">
        <v>742</v>
      </c>
      <c r="C461" s="263" t="n">
        <v>416500</v>
      </c>
      <c r="D461" s="116" t="n">
        <v>0</v>
      </c>
      <c r="E461" s="164" t="n">
        <f aca="false">C461+D461</f>
        <v>416500</v>
      </c>
    </row>
    <row r="462" customFormat="false" ht="15" hidden="false" customHeight="false" outlineLevel="0" collapsed="false">
      <c r="A462" s="138" t="n">
        <v>5</v>
      </c>
      <c r="B462" s="41" t="s">
        <v>743</v>
      </c>
      <c r="C462" s="263" t="n">
        <v>350000</v>
      </c>
      <c r="D462" s="116" t="n">
        <v>0</v>
      </c>
      <c r="E462" s="164" t="n">
        <f aca="false">C462+D462</f>
        <v>350000</v>
      </c>
    </row>
    <row r="463" customFormat="false" ht="15" hidden="false" customHeight="false" outlineLevel="0" collapsed="false">
      <c r="A463" s="95" t="n">
        <v>6</v>
      </c>
      <c r="B463" s="41" t="s">
        <v>744</v>
      </c>
      <c r="C463" s="263" t="n">
        <v>416500</v>
      </c>
      <c r="D463" s="164" t="n">
        <v>116500</v>
      </c>
      <c r="E463" s="164" t="n">
        <f aca="false">C463+D463</f>
        <v>533000</v>
      </c>
    </row>
    <row r="464" customFormat="false" ht="15" hidden="false" customHeight="false" outlineLevel="0" collapsed="false">
      <c r="A464" s="95" t="n">
        <v>7</v>
      </c>
      <c r="B464" s="41" t="s">
        <v>745</v>
      </c>
      <c r="C464" s="263" t="n">
        <v>416500</v>
      </c>
      <c r="D464" s="164" t="n">
        <v>0</v>
      </c>
      <c r="E464" s="164" t="n">
        <f aca="false">C464+D464</f>
        <v>416500</v>
      </c>
    </row>
    <row r="465" customFormat="false" ht="15" hidden="false" customHeight="false" outlineLevel="0" collapsed="false">
      <c r="A465" s="95" t="n">
        <v>8</v>
      </c>
      <c r="B465" s="41" t="s">
        <v>746</v>
      </c>
      <c r="C465" s="263" t="n">
        <v>416500</v>
      </c>
      <c r="D465" s="116" t="n">
        <v>0</v>
      </c>
      <c r="E465" s="164" t="n">
        <f aca="false">C465+D465</f>
        <v>416500</v>
      </c>
    </row>
    <row r="466" customFormat="false" ht="15" hidden="false" customHeight="false" outlineLevel="0" collapsed="false">
      <c r="A466" s="95" t="n">
        <v>9</v>
      </c>
      <c r="B466" s="56" t="s">
        <v>747</v>
      </c>
      <c r="C466" s="263" t="n">
        <v>416500</v>
      </c>
      <c r="D466" s="116" t="n">
        <v>0</v>
      </c>
      <c r="E466" s="164" t="n">
        <f aca="false">C466+D466</f>
        <v>416500</v>
      </c>
    </row>
    <row r="467" customFormat="false" ht="15" hidden="false" customHeight="false" outlineLevel="0" collapsed="false">
      <c r="A467" s="95" t="n">
        <v>10</v>
      </c>
      <c r="B467" s="56" t="s">
        <v>748</v>
      </c>
      <c r="C467" s="263" t="n">
        <v>416500</v>
      </c>
      <c r="D467" s="269" t="n">
        <v>0</v>
      </c>
      <c r="E467" s="164" t="n">
        <f aca="false">C467+D467</f>
        <v>416500</v>
      </c>
    </row>
    <row r="468" customFormat="false" ht="15" hidden="false" customHeight="false" outlineLevel="0" collapsed="false">
      <c r="A468" s="95" t="n">
        <v>11</v>
      </c>
      <c r="B468" s="56" t="s">
        <v>749</v>
      </c>
      <c r="C468" s="263" t="n">
        <v>416500</v>
      </c>
      <c r="D468" s="116" t="n">
        <v>0</v>
      </c>
      <c r="E468" s="164" t="n">
        <f aca="false">C468+D468</f>
        <v>416500</v>
      </c>
    </row>
    <row r="469" customFormat="false" ht="15" hidden="false" customHeight="false" outlineLevel="0" collapsed="false">
      <c r="A469" s="95" t="n">
        <v>12</v>
      </c>
      <c r="B469" s="56" t="s">
        <v>977</v>
      </c>
      <c r="C469" s="263" t="n">
        <v>266500</v>
      </c>
      <c r="D469" s="116" t="n">
        <v>0</v>
      </c>
      <c r="E469" s="164" t="n">
        <f aca="false">C469+D469</f>
        <v>266500</v>
      </c>
    </row>
    <row r="470" customFormat="false" ht="15" hidden="false" customHeight="false" outlineLevel="0" collapsed="false">
      <c r="A470" s="95" t="n">
        <v>13</v>
      </c>
      <c r="B470" s="56" t="s">
        <v>751</v>
      </c>
      <c r="C470" s="263" t="n">
        <v>416500</v>
      </c>
      <c r="D470" s="116" t="n">
        <v>0</v>
      </c>
      <c r="E470" s="164" t="n">
        <f aca="false">C470+D470</f>
        <v>416500</v>
      </c>
    </row>
    <row r="471" customFormat="false" ht="15" hidden="false" customHeight="false" outlineLevel="0" collapsed="false">
      <c r="A471" s="95" t="n">
        <v>14</v>
      </c>
      <c r="B471" s="56" t="s">
        <v>752</v>
      </c>
      <c r="C471" s="263" t="n">
        <v>266500</v>
      </c>
      <c r="D471" s="116" t="n">
        <v>0</v>
      </c>
      <c r="E471" s="164" t="n">
        <f aca="false">C471+D471</f>
        <v>266500</v>
      </c>
    </row>
    <row r="472" customFormat="false" ht="15" hidden="false" customHeight="false" outlineLevel="0" collapsed="false">
      <c r="A472" s="95" t="n">
        <v>15</v>
      </c>
      <c r="B472" s="56" t="s">
        <v>753</v>
      </c>
      <c r="C472" s="263" t="n">
        <v>216500</v>
      </c>
      <c r="D472" s="116" t="n">
        <v>0</v>
      </c>
      <c r="E472" s="164" t="n">
        <f aca="false">C472+D472</f>
        <v>216500</v>
      </c>
    </row>
    <row r="473" customFormat="false" ht="15" hidden="false" customHeight="false" outlineLevel="0" collapsed="false">
      <c r="A473" s="95" t="n">
        <v>16</v>
      </c>
      <c r="B473" s="56" t="s">
        <v>754</v>
      </c>
      <c r="C473" s="263" t="n">
        <v>416500</v>
      </c>
      <c r="D473" s="164" t="n">
        <v>131500</v>
      </c>
      <c r="E473" s="164" t="n">
        <f aca="false">C473+D473</f>
        <v>548000</v>
      </c>
    </row>
    <row r="474" customFormat="false" ht="15" hidden="false" customHeight="false" outlineLevel="0" collapsed="false">
      <c r="A474" s="95" t="n">
        <v>17</v>
      </c>
      <c r="B474" s="56" t="s">
        <v>755</v>
      </c>
      <c r="C474" s="263" t="n">
        <v>266500</v>
      </c>
      <c r="D474" s="116" t="n">
        <v>0</v>
      </c>
      <c r="E474" s="164" t="n">
        <f aca="false">C474+D474</f>
        <v>266500</v>
      </c>
    </row>
    <row r="475" customFormat="false" ht="15" hidden="false" customHeight="false" outlineLevel="0" collapsed="false">
      <c r="A475" s="95" t="n">
        <v>18</v>
      </c>
      <c r="B475" s="56" t="s">
        <v>756</v>
      </c>
      <c r="C475" s="263" t="n">
        <v>416500</v>
      </c>
      <c r="D475" s="116" t="n">
        <v>0</v>
      </c>
      <c r="E475" s="164" t="n">
        <f aca="false">C475+D475</f>
        <v>416500</v>
      </c>
    </row>
    <row r="476" customFormat="false" ht="15" hidden="false" customHeight="false" outlineLevel="0" collapsed="false">
      <c r="A476" s="95" t="n">
        <v>19</v>
      </c>
      <c r="B476" s="56" t="s">
        <v>757</v>
      </c>
      <c r="C476" s="263" t="n">
        <v>416500</v>
      </c>
      <c r="D476" s="116" t="n">
        <v>0</v>
      </c>
      <c r="E476" s="164" t="n">
        <f aca="false">C476+D476</f>
        <v>416500</v>
      </c>
    </row>
    <row r="477" customFormat="false" ht="15" hidden="false" customHeight="false" outlineLevel="0" collapsed="false">
      <c r="A477" s="95" t="n">
        <v>20</v>
      </c>
      <c r="B477" s="56" t="s">
        <v>758</v>
      </c>
      <c r="C477" s="263" t="n">
        <v>416500</v>
      </c>
      <c r="D477" s="116" t="n">
        <v>0</v>
      </c>
      <c r="E477" s="164" t="n">
        <f aca="false">C477+D477</f>
        <v>416500</v>
      </c>
    </row>
    <row r="478" customFormat="false" ht="17.35" hidden="false" customHeight="false" outlineLevel="0" collapsed="false">
      <c r="A478" s="95"/>
      <c r="B478" s="100" t="s">
        <v>22</v>
      </c>
      <c r="C478" s="264" t="n">
        <f aca="false">SUM(C463:C477)</f>
        <v>5597500</v>
      </c>
      <c r="D478" s="264" t="n">
        <f aca="false">SUM(D463:D477)</f>
        <v>248000</v>
      </c>
      <c r="E478" s="264" t="n">
        <f aca="false">SUM(E463:E477)</f>
        <v>5845500</v>
      </c>
    </row>
    <row r="479" customFormat="false" ht="15" hidden="false" customHeight="false" outlineLevel="0" collapsed="false">
      <c r="A479" s="112"/>
    </row>
    <row r="481" customFormat="false" ht="15" hidden="false" customHeight="false" outlineLevel="0" collapsed="false">
      <c r="A481" s="104"/>
    </row>
    <row r="482" customFormat="false" ht="15" hidden="false" customHeight="false" outlineLevel="0" collapsed="false">
      <c r="A482" s="104"/>
    </row>
    <row r="483" customFormat="false" ht="15" hidden="false" customHeight="false" outlineLevel="0" collapsed="false">
      <c r="A483" s="104"/>
    </row>
    <row r="484" customFormat="false" ht="17.35" hidden="false" customHeight="false" outlineLevel="0" collapsed="false">
      <c r="A484" s="104"/>
      <c r="B484" s="2" t="s">
        <v>0</v>
      </c>
    </row>
    <row r="485" customFormat="false" ht="15" hidden="false" customHeight="false" outlineLevel="0" collapsed="false">
      <c r="A485" s="104"/>
    </row>
    <row r="486" customFormat="false" ht="17.35" hidden="false" customHeight="false" outlineLevel="0" collapsed="false">
      <c r="A486" s="104"/>
      <c r="B486" s="91" t="s">
        <v>314</v>
      </c>
    </row>
    <row r="487" customFormat="false" ht="15" hidden="false" customHeight="false" outlineLevel="0" collapsed="false">
      <c r="A487" s="104"/>
      <c r="B487" s="4" t="s">
        <v>738</v>
      </c>
    </row>
    <row r="488" customFormat="false" ht="15" hidden="false" customHeight="false" outlineLevel="0" collapsed="false">
      <c r="A488" s="104"/>
    </row>
    <row r="489" customFormat="false" ht="15" hidden="false" customHeight="false" outlineLevel="0" collapsed="false">
      <c r="A489" s="92" t="s">
        <v>4</v>
      </c>
      <c r="B489" s="93" t="s">
        <v>285</v>
      </c>
      <c r="C489" s="260" t="s">
        <v>961</v>
      </c>
      <c r="D489" s="261" t="s">
        <v>962</v>
      </c>
      <c r="E489" s="262" t="s">
        <v>963</v>
      </c>
    </row>
    <row r="490" customFormat="false" ht="15" hidden="false" customHeight="false" outlineLevel="0" collapsed="false">
      <c r="A490" s="95" t="n">
        <v>1</v>
      </c>
      <c r="B490" s="116" t="s">
        <v>759</v>
      </c>
      <c r="C490" s="263" t="n">
        <v>206500</v>
      </c>
      <c r="D490" s="164" t="n">
        <v>0</v>
      </c>
      <c r="E490" s="164" t="n">
        <f aca="false">C490+D490</f>
        <v>206500</v>
      </c>
    </row>
    <row r="491" customFormat="false" ht="15" hidden="false" customHeight="false" outlineLevel="0" collapsed="false">
      <c r="A491" s="95" t="n">
        <v>2</v>
      </c>
      <c r="B491" s="116" t="s">
        <v>760</v>
      </c>
      <c r="C491" s="263" t="n">
        <v>186500</v>
      </c>
      <c r="D491" s="116" t="n">
        <v>0</v>
      </c>
      <c r="E491" s="164" t="n">
        <f aca="false">C491+D491</f>
        <v>186500</v>
      </c>
    </row>
    <row r="492" customFormat="false" ht="15" hidden="false" customHeight="false" outlineLevel="0" collapsed="false">
      <c r="A492" s="95" t="n">
        <v>3</v>
      </c>
      <c r="B492" s="116" t="s">
        <v>761</v>
      </c>
      <c r="C492" s="263" t="n">
        <v>216500</v>
      </c>
      <c r="D492" s="116" t="n">
        <v>0</v>
      </c>
      <c r="E492" s="164" t="n">
        <f aca="false">C492+D492</f>
        <v>216500</v>
      </c>
    </row>
    <row r="493" customFormat="false" ht="15" hidden="false" customHeight="false" outlineLevel="0" collapsed="false">
      <c r="A493" s="95" t="n">
        <v>4</v>
      </c>
      <c r="B493" s="116" t="s">
        <v>762</v>
      </c>
      <c r="C493" s="263" t="n">
        <v>416500</v>
      </c>
      <c r="D493" s="164" t="n">
        <v>336500</v>
      </c>
      <c r="E493" s="164" t="n">
        <f aca="false">C493+D493</f>
        <v>753000</v>
      </c>
    </row>
    <row r="494" customFormat="false" ht="15" hidden="false" customHeight="false" outlineLevel="0" collapsed="false">
      <c r="A494" s="95" t="n">
        <v>5</v>
      </c>
      <c r="B494" s="116" t="s">
        <v>763</v>
      </c>
      <c r="C494" s="263" t="n">
        <v>416500</v>
      </c>
      <c r="D494" s="116" t="n">
        <v>0</v>
      </c>
      <c r="E494" s="164" t="n">
        <f aca="false">C494+D494</f>
        <v>416500</v>
      </c>
    </row>
    <row r="495" customFormat="false" ht="15" hidden="false" customHeight="false" outlineLevel="0" collapsed="false">
      <c r="A495" s="95" t="n">
        <v>7</v>
      </c>
      <c r="B495" s="116" t="s">
        <v>764</v>
      </c>
      <c r="C495" s="263" t="n">
        <v>416500</v>
      </c>
      <c r="D495" s="164" t="n">
        <v>218000</v>
      </c>
      <c r="E495" s="164" t="n">
        <f aca="false">C495+D495</f>
        <v>634500</v>
      </c>
    </row>
    <row r="496" customFormat="false" ht="15" hidden="false" customHeight="false" outlineLevel="0" collapsed="false">
      <c r="A496" s="95" t="n">
        <v>8</v>
      </c>
      <c r="B496" s="116" t="s">
        <v>765</v>
      </c>
      <c r="C496" s="263" t="n">
        <v>0</v>
      </c>
      <c r="D496" s="116" t="n">
        <v>0</v>
      </c>
      <c r="E496" s="164" t="n">
        <f aca="false">C496+D496</f>
        <v>0</v>
      </c>
    </row>
    <row r="497" customFormat="false" ht="15" hidden="false" customHeight="false" outlineLevel="0" collapsed="false">
      <c r="A497" s="95" t="n">
        <v>9</v>
      </c>
      <c r="B497" s="116" t="s">
        <v>766</v>
      </c>
      <c r="C497" s="263" t="n">
        <v>416500</v>
      </c>
      <c r="D497" s="164" t="n">
        <v>216500</v>
      </c>
      <c r="E497" s="164" t="n">
        <f aca="false">C497+D497</f>
        <v>633000</v>
      </c>
    </row>
    <row r="498" customFormat="false" ht="15" hidden="false" customHeight="false" outlineLevel="0" collapsed="false">
      <c r="A498" s="95" t="n">
        <v>10</v>
      </c>
      <c r="B498" s="116" t="s">
        <v>767</v>
      </c>
      <c r="C498" s="263" t="n">
        <v>416500</v>
      </c>
      <c r="D498" s="116" t="n">
        <v>0</v>
      </c>
      <c r="E498" s="164" t="n">
        <f aca="false">C498+D498</f>
        <v>416500</v>
      </c>
    </row>
    <row r="499" customFormat="false" ht="15" hidden="false" customHeight="false" outlineLevel="0" collapsed="false">
      <c r="A499" s="95" t="n">
        <v>11</v>
      </c>
      <c r="B499" s="116" t="s">
        <v>768</v>
      </c>
      <c r="C499" s="263" t="n">
        <v>416500</v>
      </c>
      <c r="D499" s="164" t="n">
        <v>266500</v>
      </c>
      <c r="E499" s="164" t="n">
        <f aca="false">C499+D499</f>
        <v>683000</v>
      </c>
    </row>
    <row r="500" customFormat="false" ht="15" hidden="false" customHeight="false" outlineLevel="0" collapsed="false">
      <c r="A500" s="95" t="n">
        <v>12</v>
      </c>
      <c r="B500" s="116" t="s">
        <v>769</v>
      </c>
      <c r="C500" s="263" t="n">
        <v>316000</v>
      </c>
      <c r="D500" s="116" t="n">
        <v>0</v>
      </c>
      <c r="E500" s="164" t="n">
        <f aca="false">C500+D500</f>
        <v>316000</v>
      </c>
    </row>
    <row r="501" customFormat="false" ht="15" hidden="false" customHeight="false" outlineLevel="0" collapsed="false">
      <c r="A501" s="95" t="n">
        <v>13</v>
      </c>
      <c r="B501" s="116" t="s">
        <v>770</v>
      </c>
      <c r="C501" s="263" t="n">
        <v>416500</v>
      </c>
      <c r="D501" s="164" t="n">
        <v>100000</v>
      </c>
      <c r="E501" s="164" t="n">
        <f aca="false">C501+D501</f>
        <v>516500</v>
      </c>
    </row>
    <row r="502" customFormat="false" ht="15" hidden="false" customHeight="false" outlineLevel="0" collapsed="false">
      <c r="A502" s="95" t="n">
        <v>14</v>
      </c>
      <c r="B502" s="116" t="s">
        <v>771</v>
      </c>
      <c r="C502" s="263" t="n">
        <v>282500</v>
      </c>
      <c r="D502" s="116" t="n">
        <v>0</v>
      </c>
      <c r="E502" s="164" t="n">
        <f aca="false">C502+D502</f>
        <v>282500</v>
      </c>
    </row>
    <row r="503" customFormat="false" ht="15" hidden="false" customHeight="false" outlineLevel="0" collapsed="false">
      <c r="A503" s="95" t="n">
        <v>15</v>
      </c>
      <c r="B503" s="116" t="s">
        <v>772</v>
      </c>
      <c r="C503" s="263" t="n">
        <v>416500</v>
      </c>
      <c r="D503" s="116" t="n">
        <v>500</v>
      </c>
      <c r="E503" s="164" t="n">
        <f aca="false">C503+D503</f>
        <v>417000</v>
      </c>
    </row>
    <row r="504" customFormat="false" ht="17.35" hidden="false" customHeight="false" outlineLevel="0" collapsed="false">
      <c r="A504" s="112"/>
      <c r="B504" s="100" t="s">
        <v>22</v>
      </c>
      <c r="C504" s="264" t="n">
        <f aca="false">SUM(C490:C503)</f>
        <v>4540000</v>
      </c>
      <c r="D504" s="264" t="n">
        <f aca="false">SUM(D490:D503)</f>
        <v>1138000</v>
      </c>
      <c r="E504" s="264" t="n">
        <f aca="false">SUM(E490:E503)</f>
        <v>5678000</v>
      </c>
    </row>
    <row r="506" customFormat="false" ht="17.35" hidden="false" customHeight="false" outlineLevel="0" collapsed="false">
      <c r="A506" s="108"/>
      <c r="B506" s="2" t="s">
        <v>0</v>
      </c>
    </row>
    <row r="507" customFormat="false" ht="15" hidden="false" customHeight="false" outlineLevel="0" collapsed="false">
      <c r="A507" s="104"/>
    </row>
    <row r="508" customFormat="false" ht="17.35" hidden="false" customHeight="false" outlineLevel="0" collapsed="false">
      <c r="A508" s="104"/>
      <c r="B508" s="91" t="s">
        <v>314</v>
      </c>
    </row>
    <row r="509" customFormat="false" ht="15" hidden="false" customHeight="false" outlineLevel="0" collapsed="false">
      <c r="A509" s="104"/>
      <c r="B509" s="4" t="s">
        <v>788</v>
      </c>
    </row>
    <row r="510" customFormat="false" ht="15" hidden="false" customHeight="false" outlineLevel="0" collapsed="false">
      <c r="A510" s="104"/>
    </row>
    <row r="511" customFormat="false" ht="15" hidden="false" customHeight="false" outlineLevel="0" collapsed="false">
      <c r="A511" s="92" t="s">
        <v>4</v>
      </c>
      <c r="B511" s="93" t="s">
        <v>285</v>
      </c>
      <c r="C511" s="10" t="s">
        <v>8</v>
      </c>
    </row>
    <row r="512" customFormat="false" ht="15" hidden="false" customHeight="false" outlineLevel="0" collapsed="false">
      <c r="A512" s="95" t="n">
        <v>1</v>
      </c>
      <c r="B512" s="116" t="s">
        <v>789</v>
      </c>
      <c r="C512" s="97" t="e">
        <f aca="false">#REF!-#REF!</f>
        <v>#REF!</v>
      </c>
    </row>
    <row r="513" customFormat="false" ht="15" hidden="false" customHeight="false" outlineLevel="0" collapsed="false">
      <c r="A513" s="95" t="n">
        <v>2</v>
      </c>
      <c r="B513" s="116" t="s">
        <v>790</v>
      </c>
      <c r="C513" s="97" t="e">
        <f aca="false">#REF!-#REF!</f>
        <v>#REF!</v>
      </c>
    </row>
    <row r="514" customFormat="false" ht="15" hidden="false" customHeight="false" outlineLevel="0" collapsed="false">
      <c r="A514" s="95" t="n">
        <v>3</v>
      </c>
      <c r="B514" s="116" t="s">
        <v>791</v>
      </c>
      <c r="C514" s="97" t="e">
        <f aca="false">#REF!-#REF!</f>
        <v>#REF!</v>
      </c>
    </row>
    <row r="515" customFormat="false" ht="17.35" hidden="false" customHeight="false" outlineLevel="0" collapsed="false">
      <c r="A515" s="112"/>
      <c r="B515" s="100" t="s">
        <v>22</v>
      </c>
      <c r="C515" s="103" t="e">
        <f aca="false">SUM(C512:C514)</f>
        <v>#REF!</v>
      </c>
    </row>
    <row r="516" customFormat="false" ht="15" hidden="false" customHeight="false" outlineLevel="0" collapsed="false">
      <c r="A516" s="104"/>
    </row>
    <row r="518" customFormat="false" ht="17.35" hidden="false" customHeight="false" outlineLevel="0" collapsed="false">
      <c r="A518" s="108"/>
      <c r="B518" s="2" t="s">
        <v>0</v>
      </c>
    </row>
    <row r="519" customFormat="false" ht="15" hidden="false" customHeight="false" outlineLevel="0" collapsed="false">
      <c r="A519" s="104"/>
    </row>
    <row r="520" customFormat="false" ht="17.35" hidden="false" customHeight="false" outlineLevel="0" collapsed="false">
      <c r="A520" s="104"/>
      <c r="B520" s="91" t="s">
        <v>283</v>
      </c>
    </row>
    <row r="521" customFormat="false" ht="15" hidden="false" customHeight="false" outlineLevel="0" collapsed="false">
      <c r="A521" s="104"/>
      <c r="B521" s="4" t="s">
        <v>802</v>
      </c>
    </row>
    <row r="522" customFormat="false" ht="15" hidden="false" customHeight="false" outlineLevel="0" collapsed="false">
      <c r="A522" s="104"/>
    </row>
    <row r="523" customFormat="false" ht="15" hidden="false" customHeight="false" outlineLevel="0" collapsed="false">
      <c r="A523" s="92" t="s">
        <v>4</v>
      </c>
      <c r="B523" s="93" t="s">
        <v>285</v>
      </c>
      <c r="C523" s="10" t="s">
        <v>8</v>
      </c>
    </row>
    <row r="524" customFormat="false" ht="15" hidden="false" customHeight="false" outlineLevel="0" collapsed="false">
      <c r="A524" s="95" t="n">
        <v>1</v>
      </c>
      <c r="B524" s="116" t="s">
        <v>803</v>
      </c>
      <c r="C524" s="97" t="e">
        <f aca="false">#REF!-#REF!</f>
        <v>#REF!</v>
      </c>
    </row>
    <row r="525" customFormat="false" ht="15" hidden="false" customHeight="false" outlineLevel="0" collapsed="false">
      <c r="A525" s="95" t="n">
        <v>2</v>
      </c>
      <c r="B525" s="116" t="s">
        <v>978</v>
      </c>
      <c r="C525" s="97" t="e">
        <f aca="false">#REF!-#REF!</f>
        <v>#REF!</v>
      </c>
    </row>
    <row r="526" customFormat="false" ht="15" hidden="false" customHeight="false" outlineLevel="0" collapsed="false">
      <c r="A526" s="95" t="n">
        <v>3</v>
      </c>
      <c r="B526" s="116" t="s">
        <v>805</v>
      </c>
      <c r="C526" s="97" t="e">
        <f aca="false">#REF!-#REF!</f>
        <v>#REF!</v>
      </c>
    </row>
    <row r="527" customFormat="false" ht="15" hidden="false" customHeight="false" outlineLevel="0" collapsed="false">
      <c r="A527" s="95" t="n">
        <v>4</v>
      </c>
      <c r="B527" s="116" t="s">
        <v>806</v>
      </c>
      <c r="C527" s="97" t="e">
        <f aca="false">#REF!-#REF!</f>
        <v>#REF!</v>
      </c>
    </row>
    <row r="528" customFormat="false" ht="15" hidden="false" customHeight="false" outlineLevel="0" collapsed="false">
      <c r="A528" s="95" t="n">
        <v>5</v>
      </c>
      <c r="B528" s="116" t="s">
        <v>807</v>
      </c>
      <c r="C528" s="97" t="e">
        <f aca="false">#REF!-#REF!</f>
        <v>#REF!</v>
      </c>
    </row>
    <row r="529" customFormat="false" ht="15" hidden="false" customHeight="false" outlineLevel="0" collapsed="false">
      <c r="A529" s="154" t="n">
        <v>6</v>
      </c>
      <c r="B529" s="116" t="s">
        <v>808</v>
      </c>
      <c r="C529" s="97" t="e">
        <f aca="false">#REF!-#REF!</f>
        <v>#REF!</v>
      </c>
    </row>
    <row r="530" customFormat="false" ht="17.35" hidden="false" customHeight="false" outlineLevel="0" collapsed="false">
      <c r="A530" s="112"/>
      <c r="B530" s="100" t="s">
        <v>22</v>
      </c>
      <c r="C530" s="103" t="e">
        <f aca="false">SUM(C524:C529)</f>
        <v>#REF!</v>
      </c>
    </row>
    <row r="53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400"/>
  <sheetViews>
    <sheetView showFormulas="false" showGridLines="true" showRowColHeaders="true" showZeros="true" rightToLeft="false" tabSelected="false" showOutlineSymbols="true" defaultGridColor="true" view="pageBreakPreview" topLeftCell="A269" colorId="64" zoomScale="100" zoomScaleNormal="100" zoomScalePageLayoutView="100" workbookViewId="0">
      <selection pane="topLeft" activeCell="I378" activeCellId="0" sqref="I37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6.71"/>
  </cols>
  <sheetData>
    <row r="3" customFormat="false" ht="17.35" hidden="false" customHeight="false" outlineLevel="0" collapsed="false">
      <c r="A3" s="2"/>
      <c r="B3" s="2" t="s">
        <v>0</v>
      </c>
    </row>
    <row r="5" customFormat="false" ht="17.25" hidden="false" customHeight="false" outlineLevel="0" collapsed="false">
      <c r="B5" s="3" t="s">
        <v>1</v>
      </c>
    </row>
    <row r="7" customFormat="false" ht="17.35" hidden="false" customHeight="false" outlineLevel="0" collapsed="false">
      <c r="B7" s="91" t="s">
        <v>283</v>
      </c>
    </row>
    <row r="8" customFormat="false" ht="15" hidden="false" customHeight="false" outlineLevel="0" collapsed="false">
      <c r="B8" s="4" t="s">
        <v>284</v>
      </c>
    </row>
    <row r="10" customFormat="false" ht="15" hidden="false" customHeight="false" outlineLevel="0" collapsed="false">
      <c r="A10" s="92" t="s">
        <v>4</v>
      </c>
      <c r="B10" s="93" t="s">
        <v>285</v>
      </c>
    </row>
    <row r="11" customFormat="false" ht="15" hidden="false" customHeight="false" outlineLevel="0" collapsed="false">
      <c r="A11" s="95" t="n">
        <v>1</v>
      </c>
      <c r="B11" s="73" t="s">
        <v>286</v>
      </c>
    </row>
    <row r="12" customFormat="false" ht="15" hidden="false" customHeight="false" outlineLevel="0" collapsed="false">
      <c r="A12" s="95" t="n">
        <v>2</v>
      </c>
      <c r="B12" s="73" t="s">
        <v>287</v>
      </c>
    </row>
    <row r="13" customFormat="false" ht="15" hidden="false" customHeight="false" outlineLevel="0" collapsed="false">
      <c r="A13" s="95" t="n">
        <v>3</v>
      </c>
      <c r="B13" s="73" t="s">
        <v>964</v>
      </c>
    </row>
    <row r="14" customFormat="false" ht="15" hidden="false" customHeight="false" outlineLevel="0" collapsed="false">
      <c r="A14" s="95" t="n">
        <v>4</v>
      </c>
      <c r="B14" s="73" t="s">
        <v>288</v>
      </c>
    </row>
    <row r="15" customFormat="false" ht="15" hidden="false" customHeight="false" outlineLevel="0" collapsed="false">
      <c r="A15" s="95" t="n">
        <v>5</v>
      </c>
      <c r="B15" s="73" t="s">
        <v>289</v>
      </c>
    </row>
    <row r="16" customFormat="false" ht="15" hidden="false" customHeight="false" outlineLevel="0" collapsed="false">
      <c r="A16" s="95" t="n">
        <v>6</v>
      </c>
      <c r="B16" s="73" t="s">
        <v>290</v>
      </c>
    </row>
    <row r="17" customFormat="false" ht="15" hidden="false" customHeight="false" outlineLevel="0" collapsed="false">
      <c r="A17" s="95" t="n">
        <v>7</v>
      </c>
      <c r="B17" s="73" t="s">
        <v>291</v>
      </c>
    </row>
    <row r="18" customFormat="false" ht="15" hidden="false" customHeight="false" outlineLevel="0" collapsed="false">
      <c r="A18" s="95" t="n">
        <v>8</v>
      </c>
      <c r="B18" s="73" t="s">
        <v>292</v>
      </c>
    </row>
    <row r="19" customFormat="false" ht="15" hidden="false" customHeight="false" outlineLevel="0" collapsed="false">
      <c r="A19" s="95" t="n">
        <v>9</v>
      </c>
      <c r="B19" s="73" t="s">
        <v>293</v>
      </c>
    </row>
    <row r="20" customFormat="false" ht="15" hidden="false" customHeight="false" outlineLevel="0" collapsed="false">
      <c r="A20" s="95" t="n">
        <v>10</v>
      </c>
      <c r="B20" s="73" t="s">
        <v>294</v>
      </c>
    </row>
    <row r="21" customFormat="false" ht="15" hidden="false" customHeight="false" outlineLevel="0" collapsed="false">
      <c r="A21" s="95" t="n">
        <v>11</v>
      </c>
      <c r="B21" s="73" t="s">
        <v>295</v>
      </c>
    </row>
    <row r="22" customFormat="false" ht="15" hidden="false" customHeight="false" outlineLevel="0" collapsed="false">
      <c r="A22" s="95" t="n">
        <v>12</v>
      </c>
      <c r="B22" s="73" t="s">
        <v>296</v>
      </c>
    </row>
    <row r="23" customFormat="false" ht="15" hidden="false" customHeight="false" outlineLevel="0" collapsed="false">
      <c r="A23" s="95" t="n">
        <v>13</v>
      </c>
      <c r="B23" s="73" t="s">
        <v>297</v>
      </c>
    </row>
    <row r="24" customFormat="false" ht="15" hidden="false" customHeight="false" outlineLevel="0" collapsed="false">
      <c r="A24" s="95" t="n">
        <v>14</v>
      </c>
      <c r="B24" s="73" t="s">
        <v>298</v>
      </c>
    </row>
    <row r="25" customFormat="false" ht="15" hidden="false" customHeight="false" outlineLevel="0" collapsed="false">
      <c r="A25" s="95" t="n">
        <v>15</v>
      </c>
      <c r="B25" s="73" t="s">
        <v>299</v>
      </c>
    </row>
    <row r="26" customFormat="false" ht="15" hidden="false" customHeight="false" outlineLevel="0" collapsed="false">
      <c r="A26" s="95" t="n">
        <v>16</v>
      </c>
      <c r="B26" s="73" t="s">
        <v>300</v>
      </c>
    </row>
    <row r="27" customFormat="false" ht="15" hidden="false" customHeight="false" outlineLevel="0" collapsed="false">
      <c r="A27" s="95" t="n">
        <v>17</v>
      </c>
      <c r="B27" s="73" t="s">
        <v>301</v>
      </c>
    </row>
    <row r="28" customFormat="false" ht="15" hidden="false" customHeight="false" outlineLevel="0" collapsed="false">
      <c r="A28" s="95" t="n">
        <v>18</v>
      </c>
      <c r="B28" s="73" t="s">
        <v>302</v>
      </c>
    </row>
    <row r="29" customFormat="false" ht="15" hidden="false" customHeight="false" outlineLevel="0" collapsed="false">
      <c r="A29" s="95" t="n">
        <v>19</v>
      </c>
      <c r="B29" s="73" t="s">
        <v>303</v>
      </c>
    </row>
    <row r="30" customFormat="false" ht="15" hidden="false" customHeight="false" outlineLevel="0" collapsed="false">
      <c r="A30" s="95" t="n">
        <v>20</v>
      </c>
      <c r="B30" s="73" t="s">
        <v>304</v>
      </c>
    </row>
    <row r="31" customFormat="false" ht="15" hidden="false" customHeight="false" outlineLevel="0" collapsed="false">
      <c r="A31" s="95" t="n">
        <v>21</v>
      </c>
      <c r="B31" s="73" t="s">
        <v>305</v>
      </c>
    </row>
    <row r="32" customFormat="false" ht="15" hidden="false" customHeight="false" outlineLevel="0" collapsed="false">
      <c r="A32" s="95" t="n">
        <v>22</v>
      </c>
      <c r="B32" s="73" t="s">
        <v>306</v>
      </c>
    </row>
    <row r="33" customFormat="false" ht="15" hidden="false" customHeight="false" outlineLevel="0" collapsed="false">
      <c r="A33" s="95" t="n">
        <v>23</v>
      </c>
      <c r="B33" s="98" t="s">
        <v>307</v>
      </c>
    </row>
    <row r="34" customFormat="false" ht="15" hidden="false" customHeight="false" outlineLevel="0" collapsed="false">
      <c r="A34" s="95" t="n">
        <v>24</v>
      </c>
      <c r="B34" s="73" t="s">
        <v>308</v>
      </c>
    </row>
    <row r="35" customFormat="false" ht="15" hidden="false" customHeight="false" outlineLevel="0" collapsed="false">
      <c r="A35" s="95" t="n">
        <v>25</v>
      </c>
      <c r="B35" s="73" t="s">
        <v>309</v>
      </c>
    </row>
    <row r="36" customFormat="false" ht="15" hidden="false" customHeight="false" outlineLevel="0" collapsed="false">
      <c r="A36" s="95" t="n">
        <v>26</v>
      </c>
      <c r="B36" s="73" t="s">
        <v>310</v>
      </c>
    </row>
    <row r="37" customFormat="false" ht="15" hidden="false" customHeight="false" outlineLevel="0" collapsed="false">
      <c r="A37" s="95" t="n">
        <v>27</v>
      </c>
      <c r="B37" s="73" t="s">
        <v>311</v>
      </c>
    </row>
    <row r="38" customFormat="false" ht="15" hidden="false" customHeight="false" outlineLevel="0" collapsed="false">
      <c r="A38" s="95" t="n">
        <v>28</v>
      </c>
      <c r="B38" s="73" t="s">
        <v>312</v>
      </c>
    </row>
    <row r="39" customFormat="false" ht="15" hidden="false" customHeight="false" outlineLevel="0" collapsed="false">
      <c r="A39" s="95" t="n">
        <v>29</v>
      </c>
      <c r="B39" s="99" t="s">
        <v>313</v>
      </c>
    </row>
    <row r="40" customFormat="false" ht="17.35" hidden="false" customHeight="false" outlineLevel="0" collapsed="false">
      <c r="A40" s="112"/>
      <c r="B40" s="100" t="s">
        <v>22</v>
      </c>
    </row>
    <row r="43" customFormat="false" ht="17.35" hidden="false" customHeight="false" outlineLevel="0" collapsed="false">
      <c r="A43" s="108"/>
      <c r="B43" s="2" t="s">
        <v>0</v>
      </c>
    </row>
    <row r="44" customFormat="false" ht="15" hidden="false" customHeight="false" outlineLevel="0" collapsed="false">
      <c r="A44" s="104"/>
    </row>
    <row r="45" customFormat="false" ht="17.25" hidden="false" customHeight="false" outlineLevel="0" collapsed="false">
      <c r="A45" s="104"/>
      <c r="B45" s="3" t="s">
        <v>1</v>
      </c>
    </row>
    <row r="46" customFormat="false" ht="15" hidden="false" customHeight="false" outlineLevel="0" collapsed="false">
      <c r="A46" s="104"/>
    </row>
    <row r="47" customFormat="false" ht="17.35" hidden="false" customHeight="false" outlineLevel="0" collapsed="false">
      <c r="A47" s="104"/>
      <c r="B47" s="91" t="s">
        <v>314</v>
      </c>
    </row>
    <row r="48" customFormat="false" ht="15" hidden="false" customHeight="false" outlineLevel="0" collapsed="false">
      <c r="A48" s="104"/>
      <c r="B48" s="4" t="s">
        <v>284</v>
      </c>
    </row>
    <row r="49" customFormat="false" ht="15" hidden="false" customHeight="false" outlineLevel="0" collapsed="false">
      <c r="A49" s="104"/>
    </row>
    <row r="50" customFormat="false" ht="15" hidden="false" customHeight="false" outlineLevel="0" collapsed="false">
      <c r="A50" s="92" t="s">
        <v>4</v>
      </c>
      <c r="B50" s="93" t="s">
        <v>285</v>
      </c>
    </row>
    <row r="51" customFormat="false" ht="15" hidden="false" customHeight="false" outlineLevel="0" collapsed="false">
      <c r="A51" s="95" t="n">
        <v>1</v>
      </c>
      <c r="B51" s="73" t="s">
        <v>315</v>
      </c>
    </row>
    <row r="52" customFormat="false" ht="15" hidden="false" customHeight="false" outlineLevel="0" collapsed="false">
      <c r="A52" s="95" t="n">
        <v>2</v>
      </c>
      <c r="B52" s="73" t="s">
        <v>316</v>
      </c>
    </row>
    <row r="53" customFormat="false" ht="15" hidden="false" customHeight="false" outlineLevel="0" collapsed="false">
      <c r="A53" s="95" t="n">
        <v>3</v>
      </c>
      <c r="B53" s="73" t="s">
        <v>317</v>
      </c>
    </row>
    <row r="54" customFormat="false" ht="15" hidden="false" customHeight="false" outlineLevel="0" collapsed="false">
      <c r="A54" s="95" t="n">
        <v>4</v>
      </c>
      <c r="B54" s="73" t="s">
        <v>318</v>
      </c>
    </row>
    <row r="55" customFormat="false" ht="15" hidden="false" customHeight="false" outlineLevel="0" collapsed="false">
      <c r="A55" s="95" t="n">
        <v>5</v>
      </c>
      <c r="B55" s="73" t="s">
        <v>966</v>
      </c>
    </row>
    <row r="56" customFormat="false" ht="15" hidden="false" customHeight="false" outlineLevel="0" collapsed="false">
      <c r="A56" s="95" t="n">
        <v>6</v>
      </c>
      <c r="B56" s="109" t="s">
        <v>320</v>
      </c>
    </row>
    <row r="57" customFormat="false" ht="15" hidden="false" customHeight="false" outlineLevel="0" collapsed="false">
      <c r="A57" s="95" t="n">
        <v>7</v>
      </c>
      <c r="B57" s="73" t="s">
        <v>967</v>
      </c>
    </row>
    <row r="58" customFormat="false" ht="15" hidden="false" customHeight="false" outlineLevel="0" collapsed="false">
      <c r="A58" s="95" t="n">
        <v>8</v>
      </c>
      <c r="B58" s="73" t="s">
        <v>322</v>
      </c>
    </row>
    <row r="59" customFormat="false" ht="15" hidden="false" customHeight="false" outlineLevel="0" collapsed="false">
      <c r="A59" s="95" t="n">
        <v>9</v>
      </c>
      <c r="B59" s="73" t="s">
        <v>323</v>
      </c>
    </row>
    <row r="60" customFormat="false" ht="15" hidden="false" customHeight="false" outlineLevel="0" collapsed="false">
      <c r="A60" s="95" t="n">
        <v>10</v>
      </c>
      <c r="B60" s="73" t="s">
        <v>324</v>
      </c>
    </row>
    <row r="61" customFormat="false" ht="15" hidden="false" customHeight="false" outlineLevel="0" collapsed="false">
      <c r="A61" s="95" t="n">
        <v>11</v>
      </c>
      <c r="B61" s="73" t="s">
        <v>325</v>
      </c>
    </row>
    <row r="62" customFormat="false" ht="15" hidden="false" customHeight="false" outlineLevel="0" collapsed="false">
      <c r="A62" s="95" t="n">
        <v>12</v>
      </c>
      <c r="B62" s="73" t="s">
        <v>326</v>
      </c>
    </row>
    <row r="63" customFormat="false" ht="15" hidden="false" customHeight="false" outlineLevel="0" collapsed="false">
      <c r="A63" s="95" t="n">
        <v>13</v>
      </c>
      <c r="B63" s="73" t="s">
        <v>327</v>
      </c>
    </row>
    <row r="64" customFormat="false" ht="15" hidden="false" customHeight="false" outlineLevel="0" collapsed="false">
      <c r="A64" s="95" t="n">
        <v>14</v>
      </c>
      <c r="B64" s="73" t="s">
        <v>328</v>
      </c>
    </row>
    <row r="65" customFormat="false" ht="15" hidden="false" customHeight="false" outlineLevel="0" collapsed="false">
      <c r="A65" s="95" t="n">
        <v>15</v>
      </c>
      <c r="B65" s="73" t="s">
        <v>329</v>
      </c>
    </row>
    <row r="66" customFormat="false" ht="15" hidden="false" customHeight="false" outlineLevel="0" collapsed="false">
      <c r="A66" s="95" t="n">
        <v>16</v>
      </c>
      <c r="B66" s="73" t="s">
        <v>330</v>
      </c>
    </row>
    <row r="67" customFormat="false" ht="15" hidden="false" customHeight="false" outlineLevel="0" collapsed="false">
      <c r="A67" s="95" t="n">
        <v>17</v>
      </c>
      <c r="B67" s="73" t="s">
        <v>331</v>
      </c>
    </row>
    <row r="68" customFormat="false" ht="15" hidden="false" customHeight="false" outlineLevel="0" collapsed="false">
      <c r="A68" s="95" t="n">
        <v>18</v>
      </c>
      <c r="B68" s="73" t="s">
        <v>332</v>
      </c>
    </row>
    <row r="69" customFormat="false" ht="15" hidden="false" customHeight="false" outlineLevel="0" collapsed="false">
      <c r="A69" s="95" t="n">
        <v>19</v>
      </c>
      <c r="B69" s="73" t="s">
        <v>333</v>
      </c>
    </row>
    <row r="70" customFormat="false" ht="15" hidden="false" customHeight="false" outlineLevel="0" collapsed="false">
      <c r="A70" s="95" t="n">
        <v>20</v>
      </c>
      <c r="B70" s="73" t="s">
        <v>334</v>
      </c>
    </row>
    <row r="71" customFormat="false" ht="15" hidden="false" customHeight="false" outlineLevel="0" collapsed="false">
      <c r="A71" s="95" t="n">
        <v>21</v>
      </c>
      <c r="B71" s="73" t="s">
        <v>335</v>
      </c>
    </row>
    <row r="72" customFormat="false" ht="15" hidden="false" customHeight="false" outlineLevel="0" collapsed="false">
      <c r="A72" s="95" t="n">
        <v>22</v>
      </c>
      <c r="B72" s="73" t="s">
        <v>336</v>
      </c>
    </row>
    <row r="73" customFormat="false" ht="15" hidden="false" customHeight="false" outlineLevel="0" collapsed="false">
      <c r="A73" s="95" t="n">
        <v>23</v>
      </c>
      <c r="B73" s="73" t="s">
        <v>337</v>
      </c>
    </row>
    <row r="74" customFormat="false" ht="15" hidden="false" customHeight="false" outlineLevel="0" collapsed="false">
      <c r="A74" s="95" t="n">
        <v>24</v>
      </c>
      <c r="B74" s="98" t="s">
        <v>338</v>
      </c>
    </row>
    <row r="75" customFormat="false" ht="15" hidden="false" customHeight="false" outlineLevel="0" collapsed="false">
      <c r="A75" s="95" t="n">
        <v>25</v>
      </c>
      <c r="B75" s="73" t="s">
        <v>339</v>
      </c>
    </row>
    <row r="76" customFormat="false" ht="15" hidden="false" customHeight="false" outlineLevel="0" collapsed="false">
      <c r="A76" s="95" t="n">
        <v>26</v>
      </c>
      <c r="B76" s="73" t="s">
        <v>340</v>
      </c>
    </row>
    <row r="77" customFormat="false" ht="15" hidden="false" customHeight="false" outlineLevel="0" collapsed="false">
      <c r="A77" s="95" t="n">
        <v>27</v>
      </c>
      <c r="B77" s="73" t="s">
        <v>341</v>
      </c>
    </row>
    <row r="78" customFormat="false" ht="15" hidden="false" customHeight="false" outlineLevel="0" collapsed="false">
      <c r="A78" s="95" t="n">
        <v>28</v>
      </c>
      <c r="B78" s="98" t="s">
        <v>342</v>
      </c>
    </row>
    <row r="79" customFormat="false" ht="15" hidden="false" customHeight="false" outlineLevel="0" collapsed="false">
      <c r="A79" s="95" t="n">
        <v>29</v>
      </c>
      <c r="B79" s="73" t="s">
        <v>343</v>
      </c>
    </row>
    <row r="80" customFormat="false" ht="15" hidden="false" customHeight="false" outlineLevel="0" collapsed="false">
      <c r="A80" s="95" t="n">
        <v>30</v>
      </c>
      <c r="B80" s="73" t="s">
        <v>344</v>
      </c>
    </row>
    <row r="81" customFormat="false" ht="15" hidden="false" customHeight="false" outlineLevel="0" collapsed="false">
      <c r="A81" s="95" t="n">
        <v>31</v>
      </c>
      <c r="B81" s="98" t="s">
        <v>345</v>
      </c>
    </row>
    <row r="82" customFormat="false" ht="15" hidden="false" customHeight="false" outlineLevel="0" collapsed="false">
      <c r="A82" s="95" t="n">
        <v>32</v>
      </c>
      <c r="B82" s="73" t="s">
        <v>346</v>
      </c>
    </row>
    <row r="83" customFormat="false" ht="15" hidden="false" customHeight="false" outlineLevel="0" collapsed="false">
      <c r="A83" s="95" t="n">
        <v>33</v>
      </c>
      <c r="B83" s="73" t="s">
        <v>347</v>
      </c>
    </row>
    <row r="84" customFormat="false" ht="15" hidden="false" customHeight="false" outlineLevel="0" collapsed="false">
      <c r="A84" s="95" t="n">
        <v>34</v>
      </c>
      <c r="B84" s="128" t="s">
        <v>348</v>
      </c>
    </row>
    <row r="85" customFormat="false" ht="15" hidden="false" customHeight="false" outlineLevel="0" collapsed="false">
      <c r="A85" s="95" t="n">
        <v>35</v>
      </c>
      <c r="B85" s="73" t="s">
        <v>350</v>
      </c>
    </row>
    <row r="86" customFormat="false" ht="17.35" hidden="false" customHeight="false" outlineLevel="0" collapsed="false">
      <c r="A86" s="112"/>
      <c r="B86" s="100" t="s">
        <v>22</v>
      </c>
    </row>
    <row r="89" customFormat="false" ht="17.35" hidden="false" customHeight="false" outlineLevel="0" collapsed="false">
      <c r="A89" s="104"/>
      <c r="B89" s="2" t="s">
        <v>0</v>
      </c>
    </row>
    <row r="90" customFormat="false" ht="15" hidden="false" customHeight="false" outlineLevel="0" collapsed="false">
      <c r="A90" s="104"/>
    </row>
    <row r="91" customFormat="false" ht="17.35" hidden="false" customHeight="false" outlineLevel="0" collapsed="false">
      <c r="A91" s="104"/>
      <c r="B91" s="91" t="s">
        <v>283</v>
      </c>
    </row>
    <row r="92" customFormat="false" ht="15" hidden="false" customHeight="false" outlineLevel="0" collapsed="false">
      <c r="A92" s="104"/>
      <c r="B92" s="4" t="s">
        <v>392</v>
      </c>
    </row>
    <row r="93" customFormat="false" ht="15" hidden="false" customHeight="false" outlineLevel="0" collapsed="false">
      <c r="A93" s="104"/>
    </row>
    <row r="94" customFormat="false" ht="15" hidden="false" customHeight="false" outlineLevel="0" collapsed="false">
      <c r="A94" s="92" t="s">
        <v>4</v>
      </c>
      <c r="B94" s="93" t="s">
        <v>285</v>
      </c>
    </row>
    <row r="95" customFormat="false" ht="15" hidden="false" customHeight="false" outlineLevel="0" collapsed="false">
      <c r="A95" s="95" t="n">
        <v>1</v>
      </c>
      <c r="B95" s="116" t="s">
        <v>393</v>
      </c>
    </row>
    <row r="96" customFormat="false" ht="15" hidden="false" customHeight="false" outlineLevel="0" collapsed="false">
      <c r="A96" s="95" t="n">
        <v>2</v>
      </c>
      <c r="B96" s="116" t="s">
        <v>395</v>
      </c>
    </row>
    <row r="97" customFormat="false" ht="15" hidden="false" customHeight="false" outlineLevel="0" collapsed="false">
      <c r="A97" s="95" t="n">
        <v>3</v>
      </c>
      <c r="B97" s="116" t="s">
        <v>396</v>
      </c>
    </row>
    <row r="98" customFormat="false" ht="15" hidden="false" customHeight="false" outlineLevel="0" collapsed="false">
      <c r="A98" s="95" t="n">
        <v>4</v>
      </c>
      <c r="B98" s="118" t="s">
        <v>397</v>
      </c>
    </row>
    <row r="99" customFormat="false" ht="15" hidden="false" customHeight="false" outlineLevel="0" collapsed="false">
      <c r="A99" s="95" t="n">
        <v>5</v>
      </c>
      <c r="B99" s="116" t="s">
        <v>398</v>
      </c>
    </row>
    <row r="100" customFormat="false" ht="15" hidden="false" customHeight="false" outlineLevel="0" collapsed="false">
      <c r="A100" s="95" t="n">
        <v>6</v>
      </c>
      <c r="B100" s="116" t="s">
        <v>399</v>
      </c>
    </row>
    <row r="101" customFormat="false" ht="15" hidden="false" customHeight="false" outlineLevel="0" collapsed="false">
      <c r="A101" s="95" t="n">
        <v>7</v>
      </c>
      <c r="B101" s="116" t="s">
        <v>400</v>
      </c>
    </row>
    <row r="102" customFormat="false" ht="15" hidden="false" customHeight="false" outlineLevel="0" collapsed="false">
      <c r="A102" s="95" t="n">
        <v>8</v>
      </c>
      <c r="B102" s="116" t="s">
        <v>401</v>
      </c>
    </row>
    <row r="103" customFormat="false" ht="15" hidden="false" customHeight="false" outlineLevel="0" collapsed="false">
      <c r="A103" s="95" t="n">
        <v>9</v>
      </c>
      <c r="B103" s="116" t="s">
        <v>402</v>
      </c>
    </row>
    <row r="104" customFormat="false" ht="15" hidden="false" customHeight="false" outlineLevel="0" collapsed="false">
      <c r="A104" s="95" t="n">
        <v>10</v>
      </c>
      <c r="B104" s="116" t="s">
        <v>403</v>
      </c>
    </row>
    <row r="105" customFormat="false" ht="15" hidden="false" customHeight="false" outlineLevel="0" collapsed="false">
      <c r="A105" s="95" t="n">
        <v>11</v>
      </c>
      <c r="B105" s="116" t="s">
        <v>404</v>
      </c>
    </row>
    <row r="106" customFormat="false" ht="15" hidden="false" customHeight="false" outlineLevel="0" collapsed="false">
      <c r="A106" s="95" t="n">
        <v>12</v>
      </c>
      <c r="B106" s="116" t="s">
        <v>405</v>
      </c>
    </row>
    <row r="107" customFormat="false" ht="15" hidden="false" customHeight="false" outlineLevel="0" collapsed="false">
      <c r="A107" s="95" t="n">
        <v>13</v>
      </c>
      <c r="B107" s="116" t="s">
        <v>406</v>
      </c>
    </row>
    <row r="108" customFormat="false" ht="15" hidden="false" customHeight="false" outlineLevel="0" collapsed="false">
      <c r="A108" s="95" t="n">
        <v>14</v>
      </c>
      <c r="B108" s="116" t="s">
        <v>407</v>
      </c>
    </row>
    <row r="109" customFormat="false" ht="15" hidden="false" customHeight="false" outlineLevel="0" collapsed="false">
      <c r="A109" s="95" t="n">
        <v>15</v>
      </c>
      <c r="B109" s="116" t="s">
        <v>408</v>
      </c>
    </row>
    <row r="110" customFormat="false" ht="15" hidden="false" customHeight="false" outlineLevel="0" collapsed="false">
      <c r="A110" s="95" t="n">
        <v>16</v>
      </c>
      <c r="B110" s="116" t="s">
        <v>409</v>
      </c>
    </row>
    <row r="111" customFormat="false" ht="15" hidden="false" customHeight="false" outlineLevel="0" collapsed="false">
      <c r="A111" s="95" t="n">
        <v>17</v>
      </c>
      <c r="B111" s="116" t="s">
        <v>410</v>
      </c>
    </row>
    <row r="112" customFormat="false" ht="15" hidden="false" customHeight="false" outlineLevel="0" collapsed="false">
      <c r="A112" s="95" t="n">
        <v>18</v>
      </c>
      <c r="B112" s="116" t="s">
        <v>411</v>
      </c>
    </row>
    <row r="113" customFormat="false" ht="15" hidden="false" customHeight="false" outlineLevel="0" collapsed="false">
      <c r="A113" s="95" t="n">
        <v>19</v>
      </c>
      <c r="B113" s="116" t="s">
        <v>412</v>
      </c>
    </row>
    <row r="114" customFormat="false" ht="15" hidden="false" customHeight="false" outlineLevel="0" collapsed="false">
      <c r="A114" s="95" t="n">
        <v>20</v>
      </c>
      <c r="B114" s="116" t="s">
        <v>413</v>
      </c>
    </row>
    <row r="115" customFormat="false" ht="15" hidden="false" customHeight="false" outlineLevel="0" collapsed="false">
      <c r="A115" s="95" t="n">
        <v>21</v>
      </c>
      <c r="B115" s="119" t="s">
        <v>414</v>
      </c>
    </row>
    <row r="116" customFormat="false" ht="15" hidden="false" customHeight="false" outlineLevel="0" collapsed="false">
      <c r="A116" s="95" t="n">
        <v>22</v>
      </c>
      <c r="B116" s="116" t="s">
        <v>415</v>
      </c>
    </row>
    <row r="117" customFormat="false" ht="15" hidden="false" customHeight="false" outlineLevel="0" collapsed="false">
      <c r="A117" s="95" t="n">
        <v>23</v>
      </c>
      <c r="B117" s="116" t="s">
        <v>416</v>
      </c>
    </row>
    <row r="118" customFormat="false" ht="15" hidden="false" customHeight="false" outlineLevel="0" collapsed="false">
      <c r="A118" s="95" t="n">
        <v>24</v>
      </c>
      <c r="B118" s="116" t="s">
        <v>417</v>
      </c>
    </row>
    <row r="119" customFormat="false" ht="15" hidden="false" customHeight="false" outlineLevel="0" collapsed="false">
      <c r="A119" s="95" t="n">
        <v>25</v>
      </c>
      <c r="B119" s="116" t="s">
        <v>418</v>
      </c>
    </row>
    <row r="120" customFormat="false" ht="15" hidden="false" customHeight="false" outlineLevel="0" collapsed="false">
      <c r="A120" s="95" t="n">
        <v>26</v>
      </c>
      <c r="B120" s="116" t="s">
        <v>419</v>
      </c>
    </row>
    <row r="121" customFormat="false" ht="15" hidden="false" customHeight="false" outlineLevel="0" collapsed="false">
      <c r="A121" s="95" t="n">
        <v>27</v>
      </c>
      <c r="B121" s="116" t="s">
        <v>420</v>
      </c>
    </row>
    <row r="122" customFormat="false" ht="15" hidden="false" customHeight="false" outlineLevel="0" collapsed="false">
      <c r="A122" s="95" t="n">
        <v>28</v>
      </c>
      <c r="B122" s="116" t="s">
        <v>421</v>
      </c>
    </row>
    <row r="123" customFormat="false" ht="15" hidden="false" customHeight="false" outlineLevel="0" collapsed="false">
      <c r="A123" s="95" t="n">
        <v>29</v>
      </c>
      <c r="B123" s="116" t="s">
        <v>422</v>
      </c>
    </row>
    <row r="124" customFormat="false" ht="15" hidden="false" customHeight="false" outlineLevel="0" collapsed="false">
      <c r="A124" s="95" t="n">
        <v>30</v>
      </c>
      <c r="B124" s="116" t="s">
        <v>423</v>
      </c>
    </row>
    <row r="125" customFormat="false" ht="15" hidden="false" customHeight="false" outlineLevel="0" collapsed="false">
      <c r="A125" s="95" t="n">
        <v>31</v>
      </c>
      <c r="B125" s="116" t="s">
        <v>424</v>
      </c>
    </row>
    <row r="126" customFormat="false" ht="19.7" hidden="false" customHeight="false" outlineLevel="0" collapsed="false">
      <c r="A126" s="95"/>
      <c r="B126" s="120" t="s">
        <v>22</v>
      </c>
    </row>
    <row r="129" customFormat="false" ht="17.35" hidden="false" customHeight="false" outlineLevel="0" collapsed="false">
      <c r="A129" s="104"/>
      <c r="B129" s="2" t="s">
        <v>0</v>
      </c>
    </row>
    <row r="130" customFormat="false" ht="15" hidden="false" customHeight="false" outlineLevel="0" collapsed="false">
      <c r="A130" s="104"/>
    </row>
    <row r="131" customFormat="false" ht="17.35" hidden="false" customHeight="false" outlineLevel="0" collapsed="false">
      <c r="A131" s="104"/>
      <c r="B131" s="91" t="s">
        <v>314</v>
      </c>
    </row>
    <row r="132" customFormat="false" ht="15" hidden="false" customHeight="false" outlineLevel="0" collapsed="false">
      <c r="A132" s="104"/>
      <c r="B132" s="4" t="s">
        <v>392</v>
      </c>
    </row>
    <row r="133" customFormat="false" ht="15" hidden="false" customHeight="false" outlineLevel="0" collapsed="false">
      <c r="A133" s="104"/>
    </row>
    <row r="134" customFormat="false" ht="15" hidden="false" customHeight="false" outlineLevel="0" collapsed="false">
      <c r="A134" s="92" t="s">
        <v>4</v>
      </c>
      <c r="B134" s="93" t="s">
        <v>285</v>
      </c>
    </row>
    <row r="135" customFormat="false" ht="15" hidden="false" customHeight="false" outlineLevel="0" collapsed="false">
      <c r="A135" s="95" t="n">
        <v>1</v>
      </c>
      <c r="B135" s="116" t="s">
        <v>425</v>
      </c>
    </row>
    <row r="136" customFormat="false" ht="15" hidden="false" customHeight="false" outlineLevel="0" collapsed="false">
      <c r="A136" s="95" t="n">
        <v>2</v>
      </c>
      <c r="B136" s="116" t="s">
        <v>426</v>
      </c>
    </row>
    <row r="137" customFormat="false" ht="15" hidden="false" customHeight="false" outlineLevel="0" collapsed="false">
      <c r="A137" s="95" t="n">
        <v>3</v>
      </c>
      <c r="B137" s="116" t="s">
        <v>427</v>
      </c>
    </row>
    <row r="138" customFormat="false" ht="15" hidden="false" customHeight="false" outlineLevel="0" collapsed="false">
      <c r="A138" s="95" t="n">
        <v>4</v>
      </c>
      <c r="B138" s="118" t="s">
        <v>428</v>
      </c>
    </row>
    <row r="139" customFormat="false" ht="15" hidden="false" customHeight="false" outlineLevel="0" collapsed="false">
      <c r="A139" s="95" t="n">
        <v>5</v>
      </c>
      <c r="B139" s="116" t="s">
        <v>429</v>
      </c>
    </row>
    <row r="140" customFormat="false" ht="15" hidden="false" customHeight="false" outlineLevel="0" collapsed="false">
      <c r="A140" s="95" t="n">
        <v>6</v>
      </c>
      <c r="B140" s="116" t="s">
        <v>430</v>
      </c>
    </row>
    <row r="141" customFormat="false" ht="15" hidden="false" customHeight="false" outlineLevel="0" collapsed="false">
      <c r="A141" s="95" t="n">
        <v>7</v>
      </c>
      <c r="B141" s="116" t="s">
        <v>431</v>
      </c>
    </row>
    <row r="142" customFormat="false" ht="15" hidden="false" customHeight="false" outlineLevel="0" collapsed="false">
      <c r="A142" s="95" t="n">
        <v>8</v>
      </c>
      <c r="B142" s="116" t="s">
        <v>432</v>
      </c>
    </row>
    <row r="143" customFormat="false" ht="15" hidden="false" customHeight="false" outlineLevel="0" collapsed="false">
      <c r="A143" s="95" t="n">
        <v>9</v>
      </c>
      <c r="B143" s="116" t="s">
        <v>433</v>
      </c>
    </row>
    <row r="144" customFormat="false" ht="15" hidden="false" customHeight="false" outlineLevel="0" collapsed="false">
      <c r="A144" s="95" t="n">
        <v>10</v>
      </c>
      <c r="B144" s="116" t="s">
        <v>434</v>
      </c>
    </row>
    <row r="145" customFormat="false" ht="15" hidden="false" customHeight="false" outlineLevel="0" collapsed="false">
      <c r="A145" s="95" t="n">
        <v>11</v>
      </c>
      <c r="B145" s="116" t="s">
        <v>435</v>
      </c>
    </row>
    <row r="146" customFormat="false" ht="15" hidden="false" customHeight="false" outlineLevel="0" collapsed="false">
      <c r="A146" s="95" t="n">
        <v>12</v>
      </c>
      <c r="B146" s="116" t="s">
        <v>969</v>
      </c>
    </row>
    <row r="147" customFormat="false" ht="15" hidden="false" customHeight="false" outlineLevel="0" collapsed="false">
      <c r="A147" s="95" t="n">
        <v>13</v>
      </c>
      <c r="B147" s="116" t="s">
        <v>437</v>
      </c>
    </row>
    <row r="148" customFormat="false" ht="15" hidden="false" customHeight="false" outlineLevel="0" collapsed="false">
      <c r="A148" s="95" t="n">
        <v>14</v>
      </c>
      <c r="B148" s="116" t="s">
        <v>438</v>
      </c>
    </row>
    <row r="149" customFormat="false" ht="15" hidden="false" customHeight="false" outlineLevel="0" collapsed="false">
      <c r="A149" s="95" t="n">
        <v>15</v>
      </c>
      <c r="B149" s="116" t="s">
        <v>439</v>
      </c>
    </row>
    <row r="150" customFormat="false" ht="15" hidden="false" customHeight="false" outlineLevel="0" collapsed="false">
      <c r="A150" s="95" t="n">
        <v>16</v>
      </c>
      <c r="B150" s="116" t="s">
        <v>440</v>
      </c>
    </row>
    <row r="151" customFormat="false" ht="15" hidden="false" customHeight="false" outlineLevel="0" collapsed="false">
      <c r="A151" s="95" t="n">
        <v>17</v>
      </c>
      <c r="B151" s="116" t="s">
        <v>441</v>
      </c>
    </row>
    <row r="152" customFormat="false" ht="15" hidden="false" customHeight="false" outlineLevel="0" collapsed="false">
      <c r="A152" s="95" t="n">
        <v>18</v>
      </c>
      <c r="B152" s="116" t="s">
        <v>442</v>
      </c>
    </row>
    <row r="153" customFormat="false" ht="15" hidden="false" customHeight="false" outlineLevel="0" collapsed="false">
      <c r="A153" s="95" t="n">
        <v>19</v>
      </c>
      <c r="B153" s="116" t="s">
        <v>443</v>
      </c>
    </row>
    <row r="154" customFormat="false" ht="15" hidden="false" customHeight="false" outlineLevel="0" collapsed="false">
      <c r="A154" s="95" t="n">
        <v>20</v>
      </c>
      <c r="B154" s="116" t="s">
        <v>444</v>
      </c>
    </row>
    <row r="155" customFormat="false" ht="15" hidden="false" customHeight="false" outlineLevel="0" collapsed="false">
      <c r="A155" s="95" t="n">
        <v>21</v>
      </c>
      <c r="B155" s="116" t="s">
        <v>445</v>
      </c>
    </row>
    <row r="156" customFormat="false" ht="15" hidden="false" customHeight="false" outlineLevel="0" collapsed="false">
      <c r="A156" s="95" t="n">
        <v>22</v>
      </c>
      <c r="B156" s="116" t="s">
        <v>446</v>
      </c>
    </row>
    <row r="157" customFormat="false" ht="15" hidden="false" customHeight="false" outlineLevel="0" collapsed="false">
      <c r="A157" s="95" t="n">
        <v>23</v>
      </c>
      <c r="B157" s="73" t="s">
        <v>447</v>
      </c>
    </row>
    <row r="158" customFormat="false" ht="15" hidden="false" customHeight="false" outlineLevel="0" collapsed="false">
      <c r="A158" s="95" t="n">
        <v>24</v>
      </c>
      <c r="B158" s="116" t="s">
        <v>448</v>
      </c>
    </row>
    <row r="159" customFormat="false" ht="15" hidden="false" customHeight="false" outlineLevel="0" collapsed="false">
      <c r="A159" s="95" t="n">
        <v>25</v>
      </c>
      <c r="B159" s="116" t="s">
        <v>449</v>
      </c>
    </row>
    <row r="160" customFormat="false" ht="15" hidden="false" customHeight="false" outlineLevel="0" collapsed="false">
      <c r="A160" s="95" t="n">
        <v>26</v>
      </c>
      <c r="B160" s="116" t="s">
        <v>450</v>
      </c>
    </row>
    <row r="161" customFormat="false" ht="15" hidden="false" customHeight="false" outlineLevel="0" collapsed="false">
      <c r="A161" s="95" t="n">
        <v>27</v>
      </c>
      <c r="B161" s="116" t="s">
        <v>451</v>
      </c>
    </row>
    <row r="162" customFormat="false" ht="15" hidden="false" customHeight="false" outlineLevel="0" collapsed="false">
      <c r="A162" s="95" t="n">
        <v>28</v>
      </c>
      <c r="B162" s="116" t="s">
        <v>452</v>
      </c>
    </row>
    <row r="163" customFormat="false" ht="15" hidden="false" customHeight="false" outlineLevel="0" collapsed="false">
      <c r="A163" s="95" t="n">
        <v>29</v>
      </c>
      <c r="B163" s="116" t="s">
        <v>453</v>
      </c>
    </row>
    <row r="164" customFormat="false" ht="15" hidden="false" customHeight="false" outlineLevel="0" collapsed="false">
      <c r="A164" s="95" t="n">
        <v>30</v>
      </c>
      <c r="B164" s="116" t="s">
        <v>454</v>
      </c>
    </row>
    <row r="165" customFormat="false" ht="15" hidden="false" customHeight="false" outlineLevel="0" collapsed="false">
      <c r="A165" s="95" t="n">
        <v>31</v>
      </c>
      <c r="B165" s="116" t="s">
        <v>455</v>
      </c>
    </row>
    <row r="166" customFormat="false" ht="15" hidden="false" customHeight="false" outlineLevel="0" collapsed="false">
      <c r="A166" s="95" t="n">
        <v>32</v>
      </c>
      <c r="B166" s="73" t="s">
        <v>456</v>
      </c>
    </row>
    <row r="167" customFormat="false" ht="15" hidden="false" customHeight="false" outlineLevel="0" collapsed="false">
      <c r="A167" s="95" t="n">
        <v>33</v>
      </c>
      <c r="B167" s="116" t="s">
        <v>457</v>
      </c>
    </row>
    <row r="168" customFormat="false" ht="15" hidden="false" customHeight="false" outlineLevel="0" collapsed="false">
      <c r="A168" s="95" t="n">
        <v>34</v>
      </c>
      <c r="B168" s="116" t="s">
        <v>458</v>
      </c>
    </row>
    <row r="169" customFormat="false" ht="15" hidden="false" customHeight="false" outlineLevel="0" collapsed="false">
      <c r="A169" s="95" t="n">
        <v>35</v>
      </c>
      <c r="B169" s="116" t="s">
        <v>459</v>
      </c>
    </row>
    <row r="170" customFormat="false" ht="15" hidden="false" customHeight="false" outlineLevel="0" collapsed="false">
      <c r="A170" s="95" t="n">
        <v>36</v>
      </c>
      <c r="B170" s="116" t="s">
        <v>460</v>
      </c>
    </row>
    <row r="171" customFormat="false" ht="15" hidden="false" customHeight="false" outlineLevel="0" collapsed="false">
      <c r="A171" s="95" t="n">
        <v>37</v>
      </c>
      <c r="B171" s="116" t="s">
        <v>461</v>
      </c>
    </row>
    <row r="172" customFormat="false" ht="15" hidden="false" customHeight="false" outlineLevel="0" collapsed="false">
      <c r="A172" s="95" t="n">
        <v>38</v>
      </c>
      <c r="B172" s="116" t="s">
        <v>462</v>
      </c>
    </row>
    <row r="173" customFormat="false" ht="15" hidden="false" customHeight="false" outlineLevel="0" collapsed="false">
      <c r="A173" s="95" t="n">
        <v>39</v>
      </c>
      <c r="B173" s="116" t="s">
        <v>463</v>
      </c>
    </row>
    <row r="174" customFormat="false" ht="17.35" hidden="false" customHeight="false" outlineLevel="0" collapsed="false">
      <c r="A174" s="112"/>
      <c r="B174" s="100" t="s">
        <v>22</v>
      </c>
    </row>
    <row r="177" customFormat="false" ht="17.35" hidden="false" customHeight="false" outlineLevel="0" collapsed="false">
      <c r="A177" s="108"/>
      <c r="B177" s="2" t="s">
        <v>0</v>
      </c>
    </row>
    <row r="178" customFormat="false" ht="15" hidden="false" customHeight="false" outlineLevel="0" collapsed="false">
      <c r="A178" s="104"/>
    </row>
    <row r="179" customFormat="false" ht="17.35" hidden="false" customHeight="false" outlineLevel="0" collapsed="false">
      <c r="A179" s="104"/>
      <c r="B179" s="91" t="s">
        <v>283</v>
      </c>
    </row>
    <row r="180" customFormat="false" ht="15" hidden="false" customHeight="false" outlineLevel="0" collapsed="false">
      <c r="A180" s="104"/>
      <c r="B180" s="4" t="s">
        <v>493</v>
      </c>
    </row>
    <row r="181" customFormat="false" ht="15" hidden="false" customHeight="false" outlineLevel="0" collapsed="false">
      <c r="A181" s="104"/>
    </row>
    <row r="182" customFormat="false" ht="15" hidden="false" customHeight="false" outlineLevel="0" collapsed="false">
      <c r="A182" s="6" t="s">
        <v>4</v>
      </c>
      <c r="B182" s="7" t="s">
        <v>5</v>
      </c>
    </row>
    <row r="183" customFormat="false" ht="15" hidden="false" customHeight="false" outlineLevel="0" collapsed="false">
      <c r="A183" s="95" t="n">
        <v>1</v>
      </c>
      <c r="B183" s="53" t="s">
        <v>494</v>
      </c>
    </row>
    <row r="184" customFormat="false" ht="15" hidden="false" customHeight="false" outlineLevel="0" collapsed="false">
      <c r="A184" s="95" t="n">
        <v>2</v>
      </c>
      <c r="B184" s="41" t="s">
        <v>496</v>
      </c>
    </row>
    <row r="185" customFormat="false" ht="15" hidden="false" customHeight="false" outlineLevel="0" collapsed="false">
      <c r="A185" s="95" t="n">
        <v>3</v>
      </c>
      <c r="B185" s="41" t="s">
        <v>497</v>
      </c>
    </row>
    <row r="186" customFormat="false" ht="15" hidden="false" customHeight="false" outlineLevel="0" collapsed="false">
      <c r="A186" s="95" t="n">
        <v>4</v>
      </c>
      <c r="B186" s="41" t="s">
        <v>499</v>
      </c>
    </row>
    <row r="187" customFormat="false" ht="15" hidden="false" customHeight="false" outlineLevel="0" collapsed="false">
      <c r="A187" s="95" t="n">
        <v>5</v>
      </c>
      <c r="B187" s="41" t="s">
        <v>501</v>
      </c>
    </row>
    <row r="188" customFormat="false" ht="15" hidden="false" customHeight="false" outlineLevel="0" collapsed="false">
      <c r="A188" s="95" t="n">
        <v>6</v>
      </c>
      <c r="B188" s="41" t="s">
        <v>502</v>
      </c>
    </row>
    <row r="189" customFormat="false" ht="15" hidden="false" customHeight="false" outlineLevel="0" collapsed="false">
      <c r="A189" s="95" t="n">
        <v>7</v>
      </c>
      <c r="B189" s="41" t="s">
        <v>970</v>
      </c>
    </row>
    <row r="190" customFormat="false" ht="15" hidden="false" customHeight="false" outlineLevel="0" collapsed="false">
      <c r="A190" s="95" t="n">
        <v>8</v>
      </c>
      <c r="B190" s="41" t="s">
        <v>971</v>
      </c>
    </row>
    <row r="191" customFormat="false" ht="15" hidden="false" customHeight="false" outlineLevel="0" collapsed="false">
      <c r="A191" s="95" t="n">
        <v>9</v>
      </c>
      <c r="B191" s="41" t="s">
        <v>507</v>
      </c>
    </row>
    <row r="192" customFormat="false" ht="15" hidden="false" customHeight="false" outlineLevel="0" collapsed="false">
      <c r="A192" s="95" t="n">
        <v>10</v>
      </c>
      <c r="B192" s="41" t="s">
        <v>498</v>
      </c>
    </row>
    <row r="193" customFormat="false" ht="15" hidden="false" customHeight="false" outlineLevel="0" collapsed="false">
      <c r="A193" s="95" t="n">
        <v>11</v>
      </c>
      <c r="B193" s="41" t="s">
        <v>500</v>
      </c>
    </row>
    <row r="194" customFormat="false" ht="15" hidden="false" customHeight="false" outlineLevel="0" collapsed="false">
      <c r="A194" s="95" t="n">
        <v>12</v>
      </c>
      <c r="B194" s="41" t="s">
        <v>503</v>
      </c>
    </row>
    <row r="195" customFormat="false" ht="15" hidden="false" customHeight="false" outlineLevel="0" collapsed="false">
      <c r="A195" s="95" t="n">
        <v>13</v>
      </c>
      <c r="B195" s="41" t="s">
        <v>508</v>
      </c>
    </row>
    <row r="196" customFormat="false" ht="15" hidden="false" customHeight="false" outlineLevel="0" collapsed="false">
      <c r="A196" s="95" t="n">
        <v>14</v>
      </c>
      <c r="B196" s="41" t="s">
        <v>509</v>
      </c>
    </row>
    <row r="197" customFormat="false" ht="15" hidden="false" customHeight="false" outlineLevel="0" collapsed="false">
      <c r="A197" s="95" t="n">
        <v>15</v>
      </c>
      <c r="B197" s="41" t="s">
        <v>511</v>
      </c>
    </row>
    <row r="198" customFormat="false" ht="15" hidden="false" customHeight="false" outlineLevel="0" collapsed="false">
      <c r="A198" s="95" t="n">
        <v>16</v>
      </c>
      <c r="B198" s="41" t="s">
        <v>510</v>
      </c>
    </row>
    <row r="199" customFormat="false" ht="15" hidden="false" customHeight="false" outlineLevel="0" collapsed="false">
      <c r="A199" s="95" t="n">
        <v>17</v>
      </c>
      <c r="B199" s="41" t="s">
        <v>495</v>
      </c>
    </row>
    <row r="200" customFormat="false" ht="15" hidden="false" customHeight="false" outlineLevel="0" collapsed="false">
      <c r="A200" s="95" t="n">
        <v>18</v>
      </c>
      <c r="B200" s="41" t="s">
        <v>513</v>
      </c>
    </row>
    <row r="201" customFormat="false" ht="15" hidden="false" customHeight="false" outlineLevel="0" collapsed="false">
      <c r="A201" s="95" t="n">
        <v>19</v>
      </c>
      <c r="B201" s="41" t="s">
        <v>512</v>
      </c>
    </row>
    <row r="202" customFormat="false" ht="15" hidden="false" customHeight="false" outlineLevel="0" collapsed="false">
      <c r="A202" s="95" t="n">
        <v>20</v>
      </c>
      <c r="B202" s="41" t="s">
        <v>515</v>
      </c>
    </row>
    <row r="203" customFormat="false" ht="15" hidden="false" customHeight="false" outlineLevel="0" collapsed="false">
      <c r="A203" s="95" t="n">
        <v>21</v>
      </c>
      <c r="B203" s="41" t="s">
        <v>516</v>
      </c>
    </row>
    <row r="204" customFormat="false" ht="15" hidden="false" customHeight="false" outlineLevel="0" collapsed="false">
      <c r="A204" s="95" t="n">
        <v>22</v>
      </c>
      <c r="B204" s="41" t="s">
        <v>517</v>
      </c>
    </row>
    <row r="205" customFormat="false" ht="15" hidden="false" customHeight="false" outlineLevel="0" collapsed="false">
      <c r="A205" s="95" t="n">
        <v>23</v>
      </c>
      <c r="B205" s="41" t="s">
        <v>514</v>
      </c>
    </row>
    <row r="206" customFormat="false" ht="15" hidden="false" customHeight="false" outlineLevel="0" collapsed="false">
      <c r="A206" s="95" t="n">
        <v>24</v>
      </c>
      <c r="B206" s="41" t="s">
        <v>518</v>
      </c>
    </row>
    <row r="207" customFormat="false" ht="15" hidden="false" customHeight="false" outlineLevel="0" collapsed="false">
      <c r="A207" s="95" t="n">
        <v>25</v>
      </c>
      <c r="B207" s="270" t="s">
        <v>519</v>
      </c>
    </row>
    <row r="208" customFormat="false" ht="15" hidden="false" customHeight="false" outlineLevel="0" collapsed="false">
      <c r="A208" s="95" t="n">
        <v>26</v>
      </c>
      <c r="B208" s="41" t="s">
        <v>520</v>
      </c>
    </row>
    <row r="209" customFormat="false" ht="15" hidden="false" customHeight="false" outlineLevel="0" collapsed="false">
      <c r="A209" s="95" t="n">
        <v>27</v>
      </c>
      <c r="B209" s="41" t="s">
        <v>522</v>
      </c>
    </row>
    <row r="210" customFormat="false" ht="15" hidden="false" customHeight="false" outlineLevel="0" collapsed="false">
      <c r="A210" s="95" t="n">
        <v>28</v>
      </c>
      <c r="B210" s="41" t="s">
        <v>521</v>
      </c>
    </row>
    <row r="211" customFormat="false" ht="15" hidden="false" customHeight="false" outlineLevel="0" collapsed="false">
      <c r="A211" s="95" t="n">
        <v>29</v>
      </c>
      <c r="B211" s="41" t="s">
        <v>523</v>
      </c>
    </row>
    <row r="212" customFormat="false" ht="15" hidden="false" customHeight="false" outlineLevel="0" collapsed="false">
      <c r="A212" s="95" t="n">
        <v>30</v>
      </c>
      <c r="B212" s="41" t="s">
        <v>972</v>
      </c>
    </row>
    <row r="213" customFormat="false" ht="15" hidden="false" customHeight="false" outlineLevel="0" collapsed="false">
      <c r="A213" s="95" t="n">
        <v>31</v>
      </c>
      <c r="B213" s="41" t="s">
        <v>525</v>
      </c>
    </row>
    <row r="214" customFormat="false" ht="15" hidden="false" customHeight="false" outlineLevel="0" collapsed="false">
      <c r="A214" s="95" t="n">
        <v>32</v>
      </c>
      <c r="B214" s="41" t="s">
        <v>526</v>
      </c>
    </row>
    <row r="215" customFormat="false" ht="15" hidden="false" customHeight="false" outlineLevel="0" collapsed="false">
      <c r="A215" s="95" t="n">
        <v>33</v>
      </c>
      <c r="B215" s="41" t="s">
        <v>527</v>
      </c>
    </row>
    <row r="216" customFormat="false" ht="17.35" hidden="false" customHeight="false" outlineLevel="0" collapsed="false">
      <c r="A216" s="16"/>
      <c r="B216" s="100" t="s">
        <v>22</v>
      </c>
    </row>
    <row r="219" customFormat="false" ht="17.35" hidden="false" customHeight="false" outlineLevel="0" collapsed="false">
      <c r="A219" s="108"/>
      <c r="B219" s="2" t="s">
        <v>0</v>
      </c>
    </row>
    <row r="220" customFormat="false" ht="15" hidden="false" customHeight="false" outlineLevel="0" collapsed="false">
      <c r="A220" s="104"/>
    </row>
    <row r="221" customFormat="false" ht="17.35" hidden="false" customHeight="false" outlineLevel="0" collapsed="false">
      <c r="A221" s="104"/>
      <c r="B221" s="91" t="s">
        <v>314</v>
      </c>
    </row>
    <row r="222" customFormat="false" ht="15" hidden="false" customHeight="false" outlineLevel="0" collapsed="false">
      <c r="A222" s="104"/>
      <c r="B222" s="4" t="s">
        <v>493</v>
      </c>
    </row>
    <row r="223" customFormat="false" ht="15" hidden="false" customHeight="false" outlineLevel="0" collapsed="false">
      <c r="A223" s="104"/>
    </row>
    <row r="224" customFormat="false" ht="15" hidden="false" customHeight="false" outlineLevel="0" collapsed="false">
      <c r="A224" s="92" t="s">
        <v>4</v>
      </c>
      <c r="B224" s="93" t="s">
        <v>285</v>
      </c>
    </row>
    <row r="225" customFormat="false" ht="15" hidden="false" customHeight="false" outlineLevel="0" collapsed="false">
      <c r="A225" s="95" t="n">
        <v>1</v>
      </c>
      <c r="B225" s="116" t="s">
        <v>528</v>
      </c>
    </row>
    <row r="226" customFormat="false" ht="15" hidden="false" customHeight="false" outlineLevel="0" collapsed="false">
      <c r="A226" s="95" t="n">
        <v>2</v>
      </c>
      <c r="B226" s="116" t="s">
        <v>529</v>
      </c>
    </row>
    <row r="227" customFormat="false" ht="15" hidden="false" customHeight="false" outlineLevel="0" collapsed="false">
      <c r="A227" s="95" t="n">
        <v>3</v>
      </c>
      <c r="B227" s="116" t="s">
        <v>530</v>
      </c>
    </row>
    <row r="228" customFormat="false" ht="15" hidden="false" customHeight="false" outlineLevel="0" collapsed="false">
      <c r="A228" s="95" t="n">
        <v>4</v>
      </c>
      <c r="B228" s="116" t="s">
        <v>531</v>
      </c>
    </row>
    <row r="229" customFormat="false" ht="15" hidden="false" customHeight="false" outlineLevel="0" collapsed="false">
      <c r="A229" s="95" t="n">
        <v>5</v>
      </c>
      <c r="B229" s="116" t="s">
        <v>532</v>
      </c>
    </row>
    <row r="230" customFormat="false" ht="15" hidden="false" customHeight="false" outlineLevel="0" collapsed="false">
      <c r="A230" s="95" t="n">
        <v>6</v>
      </c>
      <c r="B230" s="116" t="s">
        <v>533</v>
      </c>
    </row>
    <row r="231" customFormat="false" ht="15" hidden="false" customHeight="false" outlineLevel="0" collapsed="false">
      <c r="A231" s="95" t="n">
        <v>7</v>
      </c>
      <c r="B231" s="116" t="s">
        <v>534</v>
      </c>
    </row>
    <row r="232" customFormat="false" ht="15" hidden="false" customHeight="false" outlineLevel="0" collapsed="false">
      <c r="A232" s="95" t="n">
        <v>8</v>
      </c>
      <c r="B232" s="116" t="s">
        <v>535</v>
      </c>
    </row>
    <row r="233" customFormat="false" ht="15" hidden="false" customHeight="false" outlineLevel="0" collapsed="false">
      <c r="A233" s="95" t="n">
        <v>9</v>
      </c>
      <c r="B233" s="116" t="s">
        <v>536</v>
      </c>
    </row>
    <row r="234" customFormat="false" ht="15" hidden="false" customHeight="false" outlineLevel="0" collapsed="false">
      <c r="A234" s="95" t="n">
        <v>10</v>
      </c>
      <c r="B234" s="116" t="s">
        <v>537</v>
      </c>
    </row>
    <row r="235" customFormat="false" ht="15" hidden="false" customHeight="false" outlineLevel="0" collapsed="false">
      <c r="A235" s="95" t="n">
        <v>11</v>
      </c>
      <c r="B235" s="116" t="s">
        <v>538</v>
      </c>
    </row>
    <row r="236" customFormat="false" ht="15" hidden="false" customHeight="false" outlineLevel="0" collapsed="false">
      <c r="A236" s="95" t="n">
        <v>12</v>
      </c>
      <c r="B236" s="116" t="s">
        <v>539</v>
      </c>
    </row>
    <row r="237" customFormat="false" ht="15" hidden="false" customHeight="false" outlineLevel="0" collapsed="false">
      <c r="A237" s="95" t="n">
        <v>13</v>
      </c>
      <c r="B237" s="116" t="s">
        <v>542</v>
      </c>
    </row>
    <row r="238" customFormat="false" ht="15" hidden="false" customHeight="false" outlineLevel="0" collapsed="false">
      <c r="A238" s="95" t="n">
        <v>14</v>
      </c>
      <c r="B238" s="71" t="s">
        <v>540</v>
      </c>
    </row>
    <row r="239" customFormat="false" ht="15" hidden="false" customHeight="false" outlineLevel="0" collapsed="false">
      <c r="A239" s="95" t="n">
        <v>15</v>
      </c>
      <c r="B239" s="116" t="s">
        <v>543</v>
      </c>
    </row>
    <row r="240" customFormat="false" ht="15" hidden="false" customHeight="false" outlineLevel="0" collapsed="false">
      <c r="A240" s="95" t="n">
        <v>16</v>
      </c>
      <c r="B240" s="116" t="s">
        <v>544</v>
      </c>
    </row>
    <row r="241" customFormat="false" ht="15" hidden="false" customHeight="false" outlineLevel="0" collapsed="false">
      <c r="A241" s="95" t="n">
        <v>17</v>
      </c>
      <c r="B241" s="116" t="s">
        <v>545</v>
      </c>
    </row>
    <row r="242" customFormat="false" ht="15" hidden="false" customHeight="false" outlineLevel="0" collapsed="false">
      <c r="A242" s="95" t="n">
        <v>18</v>
      </c>
      <c r="B242" s="116" t="s">
        <v>546</v>
      </c>
    </row>
    <row r="243" customFormat="false" ht="15" hidden="false" customHeight="false" outlineLevel="0" collapsed="false">
      <c r="A243" s="95" t="n">
        <v>19</v>
      </c>
      <c r="B243" s="116" t="s">
        <v>547</v>
      </c>
    </row>
    <row r="244" customFormat="false" ht="15" hidden="false" customHeight="false" outlineLevel="0" collapsed="false">
      <c r="A244" s="95" t="n">
        <v>20</v>
      </c>
      <c r="B244" s="116" t="s">
        <v>548</v>
      </c>
    </row>
    <row r="245" customFormat="false" ht="15" hidden="false" customHeight="false" outlineLevel="0" collapsed="false">
      <c r="A245" s="95" t="n">
        <v>21</v>
      </c>
      <c r="B245" s="116" t="s">
        <v>549</v>
      </c>
    </row>
    <row r="246" customFormat="false" ht="15" hidden="false" customHeight="false" outlineLevel="0" collapsed="false">
      <c r="A246" s="95" t="n">
        <v>22</v>
      </c>
      <c r="B246" s="116" t="s">
        <v>550</v>
      </c>
    </row>
    <row r="247" customFormat="false" ht="15" hidden="false" customHeight="false" outlineLevel="0" collapsed="false">
      <c r="A247" s="95" t="n">
        <v>23</v>
      </c>
      <c r="B247" s="116" t="s">
        <v>551</v>
      </c>
    </row>
    <row r="248" customFormat="false" ht="15" hidden="false" customHeight="false" outlineLevel="0" collapsed="false">
      <c r="A248" s="95" t="n">
        <v>24</v>
      </c>
      <c r="B248" s="116" t="s">
        <v>552</v>
      </c>
    </row>
    <row r="249" customFormat="false" ht="15" hidden="false" customHeight="false" outlineLevel="0" collapsed="false">
      <c r="A249" s="95" t="n">
        <v>25</v>
      </c>
      <c r="B249" s="116" t="s">
        <v>553</v>
      </c>
    </row>
    <row r="250" customFormat="false" ht="15" hidden="false" customHeight="false" outlineLevel="0" collapsed="false">
      <c r="A250" s="95" t="n">
        <v>26</v>
      </c>
      <c r="B250" s="116" t="s">
        <v>554</v>
      </c>
    </row>
    <row r="251" customFormat="false" ht="15" hidden="false" customHeight="false" outlineLevel="0" collapsed="false">
      <c r="A251" s="95" t="n">
        <v>27</v>
      </c>
      <c r="B251" s="116" t="s">
        <v>555</v>
      </c>
    </row>
    <row r="252" customFormat="false" ht="15" hidden="false" customHeight="false" outlineLevel="0" collapsed="false">
      <c r="A252" s="95" t="n">
        <v>28</v>
      </c>
      <c r="B252" s="116" t="s">
        <v>556</v>
      </c>
    </row>
    <row r="253" customFormat="false" ht="15" hidden="false" customHeight="false" outlineLevel="0" collapsed="false">
      <c r="A253" s="95" t="n">
        <v>29</v>
      </c>
      <c r="B253" s="116" t="s">
        <v>557</v>
      </c>
    </row>
    <row r="254" customFormat="false" ht="15" hidden="false" customHeight="false" outlineLevel="0" collapsed="false">
      <c r="A254" s="95" t="n">
        <v>30</v>
      </c>
      <c r="B254" s="116" t="s">
        <v>973</v>
      </c>
    </row>
    <row r="255" customFormat="false" ht="15" hidden="false" customHeight="false" outlineLevel="0" collapsed="false">
      <c r="A255" s="95" t="n">
        <v>31</v>
      </c>
      <c r="B255" s="41" t="s">
        <v>559</v>
      </c>
    </row>
    <row r="256" customFormat="false" ht="15" hidden="false" customHeight="false" outlineLevel="0" collapsed="false">
      <c r="A256" s="95" t="n">
        <v>32</v>
      </c>
      <c r="B256" s="116" t="s">
        <v>560</v>
      </c>
    </row>
    <row r="257" customFormat="false" ht="15" hidden="false" customHeight="false" outlineLevel="0" collapsed="false">
      <c r="A257" s="95" t="n">
        <v>33</v>
      </c>
      <c r="B257" s="116" t="s">
        <v>561</v>
      </c>
    </row>
    <row r="258" customFormat="false" ht="15" hidden="false" customHeight="false" outlineLevel="0" collapsed="false">
      <c r="A258" s="95" t="n">
        <v>34</v>
      </c>
      <c r="B258" s="116" t="s">
        <v>562</v>
      </c>
    </row>
    <row r="259" customFormat="false" ht="15" hidden="false" customHeight="false" outlineLevel="0" collapsed="false">
      <c r="A259" s="95" t="n">
        <v>35</v>
      </c>
      <c r="B259" s="116" t="s">
        <v>563</v>
      </c>
    </row>
    <row r="260" customFormat="false" ht="15" hidden="false" customHeight="false" outlineLevel="0" collapsed="false">
      <c r="A260" s="95" t="n">
        <v>36</v>
      </c>
      <c r="B260" s="116" t="s">
        <v>564</v>
      </c>
    </row>
    <row r="261" customFormat="false" ht="15" hidden="false" customHeight="false" outlineLevel="0" collapsed="false">
      <c r="A261" s="95" t="n">
        <v>37</v>
      </c>
      <c r="B261" s="116" t="s">
        <v>565</v>
      </c>
    </row>
    <row r="262" customFormat="false" ht="15" hidden="false" customHeight="false" outlineLevel="0" collapsed="false">
      <c r="A262" s="95" t="n">
        <v>38</v>
      </c>
      <c r="B262" s="116" t="s">
        <v>566</v>
      </c>
    </row>
    <row r="263" customFormat="false" ht="15" hidden="false" customHeight="false" outlineLevel="0" collapsed="false">
      <c r="A263" s="95" t="n">
        <v>39</v>
      </c>
      <c r="B263" s="116" t="s">
        <v>567</v>
      </c>
    </row>
    <row r="264" customFormat="false" ht="15" hidden="false" customHeight="false" outlineLevel="0" collapsed="false">
      <c r="A264" s="95" t="n">
        <v>40</v>
      </c>
      <c r="B264" s="116" t="s">
        <v>568</v>
      </c>
    </row>
    <row r="265" customFormat="false" ht="15" hidden="false" customHeight="false" outlineLevel="0" collapsed="false">
      <c r="A265" s="95" t="n">
        <v>41</v>
      </c>
      <c r="B265" s="116" t="s">
        <v>569</v>
      </c>
    </row>
    <row r="266" customFormat="false" ht="15" hidden="false" customHeight="false" outlineLevel="0" collapsed="false">
      <c r="A266" s="95" t="n">
        <v>42</v>
      </c>
      <c r="B266" s="116" t="s">
        <v>570</v>
      </c>
    </row>
    <row r="267" customFormat="false" ht="15" hidden="false" customHeight="false" outlineLevel="0" collapsed="false">
      <c r="A267" s="95" t="n">
        <v>43</v>
      </c>
      <c r="B267" s="116" t="s">
        <v>571</v>
      </c>
    </row>
    <row r="268" customFormat="false" ht="15" hidden="false" customHeight="false" outlineLevel="0" collapsed="false">
      <c r="A268" s="95" t="n">
        <v>44</v>
      </c>
      <c r="B268" s="116" t="s">
        <v>572</v>
      </c>
    </row>
    <row r="269" customFormat="false" ht="17.35" hidden="false" customHeight="false" outlineLevel="0" collapsed="false">
      <c r="A269" s="112"/>
      <c r="B269" s="100" t="s">
        <v>22</v>
      </c>
    </row>
    <row r="272" customFormat="false" ht="17.35" hidden="false" customHeight="false" outlineLevel="0" collapsed="false">
      <c r="A272" s="104"/>
      <c r="B272" s="2" t="s">
        <v>0</v>
      </c>
    </row>
    <row r="273" customFormat="false" ht="15" hidden="false" customHeight="false" outlineLevel="0" collapsed="false">
      <c r="A273" s="104"/>
    </row>
    <row r="274" customFormat="false" ht="17.35" hidden="false" customHeight="false" outlineLevel="0" collapsed="false">
      <c r="A274" s="104"/>
      <c r="B274" s="91" t="s">
        <v>638</v>
      </c>
    </row>
    <row r="275" customFormat="false" ht="15" hidden="false" customHeight="false" outlineLevel="0" collapsed="false">
      <c r="A275" s="104"/>
      <c r="B275" s="4" t="s">
        <v>623</v>
      </c>
    </row>
    <row r="276" customFormat="false" ht="15" hidden="false" customHeight="false" outlineLevel="0" collapsed="false">
      <c r="A276" s="92" t="s">
        <v>4</v>
      </c>
      <c r="B276" s="93" t="s">
        <v>285</v>
      </c>
    </row>
    <row r="277" customFormat="false" ht="15" hidden="false" customHeight="false" outlineLevel="0" collapsed="false">
      <c r="A277" s="95" t="n">
        <v>1</v>
      </c>
      <c r="B277" s="73" t="s">
        <v>640</v>
      </c>
    </row>
    <row r="278" customFormat="false" ht="15" hidden="false" customHeight="false" outlineLevel="0" collapsed="false">
      <c r="A278" s="95" t="n">
        <v>2</v>
      </c>
      <c r="B278" s="73" t="s">
        <v>641</v>
      </c>
    </row>
    <row r="279" customFormat="false" ht="15" hidden="false" customHeight="false" outlineLevel="0" collapsed="false">
      <c r="A279" s="95" t="n">
        <v>3</v>
      </c>
      <c r="B279" s="73" t="s">
        <v>642</v>
      </c>
    </row>
    <row r="280" customFormat="false" ht="15" hidden="false" customHeight="false" outlineLevel="0" collapsed="false">
      <c r="A280" s="95" t="n">
        <v>4</v>
      </c>
      <c r="B280" s="73" t="s">
        <v>643</v>
      </c>
    </row>
    <row r="281" customFormat="false" ht="15" hidden="false" customHeight="false" outlineLevel="0" collapsed="false">
      <c r="A281" s="95" t="n">
        <v>5</v>
      </c>
      <c r="B281" s="73" t="s">
        <v>644</v>
      </c>
    </row>
    <row r="282" customFormat="false" ht="15" hidden="false" customHeight="false" outlineLevel="0" collapsed="false">
      <c r="A282" s="95" t="n">
        <v>6</v>
      </c>
      <c r="B282" s="73" t="s">
        <v>645</v>
      </c>
    </row>
    <row r="283" customFormat="false" ht="15" hidden="false" customHeight="false" outlineLevel="0" collapsed="false">
      <c r="A283" s="95" t="n">
        <v>7</v>
      </c>
      <c r="B283" s="73" t="s">
        <v>646</v>
      </c>
    </row>
    <row r="284" customFormat="false" ht="15" hidden="false" customHeight="false" outlineLevel="0" collapsed="false">
      <c r="A284" s="95" t="n">
        <v>8</v>
      </c>
      <c r="B284" s="140" t="s">
        <v>647</v>
      </c>
    </row>
    <row r="285" customFormat="false" ht="15" hidden="false" customHeight="false" outlineLevel="0" collapsed="false">
      <c r="A285" s="95" t="n">
        <v>9</v>
      </c>
      <c r="B285" s="73" t="s">
        <v>648</v>
      </c>
    </row>
    <row r="286" customFormat="false" ht="15" hidden="false" customHeight="false" outlineLevel="0" collapsed="false">
      <c r="A286" s="95" t="n">
        <v>10</v>
      </c>
      <c r="B286" s="73" t="s">
        <v>649</v>
      </c>
    </row>
    <row r="287" customFormat="false" ht="15" hidden="false" customHeight="false" outlineLevel="0" collapsed="false">
      <c r="A287" s="95" t="n">
        <v>11</v>
      </c>
      <c r="B287" s="73" t="s">
        <v>650</v>
      </c>
    </row>
    <row r="288" customFormat="false" ht="19.7" hidden="false" customHeight="false" outlineLevel="0" collapsed="false">
      <c r="A288" s="95"/>
      <c r="B288" s="141" t="s">
        <v>22</v>
      </c>
    </row>
    <row r="291" customFormat="false" ht="17.35" hidden="false" customHeight="false" outlineLevel="0" collapsed="false">
      <c r="A291" s="104"/>
      <c r="B291" s="2" t="s">
        <v>0</v>
      </c>
    </row>
    <row r="292" customFormat="false" ht="15" hidden="false" customHeight="false" outlineLevel="0" collapsed="false">
      <c r="A292" s="104"/>
    </row>
    <row r="293" customFormat="false" ht="17.35" hidden="false" customHeight="false" outlineLevel="0" collapsed="false">
      <c r="A293" s="104"/>
      <c r="B293" s="91" t="s">
        <v>704</v>
      </c>
    </row>
    <row r="294" customFormat="false" ht="15" hidden="false" customHeight="false" outlineLevel="0" collapsed="false">
      <c r="A294" s="104"/>
      <c r="B294" s="4" t="s">
        <v>705</v>
      </c>
    </row>
    <row r="295" customFormat="false" ht="15" hidden="false" customHeight="false" outlineLevel="0" collapsed="false">
      <c r="A295" s="92" t="s">
        <v>4</v>
      </c>
      <c r="B295" s="93" t="s">
        <v>285</v>
      </c>
    </row>
    <row r="296" customFormat="false" ht="15" hidden="false" customHeight="false" outlineLevel="0" collapsed="false">
      <c r="A296" s="95" t="n">
        <v>1</v>
      </c>
      <c r="B296" s="11" t="s">
        <v>706</v>
      </c>
    </row>
    <row r="297" customFormat="false" ht="15" hidden="false" customHeight="false" outlineLevel="0" collapsed="false">
      <c r="A297" s="95" t="n">
        <v>2</v>
      </c>
      <c r="B297" s="11" t="s">
        <v>707</v>
      </c>
    </row>
    <row r="298" customFormat="false" ht="15" hidden="false" customHeight="false" outlineLevel="0" collapsed="false">
      <c r="A298" s="95" t="n">
        <v>3</v>
      </c>
      <c r="B298" s="11" t="s">
        <v>708</v>
      </c>
    </row>
    <row r="299" customFormat="false" ht="15" hidden="false" customHeight="false" outlineLevel="0" collapsed="false">
      <c r="A299" s="95" t="n">
        <v>4</v>
      </c>
      <c r="B299" s="11" t="s">
        <v>709</v>
      </c>
    </row>
    <row r="300" customFormat="false" ht="15" hidden="false" customHeight="false" outlineLevel="0" collapsed="false">
      <c r="A300" s="95" t="n">
        <v>5</v>
      </c>
      <c r="B300" s="11" t="s">
        <v>710</v>
      </c>
    </row>
    <row r="301" customFormat="false" ht="15" hidden="false" customHeight="false" outlineLevel="0" collapsed="false">
      <c r="A301" s="95" t="n">
        <v>6</v>
      </c>
      <c r="B301" s="11" t="s">
        <v>711</v>
      </c>
    </row>
    <row r="302" customFormat="false" ht="15" hidden="false" customHeight="false" outlineLevel="0" collapsed="false">
      <c r="A302" s="95" t="n">
        <v>7</v>
      </c>
      <c r="B302" s="11" t="s">
        <v>712</v>
      </c>
    </row>
    <row r="303" customFormat="false" ht="15" hidden="false" customHeight="false" outlineLevel="0" collapsed="false">
      <c r="A303" s="95" t="n">
        <v>8</v>
      </c>
      <c r="B303" s="11" t="s">
        <v>713</v>
      </c>
    </row>
    <row r="304" customFormat="false" ht="15" hidden="false" customHeight="false" outlineLevel="0" collapsed="false">
      <c r="A304" s="95" t="n">
        <v>9</v>
      </c>
      <c r="B304" s="11" t="s">
        <v>714</v>
      </c>
    </row>
    <row r="305" customFormat="false" ht="15" hidden="false" customHeight="false" outlineLevel="0" collapsed="false">
      <c r="A305" s="95" t="n">
        <v>10</v>
      </c>
      <c r="B305" s="11" t="s">
        <v>715</v>
      </c>
    </row>
    <row r="306" customFormat="false" ht="15" hidden="false" customHeight="false" outlineLevel="0" collapsed="false">
      <c r="A306" s="95" t="n">
        <v>11</v>
      </c>
      <c r="B306" s="11" t="s">
        <v>716</v>
      </c>
    </row>
    <row r="307" customFormat="false" ht="15" hidden="false" customHeight="false" outlineLevel="0" collapsed="false">
      <c r="A307" s="95" t="n">
        <v>12</v>
      </c>
      <c r="B307" s="11" t="s">
        <v>717</v>
      </c>
    </row>
    <row r="308" customFormat="false" ht="15" hidden="false" customHeight="false" outlineLevel="0" collapsed="false">
      <c r="A308" s="95" t="n">
        <v>13</v>
      </c>
      <c r="B308" s="11" t="s">
        <v>718</v>
      </c>
    </row>
    <row r="309" customFormat="false" ht="15" hidden="false" customHeight="false" outlineLevel="0" collapsed="false">
      <c r="A309" s="95" t="n">
        <v>14</v>
      </c>
      <c r="B309" s="54" t="s">
        <v>719</v>
      </c>
    </row>
    <row r="310" customFormat="false" ht="15" hidden="false" customHeight="false" outlineLevel="0" collapsed="false">
      <c r="A310" s="112" t="n">
        <v>15</v>
      </c>
      <c r="B310" s="54" t="s">
        <v>720</v>
      </c>
    </row>
    <row r="311" customFormat="false" ht="17.35" hidden="false" customHeight="false" outlineLevel="0" collapsed="false">
      <c r="A311" s="112"/>
      <c r="B311" s="100" t="s">
        <v>22</v>
      </c>
    </row>
    <row r="314" customFormat="false" ht="17.35" hidden="false" customHeight="false" outlineLevel="0" collapsed="false">
      <c r="A314" s="104"/>
      <c r="B314" s="2" t="s">
        <v>0</v>
      </c>
    </row>
    <row r="315" customFormat="false" ht="15" hidden="false" customHeight="false" outlineLevel="0" collapsed="false">
      <c r="A315" s="104"/>
    </row>
    <row r="316" customFormat="false" ht="17.35" hidden="false" customHeight="false" outlineLevel="0" collapsed="false">
      <c r="A316" s="104"/>
      <c r="B316" s="91" t="s">
        <v>283</v>
      </c>
    </row>
    <row r="317" customFormat="false" ht="15" hidden="false" customHeight="false" outlineLevel="0" collapsed="false">
      <c r="A317" s="104"/>
      <c r="B317" s="4" t="s">
        <v>738</v>
      </c>
    </row>
    <row r="318" customFormat="false" ht="15" hidden="false" customHeight="false" outlineLevel="0" collapsed="false">
      <c r="A318" s="92" t="s">
        <v>4</v>
      </c>
      <c r="B318" s="93" t="s">
        <v>285</v>
      </c>
    </row>
    <row r="319" customFormat="false" ht="15" hidden="false" customHeight="false" outlineLevel="0" collapsed="false">
      <c r="A319" s="138" t="n">
        <v>1</v>
      </c>
      <c r="B319" s="41" t="s">
        <v>739</v>
      </c>
    </row>
    <row r="320" customFormat="false" ht="15" hidden="false" customHeight="false" outlineLevel="0" collapsed="false">
      <c r="A320" s="138" t="n">
        <v>2</v>
      </c>
      <c r="B320" s="41" t="s">
        <v>740</v>
      </c>
    </row>
    <row r="321" customFormat="false" ht="15" hidden="false" customHeight="false" outlineLevel="0" collapsed="false">
      <c r="A321" s="138" t="n">
        <v>3</v>
      </c>
      <c r="B321" s="41" t="s">
        <v>741</v>
      </c>
    </row>
    <row r="322" customFormat="false" ht="15" hidden="false" customHeight="false" outlineLevel="0" collapsed="false">
      <c r="A322" s="138" t="n">
        <v>4</v>
      </c>
      <c r="B322" s="41" t="s">
        <v>742</v>
      </c>
    </row>
    <row r="323" customFormat="false" ht="15" hidden="false" customHeight="false" outlineLevel="0" collapsed="false">
      <c r="A323" s="138" t="n">
        <v>5</v>
      </c>
      <c r="B323" s="41" t="s">
        <v>743</v>
      </c>
    </row>
    <row r="324" customFormat="false" ht="15" hidden="false" customHeight="false" outlineLevel="0" collapsed="false">
      <c r="A324" s="95" t="n">
        <v>6</v>
      </c>
      <c r="B324" s="41" t="s">
        <v>744</v>
      </c>
    </row>
    <row r="325" customFormat="false" ht="15" hidden="false" customHeight="false" outlineLevel="0" collapsed="false">
      <c r="A325" s="95" t="n">
        <v>7</v>
      </c>
      <c r="B325" s="41" t="s">
        <v>745</v>
      </c>
    </row>
    <row r="326" customFormat="false" ht="15" hidden="false" customHeight="false" outlineLevel="0" collapsed="false">
      <c r="A326" s="95" t="n">
        <v>8</v>
      </c>
      <c r="B326" s="41" t="s">
        <v>746</v>
      </c>
    </row>
    <row r="327" customFormat="false" ht="15" hidden="false" customHeight="false" outlineLevel="0" collapsed="false">
      <c r="A327" s="95" t="n">
        <v>9</v>
      </c>
      <c r="B327" s="56" t="s">
        <v>747</v>
      </c>
    </row>
    <row r="328" customFormat="false" ht="15" hidden="false" customHeight="false" outlineLevel="0" collapsed="false">
      <c r="A328" s="95" t="n">
        <v>10</v>
      </c>
      <c r="B328" s="56" t="s">
        <v>748</v>
      </c>
    </row>
    <row r="329" customFormat="false" ht="15" hidden="false" customHeight="false" outlineLevel="0" collapsed="false">
      <c r="A329" s="95" t="n">
        <v>11</v>
      </c>
      <c r="B329" s="56" t="s">
        <v>749</v>
      </c>
    </row>
    <row r="330" customFormat="false" ht="15" hidden="false" customHeight="false" outlineLevel="0" collapsed="false">
      <c r="A330" s="95" t="n">
        <v>12</v>
      </c>
      <c r="B330" s="56" t="s">
        <v>977</v>
      </c>
    </row>
    <row r="331" customFormat="false" ht="15" hidden="false" customHeight="false" outlineLevel="0" collapsed="false">
      <c r="A331" s="95" t="n">
        <v>13</v>
      </c>
      <c r="B331" s="56" t="s">
        <v>751</v>
      </c>
    </row>
    <row r="332" customFormat="false" ht="15" hidden="false" customHeight="false" outlineLevel="0" collapsed="false">
      <c r="A332" s="95" t="n">
        <v>14</v>
      </c>
      <c r="B332" s="56" t="s">
        <v>752</v>
      </c>
    </row>
    <row r="333" customFormat="false" ht="15" hidden="false" customHeight="false" outlineLevel="0" collapsed="false">
      <c r="A333" s="95" t="n">
        <v>15</v>
      </c>
      <c r="B333" s="56" t="s">
        <v>753</v>
      </c>
    </row>
    <row r="334" customFormat="false" ht="15" hidden="false" customHeight="false" outlineLevel="0" collapsed="false">
      <c r="A334" s="95" t="n">
        <v>16</v>
      </c>
      <c r="B334" s="56" t="s">
        <v>754</v>
      </c>
    </row>
    <row r="335" customFormat="false" ht="15" hidden="false" customHeight="false" outlineLevel="0" collapsed="false">
      <c r="A335" s="95" t="n">
        <v>17</v>
      </c>
      <c r="B335" s="56" t="s">
        <v>755</v>
      </c>
    </row>
    <row r="336" customFormat="false" ht="15" hidden="false" customHeight="false" outlineLevel="0" collapsed="false">
      <c r="A336" s="95" t="n">
        <v>18</v>
      </c>
      <c r="B336" s="56" t="s">
        <v>756</v>
      </c>
    </row>
    <row r="337" customFormat="false" ht="15" hidden="false" customHeight="false" outlineLevel="0" collapsed="false">
      <c r="A337" s="95" t="n">
        <v>19</v>
      </c>
      <c r="B337" s="56" t="s">
        <v>757</v>
      </c>
    </row>
    <row r="338" customFormat="false" ht="15" hidden="false" customHeight="false" outlineLevel="0" collapsed="false">
      <c r="A338" s="95" t="n">
        <v>20</v>
      </c>
      <c r="B338" s="56" t="s">
        <v>758</v>
      </c>
    </row>
    <row r="339" customFormat="false" ht="17.35" hidden="false" customHeight="false" outlineLevel="0" collapsed="false">
      <c r="A339" s="95"/>
      <c r="B339" s="100" t="s">
        <v>22</v>
      </c>
    </row>
    <row r="340" customFormat="false" ht="15" hidden="false" customHeight="false" outlineLevel="0" collapsed="false">
      <c r="A340" s="112"/>
    </row>
    <row r="342" customFormat="false" ht="15" hidden="false" customHeight="false" outlineLevel="0" collapsed="false">
      <c r="A342" s="104"/>
    </row>
    <row r="343" customFormat="false" ht="15" hidden="false" customHeight="false" outlineLevel="0" collapsed="false">
      <c r="A343" s="104"/>
    </row>
    <row r="344" customFormat="false" ht="15" hidden="false" customHeight="false" outlineLevel="0" collapsed="false">
      <c r="A344" s="104"/>
    </row>
    <row r="345" customFormat="false" ht="17.35" hidden="false" customHeight="false" outlineLevel="0" collapsed="false">
      <c r="A345" s="104"/>
      <c r="B345" s="2" t="s">
        <v>0</v>
      </c>
    </row>
    <row r="346" customFormat="false" ht="15" hidden="false" customHeight="false" outlineLevel="0" collapsed="false">
      <c r="A346" s="104"/>
    </row>
    <row r="347" customFormat="false" ht="17.35" hidden="false" customHeight="false" outlineLevel="0" collapsed="false">
      <c r="A347" s="104"/>
      <c r="B347" s="91" t="s">
        <v>314</v>
      </c>
    </row>
    <row r="348" customFormat="false" ht="15" hidden="false" customHeight="false" outlineLevel="0" collapsed="false">
      <c r="A348" s="104"/>
      <c r="B348" s="4" t="s">
        <v>738</v>
      </c>
    </row>
    <row r="349" customFormat="false" ht="15" hidden="false" customHeight="false" outlineLevel="0" collapsed="false">
      <c r="A349" s="104"/>
    </row>
    <row r="350" customFormat="false" ht="15" hidden="false" customHeight="false" outlineLevel="0" collapsed="false">
      <c r="A350" s="92" t="s">
        <v>4</v>
      </c>
      <c r="B350" s="93" t="s">
        <v>285</v>
      </c>
    </row>
    <row r="351" customFormat="false" ht="15" hidden="false" customHeight="false" outlineLevel="0" collapsed="false">
      <c r="A351" s="95" t="n">
        <v>1</v>
      </c>
      <c r="B351" s="116" t="s">
        <v>759</v>
      </c>
    </row>
    <row r="352" customFormat="false" ht="15" hidden="false" customHeight="false" outlineLevel="0" collapsed="false">
      <c r="A352" s="95" t="n">
        <v>2</v>
      </c>
      <c r="B352" s="116" t="s">
        <v>760</v>
      </c>
    </row>
    <row r="353" customFormat="false" ht="15" hidden="false" customHeight="false" outlineLevel="0" collapsed="false">
      <c r="A353" s="95" t="n">
        <v>3</v>
      </c>
      <c r="B353" s="116" t="s">
        <v>761</v>
      </c>
    </row>
    <row r="354" customFormat="false" ht="15" hidden="false" customHeight="false" outlineLevel="0" collapsed="false">
      <c r="A354" s="95" t="n">
        <v>4</v>
      </c>
      <c r="B354" s="116" t="s">
        <v>762</v>
      </c>
    </row>
    <row r="355" customFormat="false" ht="15" hidden="false" customHeight="false" outlineLevel="0" collapsed="false">
      <c r="A355" s="95" t="n">
        <v>5</v>
      </c>
      <c r="B355" s="116" t="s">
        <v>979</v>
      </c>
    </row>
    <row r="356" customFormat="false" ht="15" hidden="false" customHeight="false" outlineLevel="0" collapsed="false">
      <c r="A356" s="95" t="n">
        <v>6</v>
      </c>
      <c r="B356" s="116" t="s">
        <v>763</v>
      </c>
    </row>
    <row r="357" customFormat="false" ht="15" hidden="false" customHeight="false" outlineLevel="0" collapsed="false">
      <c r="A357" s="95" t="n">
        <v>7</v>
      </c>
      <c r="B357" s="116" t="s">
        <v>764</v>
      </c>
    </row>
    <row r="358" customFormat="false" ht="15" hidden="false" customHeight="false" outlineLevel="0" collapsed="false">
      <c r="A358" s="95" t="n">
        <v>8</v>
      </c>
      <c r="B358" s="116" t="s">
        <v>765</v>
      </c>
    </row>
    <row r="359" customFormat="false" ht="15" hidden="false" customHeight="false" outlineLevel="0" collapsed="false">
      <c r="A359" s="95" t="n">
        <v>9</v>
      </c>
      <c r="B359" s="116" t="s">
        <v>766</v>
      </c>
    </row>
    <row r="360" customFormat="false" ht="15" hidden="false" customHeight="false" outlineLevel="0" collapsed="false">
      <c r="A360" s="95" t="n">
        <v>10</v>
      </c>
      <c r="B360" s="116" t="s">
        <v>767</v>
      </c>
    </row>
    <row r="361" customFormat="false" ht="15" hidden="false" customHeight="false" outlineLevel="0" collapsed="false">
      <c r="A361" s="95" t="n">
        <v>11</v>
      </c>
      <c r="B361" s="116" t="s">
        <v>768</v>
      </c>
    </row>
    <row r="362" customFormat="false" ht="15" hidden="false" customHeight="false" outlineLevel="0" collapsed="false">
      <c r="A362" s="95" t="n">
        <v>12</v>
      </c>
      <c r="B362" s="116" t="s">
        <v>769</v>
      </c>
    </row>
    <row r="363" customFormat="false" ht="15" hidden="false" customHeight="false" outlineLevel="0" collapsed="false">
      <c r="A363" s="95" t="n">
        <v>13</v>
      </c>
      <c r="B363" s="116" t="s">
        <v>770</v>
      </c>
    </row>
    <row r="364" customFormat="false" ht="15" hidden="false" customHeight="false" outlineLevel="0" collapsed="false">
      <c r="A364" s="95" t="n">
        <v>14</v>
      </c>
      <c r="B364" s="116" t="s">
        <v>771</v>
      </c>
    </row>
    <row r="365" customFormat="false" ht="15" hidden="false" customHeight="false" outlineLevel="0" collapsed="false">
      <c r="A365" s="95" t="n">
        <v>15</v>
      </c>
      <c r="B365" s="116" t="s">
        <v>772</v>
      </c>
    </row>
    <row r="366" customFormat="false" ht="17.35" hidden="false" customHeight="false" outlineLevel="0" collapsed="false">
      <c r="A366" s="112"/>
      <c r="B366" s="100" t="s">
        <v>22</v>
      </c>
    </row>
    <row r="376" customFormat="false" ht="15" hidden="false" customHeight="false" outlineLevel="0" collapsed="false">
      <c r="A376" s="162" t="s">
        <v>811</v>
      </c>
      <c r="B376" s="153"/>
    </row>
    <row r="378" customFormat="false" ht="15" hidden="false" customHeight="false" outlineLevel="0" collapsed="false">
      <c r="B378" s="163" t="s">
        <v>283</v>
      </c>
    </row>
    <row r="379" customFormat="false" ht="15" hidden="false" customHeight="false" outlineLevel="0" collapsed="false">
      <c r="B379" s="4" t="s">
        <v>493</v>
      </c>
    </row>
    <row r="381" customFormat="false" ht="15" hidden="false" customHeight="false" outlineLevel="0" collapsed="false">
      <c r="A381" s="92" t="s">
        <v>4</v>
      </c>
      <c r="B381" s="93" t="s">
        <v>285</v>
      </c>
    </row>
    <row r="382" customFormat="false" ht="15" hidden="false" customHeight="false" outlineLevel="0" collapsed="false">
      <c r="A382" s="95" t="n">
        <v>1</v>
      </c>
      <c r="B382" s="116" t="s">
        <v>813</v>
      </c>
    </row>
    <row r="383" customFormat="false" ht="15" hidden="false" customHeight="false" outlineLevel="0" collapsed="false">
      <c r="A383" s="95" t="n">
        <v>2</v>
      </c>
      <c r="B383" s="116" t="s">
        <v>814</v>
      </c>
    </row>
    <row r="384" customFormat="false" ht="15" hidden="false" customHeight="false" outlineLevel="0" collapsed="false">
      <c r="A384" s="95" t="n">
        <v>3</v>
      </c>
      <c r="B384" s="116" t="s">
        <v>815</v>
      </c>
    </row>
    <row r="385" customFormat="false" ht="15" hidden="false" customHeight="false" outlineLevel="0" collapsed="false">
      <c r="A385" s="95" t="n">
        <v>4</v>
      </c>
      <c r="B385" s="116" t="s">
        <v>816</v>
      </c>
    </row>
    <row r="386" customFormat="false" ht="15" hidden="false" customHeight="false" outlineLevel="0" collapsed="false">
      <c r="A386" s="95" t="n">
        <v>5</v>
      </c>
      <c r="B386" s="116" t="s">
        <v>817</v>
      </c>
    </row>
    <row r="387" customFormat="false" ht="15" hidden="false" customHeight="false" outlineLevel="0" collapsed="false">
      <c r="A387" s="95" t="n">
        <v>6</v>
      </c>
      <c r="B387" s="116" t="s">
        <v>818</v>
      </c>
    </row>
    <row r="388" customFormat="false" ht="15" hidden="false" customHeight="false" outlineLevel="0" collapsed="false">
      <c r="A388" s="95" t="n">
        <v>7</v>
      </c>
      <c r="B388" s="116" t="s">
        <v>819</v>
      </c>
    </row>
    <row r="389" customFormat="false" ht="15" hidden="false" customHeight="false" outlineLevel="0" collapsed="false">
      <c r="A389" s="95" t="n">
        <v>8</v>
      </c>
      <c r="B389" s="116" t="s">
        <v>820</v>
      </c>
    </row>
    <row r="390" customFormat="false" ht="15" hidden="false" customHeight="false" outlineLevel="0" collapsed="false">
      <c r="A390" s="95" t="n">
        <v>9</v>
      </c>
      <c r="B390" s="116" t="s">
        <v>821</v>
      </c>
    </row>
    <row r="391" customFormat="false" ht="15" hidden="false" customHeight="false" outlineLevel="0" collapsed="false">
      <c r="A391" s="95" t="n">
        <v>10</v>
      </c>
      <c r="B391" s="116" t="s">
        <v>822</v>
      </c>
    </row>
    <row r="392" customFormat="false" ht="15" hidden="false" customHeight="false" outlineLevel="0" collapsed="false">
      <c r="A392" s="95" t="n">
        <v>11</v>
      </c>
      <c r="B392" s="116" t="s">
        <v>823</v>
      </c>
    </row>
    <row r="393" customFormat="false" ht="15" hidden="false" customHeight="false" outlineLevel="0" collapsed="false">
      <c r="A393" s="95" t="n">
        <v>12</v>
      </c>
      <c r="B393" s="116" t="s">
        <v>824</v>
      </c>
    </row>
    <row r="394" customFormat="false" ht="15" hidden="false" customHeight="false" outlineLevel="0" collapsed="false">
      <c r="A394" s="95" t="n">
        <v>13</v>
      </c>
      <c r="B394" s="116" t="s">
        <v>825</v>
      </c>
    </row>
    <row r="395" customFormat="false" ht="15" hidden="false" customHeight="false" outlineLevel="0" collapsed="false">
      <c r="A395" s="95" t="n">
        <v>14</v>
      </c>
      <c r="B395" s="116" t="s">
        <v>826</v>
      </c>
    </row>
    <row r="396" customFormat="false" ht="15" hidden="false" customHeight="false" outlineLevel="0" collapsed="false">
      <c r="A396" s="95" t="n">
        <v>15</v>
      </c>
      <c r="B396" s="116" t="s">
        <v>827</v>
      </c>
    </row>
    <row r="397" customFormat="false" ht="15" hidden="false" customHeight="false" outlineLevel="0" collapsed="false">
      <c r="A397" s="95" t="n">
        <v>16</v>
      </c>
      <c r="B397" s="116" t="s">
        <v>828</v>
      </c>
    </row>
    <row r="398" customFormat="false" ht="15" hidden="false" customHeight="false" outlineLevel="0" collapsed="false">
      <c r="A398" s="167" t="n">
        <v>17</v>
      </c>
      <c r="B398" s="116" t="s">
        <v>829</v>
      </c>
    </row>
    <row r="399" customFormat="false" ht="19.7" hidden="false" customHeight="false" outlineLevel="0" collapsed="false">
      <c r="A399" s="112"/>
      <c r="B399" s="141"/>
    </row>
    <row r="400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538"/>
  <sheetViews>
    <sheetView showFormulas="false" showGridLines="true" showRowColHeaders="true" showZeros="true" rightToLeft="false" tabSelected="false" showOutlineSymbols="true" defaultGridColor="true" view="pageBreakPreview" topLeftCell="B32" colorId="64" zoomScale="100" zoomScaleNormal="100" zoomScalePageLayoutView="100" workbookViewId="0">
      <selection pane="topLeft" activeCell="E1" activeCellId="0" sqref="E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28.43"/>
    <col collapsed="false" customWidth="true" hidden="false" outlineLevel="0" max="3" min="3" style="1" width="13.86"/>
    <col collapsed="false" customWidth="true" hidden="false" outlineLevel="0" max="4" min="4" style="1" width="12.43"/>
    <col collapsed="false" customWidth="true" hidden="false" outlineLevel="0" max="5" min="5" style="1" width="13.86"/>
    <col collapsed="false" customWidth="true" hidden="false" outlineLevel="0" max="16384" min="16384" style="0" width="11.53"/>
  </cols>
  <sheetData>
    <row r="3" customFormat="false" ht="17.35" hidden="false" customHeight="false" outlineLevel="0" collapsed="false">
      <c r="A3" s="2"/>
      <c r="B3" s="2" t="s">
        <v>0</v>
      </c>
    </row>
    <row r="5" customFormat="false" ht="17.25" hidden="false" customHeight="false" outlineLevel="0" collapsed="false">
      <c r="B5" s="3" t="s">
        <v>1</v>
      </c>
    </row>
    <row r="7" customFormat="false" ht="17.35" hidden="false" customHeight="false" outlineLevel="0" collapsed="false">
      <c r="B7" s="91" t="s">
        <v>283</v>
      </c>
    </row>
    <row r="8" customFormat="false" ht="15" hidden="false" customHeight="false" outlineLevel="0" collapsed="false">
      <c r="B8" s="4" t="s">
        <v>284</v>
      </c>
    </row>
    <row r="10" customFormat="false" ht="15" hidden="false" customHeight="false" outlineLevel="0" collapsed="false">
      <c r="A10" s="92" t="s">
        <v>4</v>
      </c>
      <c r="B10" s="93" t="s">
        <v>285</v>
      </c>
      <c r="C10" s="8" t="s">
        <v>6</v>
      </c>
      <c r="D10" s="94" t="s">
        <v>7</v>
      </c>
      <c r="E10" s="10" t="s">
        <v>8</v>
      </c>
    </row>
    <row r="11" customFormat="false" ht="15" hidden="false" customHeight="false" outlineLevel="0" collapsed="false">
      <c r="A11" s="95" t="n">
        <v>1</v>
      </c>
      <c r="B11" s="73" t="s">
        <v>286</v>
      </c>
      <c r="C11" s="96" t="n">
        <v>416500</v>
      </c>
      <c r="D11" s="96" t="n">
        <v>209950</v>
      </c>
      <c r="E11" s="166" t="e">
        <f aca="false">C11-D11+#REF!</f>
        <v>#REF!</v>
      </c>
    </row>
    <row r="12" customFormat="false" ht="15" hidden="false" customHeight="false" outlineLevel="0" collapsed="false">
      <c r="A12" s="95" t="n">
        <v>2</v>
      </c>
      <c r="B12" s="73" t="s">
        <v>287</v>
      </c>
      <c r="C12" s="96" t="n">
        <v>416500</v>
      </c>
      <c r="D12" s="96" t="n">
        <f aca="false">220000+100000</f>
        <v>320000</v>
      </c>
      <c r="E12" s="166" t="e">
        <f aca="false">C12-D12+#REF!</f>
        <v>#REF!</v>
      </c>
    </row>
    <row r="13" customFormat="false" ht="15" hidden="false" customHeight="false" outlineLevel="0" collapsed="false">
      <c r="A13" s="95" t="n">
        <v>3</v>
      </c>
      <c r="B13" s="73" t="s">
        <v>964</v>
      </c>
      <c r="C13" s="96" t="n">
        <v>416500</v>
      </c>
      <c r="D13" s="96" t="n">
        <f aca="false">216500</f>
        <v>216500</v>
      </c>
      <c r="E13" s="166" t="e">
        <f aca="false">C13-D13+#REF!</f>
        <v>#REF!</v>
      </c>
    </row>
    <row r="14" customFormat="false" ht="15" hidden="false" customHeight="false" outlineLevel="0" collapsed="false">
      <c r="A14" s="95" t="n">
        <v>4</v>
      </c>
      <c r="B14" s="73" t="s">
        <v>288</v>
      </c>
      <c r="C14" s="96" t="n">
        <v>416500</v>
      </c>
      <c r="D14" s="96" t="n">
        <v>100000</v>
      </c>
      <c r="E14" s="166" t="e">
        <f aca="false">C14-D14+#REF!</f>
        <v>#REF!</v>
      </c>
    </row>
    <row r="15" customFormat="false" ht="15" hidden="false" customHeight="false" outlineLevel="0" collapsed="false">
      <c r="A15" s="95" t="n">
        <v>5</v>
      </c>
      <c r="B15" s="73" t="s">
        <v>289</v>
      </c>
      <c r="C15" s="96" t="n">
        <v>416500</v>
      </c>
      <c r="D15" s="96" t="n">
        <f aca="false">210000+116000+90000</f>
        <v>416000</v>
      </c>
      <c r="E15" s="166" t="e">
        <f aca="false">C15-D15+#REF!</f>
        <v>#REF!</v>
      </c>
    </row>
    <row r="16" customFormat="false" ht="15" hidden="false" customHeight="false" outlineLevel="0" collapsed="false">
      <c r="A16" s="95" t="n">
        <v>6</v>
      </c>
      <c r="B16" s="73" t="s">
        <v>290</v>
      </c>
      <c r="C16" s="96" t="n">
        <v>416500</v>
      </c>
      <c r="D16" s="96" t="n">
        <f aca="false">216500+200000</f>
        <v>416500</v>
      </c>
      <c r="E16" s="166" t="e">
        <f aca="false">C16-D16+#REF!</f>
        <v>#REF!</v>
      </c>
    </row>
    <row r="17" customFormat="false" ht="15" hidden="false" customHeight="false" outlineLevel="0" collapsed="false">
      <c r="A17" s="95" t="n">
        <v>7</v>
      </c>
      <c r="B17" s="73" t="s">
        <v>291</v>
      </c>
      <c r="C17" s="96" t="n">
        <v>416500</v>
      </c>
      <c r="D17" s="96" t="n">
        <f aca="false">116500+40000+100000+80000+80000</f>
        <v>416500</v>
      </c>
      <c r="E17" s="166" t="e">
        <f aca="false">C17-D17+#REF!</f>
        <v>#REF!</v>
      </c>
    </row>
    <row r="18" customFormat="false" ht="15" hidden="false" customHeight="false" outlineLevel="0" collapsed="false">
      <c r="A18" s="95" t="n">
        <v>8</v>
      </c>
      <c r="B18" s="73" t="s">
        <v>292</v>
      </c>
      <c r="C18" s="96" t="n">
        <v>416500</v>
      </c>
      <c r="D18" s="96"/>
      <c r="E18" s="166" t="e">
        <f aca="false">C18-D18+#REF!</f>
        <v>#REF!</v>
      </c>
    </row>
    <row r="19" customFormat="false" ht="15" hidden="false" customHeight="false" outlineLevel="0" collapsed="false">
      <c r="A19" s="95" t="n">
        <v>9</v>
      </c>
      <c r="B19" s="73" t="s">
        <v>293</v>
      </c>
      <c r="C19" s="96" t="n">
        <v>416500</v>
      </c>
      <c r="D19" s="96" t="n">
        <v>416500</v>
      </c>
      <c r="E19" s="166" t="e">
        <f aca="false">C19-D19+#REF!</f>
        <v>#REF!</v>
      </c>
    </row>
    <row r="20" customFormat="false" ht="15" hidden="false" customHeight="false" outlineLevel="0" collapsed="false">
      <c r="A20" s="95" t="n">
        <v>10</v>
      </c>
      <c r="B20" s="73" t="s">
        <v>294</v>
      </c>
      <c r="C20" s="96" t="n">
        <v>416500</v>
      </c>
      <c r="D20" s="96" t="n">
        <f aca="false">216500</f>
        <v>216500</v>
      </c>
      <c r="E20" s="166" t="e">
        <f aca="false">C20-D20+#REF!</f>
        <v>#REF!</v>
      </c>
    </row>
    <row r="21" customFormat="false" ht="15" hidden="false" customHeight="false" outlineLevel="0" collapsed="false">
      <c r="A21" s="95" t="n">
        <v>11</v>
      </c>
      <c r="B21" s="73" t="s">
        <v>295</v>
      </c>
      <c r="C21" s="96" t="n">
        <v>416500</v>
      </c>
      <c r="D21" s="96" t="n">
        <f aca="false">416500</f>
        <v>416500</v>
      </c>
      <c r="E21" s="166" t="e">
        <f aca="false">C21-D21+#REF!</f>
        <v>#REF!</v>
      </c>
    </row>
    <row r="22" customFormat="false" ht="15" hidden="false" customHeight="false" outlineLevel="0" collapsed="false">
      <c r="A22" s="95" t="n">
        <v>12</v>
      </c>
      <c r="B22" s="73" t="s">
        <v>296</v>
      </c>
      <c r="C22" s="96" t="n">
        <v>416500</v>
      </c>
      <c r="D22" s="96" t="n">
        <v>150000</v>
      </c>
      <c r="E22" s="166" t="e">
        <f aca="false">C22-D22+#REF!</f>
        <v>#REF!</v>
      </c>
    </row>
    <row r="23" customFormat="false" ht="15" hidden="false" customHeight="false" outlineLevel="0" collapsed="false">
      <c r="A23" s="95" t="n">
        <v>13</v>
      </c>
      <c r="B23" s="73" t="s">
        <v>297</v>
      </c>
      <c r="C23" s="96" t="n">
        <v>416500</v>
      </c>
      <c r="D23" s="96" t="n">
        <f aca="false">100000</f>
        <v>100000</v>
      </c>
      <c r="E23" s="166" t="e">
        <f aca="false">C23-D23+#REF!</f>
        <v>#REF!</v>
      </c>
    </row>
    <row r="24" customFormat="false" ht="15" hidden="false" customHeight="false" outlineLevel="0" collapsed="false">
      <c r="A24" s="95" t="n">
        <v>14</v>
      </c>
      <c r="B24" s="73" t="s">
        <v>298</v>
      </c>
      <c r="C24" s="96" t="n">
        <v>416500</v>
      </c>
      <c r="D24" s="96" t="n">
        <v>216500</v>
      </c>
      <c r="E24" s="166" t="e">
        <f aca="false">C24-D24+#REF!</f>
        <v>#REF!</v>
      </c>
    </row>
    <row r="25" customFormat="false" ht="15" hidden="false" customHeight="false" outlineLevel="0" collapsed="false">
      <c r="A25" s="95" t="n">
        <v>15</v>
      </c>
      <c r="B25" s="73" t="s">
        <v>299</v>
      </c>
      <c r="C25" s="96" t="n">
        <v>416500</v>
      </c>
      <c r="D25" s="96" t="n">
        <f aca="false">200000</f>
        <v>200000</v>
      </c>
      <c r="E25" s="166" t="e">
        <f aca="false">C25-D25+#REF!</f>
        <v>#REF!</v>
      </c>
    </row>
    <row r="26" customFormat="false" ht="15" hidden="false" customHeight="false" outlineLevel="0" collapsed="false">
      <c r="A26" s="95" t="n">
        <v>16</v>
      </c>
      <c r="B26" s="73" t="s">
        <v>300</v>
      </c>
      <c r="C26" s="96" t="n">
        <v>416500</v>
      </c>
      <c r="D26" s="96" t="n">
        <f aca="false">216500+200000</f>
        <v>416500</v>
      </c>
      <c r="E26" s="166" t="e">
        <f aca="false">C26-D26+#REF!</f>
        <v>#REF!</v>
      </c>
    </row>
    <row r="27" customFormat="false" ht="15" hidden="false" customHeight="false" outlineLevel="0" collapsed="false">
      <c r="A27" s="95" t="n">
        <v>17</v>
      </c>
      <c r="B27" s="73" t="s">
        <v>301</v>
      </c>
      <c r="C27" s="96" t="n">
        <v>416500</v>
      </c>
      <c r="D27" s="96" t="n">
        <f aca="false">150000+166500+100000</f>
        <v>416500</v>
      </c>
      <c r="E27" s="166" t="e">
        <f aca="false">C27-D27+#REF!</f>
        <v>#REF!</v>
      </c>
    </row>
    <row r="28" customFormat="false" ht="15" hidden="false" customHeight="false" outlineLevel="0" collapsed="false">
      <c r="A28" s="95" t="n">
        <v>18</v>
      </c>
      <c r="B28" s="73" t="s">
        <v>302</v>
      </c>
      <c r="C28" s="96" t="n">
        <v>416500</v>
      </c>
      <c r="D28" s="96"/>
      <c r="E28" s="166" t="e">
        <f aca="false">C28-D28+#REF!</f>
        <v>#REF!</v>
      </c>
    </row>
    <row r="29" customFormat="false" ht="15" hidden="false" customHeight="false" outlineLevel="0" collapsed="false">
      <c r="A29" s="95" t="n">
        <v>19</v>
      </c>
      <c r="B29" s="73" t="s">
        <v>303</v>
      </c>
      <c r="C29" s="96" t="n">
        <v>416500</v>
      </c>
      <c r="D29" s="96" t="n">
        <f aca="false">216500</f>
        <v>216500</v>
      </c>
      <c r="E29" s="166" t="e">
        <f aca="false">C29-D29+#REF!</f>
        <v>#REF!</v>
      </c>
    </row>
    <row r="30" customFormat="false" ht="15" hidden="false" customHeight="false" outlineLevel="0" collapsed="false">
      <c r="A30" s="95" t="n">
        <v>20</v>
      </c>
      <c r="B30" s="73" t="s">
        <v>304</v>
      </c>
      <c r="C30" s="96" t="n">
        <v>416500</v>
      </c>
      <c r="D30" s="96" t="n">
        <f aca="false">216500</f>
        <v>216500</v>
      </c>
      <c r="E30" s="166" t="e">
        <f aca="false">C30-D30+#REF!</f>
        <v>#REF!</v>
      </c>
    </row>
    <row r="31" customFormat="false" ht="15" hidden="false" customHeight="false" outlineLevel="0" collapsed="false">
      <c r="A31" s="95" t="n">
        <v>21</v>
      </c>
      <c r="B31" s="73" t="s">
        <v>305</v>
      </c>
      <c r="C31" s="96" t="n">
        <v>416500</v>
      </c>
      <c r="D31" s="96" t="n">
        <f aca="false">190000</f>
        <v>190000</v>
      </c>
      <c r="E31" s="166" t="e">
        <f aca="false">C31-D31+#REF!</f>
        <v>#REF!</v>
      </c>
    </row>
    <row r="32" customFormat="false" ht="15" hidden="false" customHeight="false" outlineLevel="0" collapsed="false">
      <c r="A32" s="95" t="n">
        <v>22</v>
      </c>
      <c r="B32" s="73" t="s">
        <v>306</v>
      </c>
      <c r="C32" s="96" t="n">
        <v>416500</v>
      </c>
      <c r="D32" s="96" t="n">
        <v>88500</v>
      </c>
      <c r="E32" s="166" t="e">
        <f aca="false">C32-D32+#REF!</f>
        <v>#REF!</v>
      </c>
    </row>
    <row r="33" customFormat="false" ht="15" hidden="false" customHeight="false" outlineLevel="0" collapsed="false">
      <c r="A33" s="95" t="n">
        <v>23</v>
      </c>
      <c r="B33" s="98" t="s">
        <v>307</v>
      </c>
      <c r="C33" s="96" t="n">
        <v>416500</v>
      </c>
      <c r="D33" s="96" t="n">
        <f aca="false">250000+168000+500</f>
        <v>418500</v>
      </c>
      <c r="E33" s="166" t="e">
        <f aca="false">C33-D33+#REF!</f>
        <v>#REF!</v>
      </c>
    </row>
    <row r="34" customFormat="false" ht="15" hidden="false" customHeight="false" outlineLevel="0" collapsed="false">
      <c r="A34" s="95" t="n">
        <v>24</v>
      </c>
      <c r="B34" s="73" t="s">
        <v>308</v>
      </c>
      <c r="C34" s="96" t="n">
        <v>416500</v>
      </c>
      <c r="D34" s="96"/>
      <c r="E34" s="166" t="e">
        <f aca="false">C34-D34+#REF!</f>
        <v>#REF!</v>
      </c>
    </row>
    <row r="35" customFormat="false" ht="15" hidden="false" customHeight="false" outlineLevel="0" collapsed="false">
      <c r="A35" s="95" t="n">
        <v>25</v>
      </c>
      <c r="B35" s="73" t="s">
        <v>309</v>
      </c>
      <c r="C35" s="96" t="n">
        <v>416500</v>
      </c>
      <c r="D35" s="96" t="n">
        <f aca="false">110000+170000+136500</f>
        <v>416500</v>
      </c>
      <c r="E35" s="166" t="e">
        <f aca="false">C35-D35+#REF!</f>
        <v>#REF!</v>
      </c>
    </row>
    <row r="36" customFormat="false" ht="15" hidden="false" customHeight="false" outlineLevel="0" collapsed="false">
      <c r="A36" s="95" t="n">
        <v>26</v>
      </c>
      <c r="B36" s="73" t="s">
        <v>310</v>
      </c>
      <c r="C36" s="96" t="n">
        <v>416500</v>
      </c>
      <c r="D36" s="96" t="n">
        <v>0</v>
      </c>
      <c r="E36" s="166" t="e">
        <f aca="false">C36-D36+#REF!</f>
        <v>#REF!</v>
      </c>
    </row>
    <row r="37" customFormat="false" ht="15" hidden="false" customHeight="false" outlineLevel="0" collapsed="false">
      <c r="A37" s="95" t="n">
        <v>27</v>
      </c>
      <c r="B37" s="73" t="s">
        <v>311</v>
      </c>
      <c r="C37" s="96" t="n">
        <v>416500</v>
      </c>
      <c r="D37" s="96" t="n">
        <f aca="false">215000+202000</f>
        <v>417000</v>
      </c>
      <c r="E37" s="166" t="e">
        <f aca="false">C37-D37+#REF!</f>
        <v>#REF!</v>
      </c>
    </row>
    <row r="38" customFormat="false" ht="15" hidden="false" customHeight="false" outlineLevel="0" collapsed="false">
      <c r="A38" s="95" t="n">
        <v>28</v>
      </c>
      <c r="B38" s="73" t="s">
        <v>312</v>
      </c>
      <c r="C38" s="96" t="n">
        <v>416500</v>
      </c>
      <c r="D38" s="96"/>
      <c r="E38" s="166" t="e">
        <f aca="false">C38-D38+#REF!</f>
        <v>#REF!</v>
      </c>
    </row>
    <row r="39" customFormat="false" ht="15" hidden="false" customHeight="false" outlineLevel="0" collapsed="false">
      <c r="A39" s="95" t="n">
        <v>29</v>
      </c>
      <c r="B39" s="99" t="s">
        <v>313</v>
      </c>
      <c r="C39" s="96" t="n">
        <v>416500</v>
      </c>
      <c r="D39" s="96"/>
      <c r="E39" s="166" t="e">
        <f aca="false">C39-D39+#REF!</f>
        <v>#REF!</v>
      </c>
    </row>
    <row r="40" customFormat="false" ht="17.35" hidden="false" customHeight="false" outlineLevel="0" collapsed="false">
      <c r="A40" s="95"/>
      <c r="B40" s="100" t="s">
        <v>22</v>
      </c>
      <c r="C40" s="101" t="n">
        <f aca="false">SUM(C11:C39)</f>
        <v>12078500</v>
      </c>
      <c r="D40" s="102" t="n">
        <f aca="false">SUM(D11:D39)</f>
        <v>6607950</v>
      </c>
      <c r="E40" s="103" t="e">
        <f aca="false">SUM(E11:E39)</f>
        <v>#REF!</v>
      </c>
    </row>
    <row r="41" customFormat="false" ht="17.35" hidden="false" customHeight="false" outlineLevel="0" collapsed="false">
      <c r="A41" s="104"/>
      <c r="B41" s="105"/>
      <c r="C41" s="106"/>
      <c r="D41" s="107"/>
    </row>
    <row r="42" customFormat="false" ht="17.35" hidden="false" customHeight="false" outlineLevel="0" collapsed="false">
      <c r="A42" s="104"/>
      <c r="B42" s="105"/>
      <c r="C42" s="106"/>
      <c r="D42" s="107"/>
    </row>
    <row r="43" customFormat="false" ht="15" hidden="false" customHeight="false" outlineLevel="0" collapsed="false">
      <c r="A43" s="104"/>
    </row>
    <row r="44" customFormat="false" ht="17.35" hidden="false" customHeight="false" outlineLevel="0" collapsed="false">
      <c r="A44" s="108"/>
      <c r="B44" s="2" t="s">
        <v>0</v>
      </c>
    </row>
    <row r="45" customFormat="false" ht="15" hidden="false" customHeight="false" outlineLevel="0" collapsed="false">
      <c r="A45" s="104"/>
    </row>
    <row r="46" customFormat="false" ht="17.25" hidden="false" customHeight="false" outlineLevel="0" collapsed="false">
      <c r="A46" s="104"/>
      <c r="B46" s="3" t="s">
        <v>1</v>
      </c>
    </row>
    <row r="47" customFormat="false" ht="15" hidden="false" customHeight="false" outlineLevel="0" collapsed="false">
      <c r="A47" s="104"/>
    </row>
    <row r="48" customFormat="false" ht="17.35" hidden="false" customHeight="false" outlineLevel="0" collapsed="false">
      <c r="A48" s="104"/>
      <c r="B48" s="91" t="s">
        <v>314</v>
      </c>
    </row>
    <row r="49" customFormat="false" ht="15" hidden="false" customHeight="false" outlineLevel="0" collapsed="false">
      <c r="A49" s="104"/>
      <c r="B49" s="4" t="s">
        <v>284</v>
      </c>
    </row>
    <row r="50" customFormat="false" ht="15" hidden="false" customHeight="false" outlineLevel="0" collapsed="false">
      <c r="A50" s="104"/>
    </row>
    <row r="51" customFormat="false" ht="15" hidden="false" customHeight="false" outlineLevel="0" collapsed="false">
      <c r="A51" s="92" t="s">
        <v>4</v>
      </c>
      <c r="B51" s="93" t="s">
        <v>285</v>
      </c>
      <c r="C51" s="8" t="s">
        <v>6</v>
      </c>
      <c r="D51" s="94" t="s">
        <v>7</v>
      </c>
      <c r="E51" s="10" t="s">
        <v>8</v>
      </c>
    </row>
    <row r="52" customFormat="false" ht="15" hidden="false" customHeight="false" outlineLevel="0" collapsed="false">
      <c r="A52" s="95" t="n">
        <v>1</v>
      </c>
      <c r="B52" s="73" t="s">
        <v>315</v>
      </c>
      <c r="C52" s="96" t="n">
        <v>416500</v>
      </c>
      <c r="D52" s="96"/>
      <c r="E52" s="166" t="e">
        <f aca="false">C52-D52+#REF!</f>
        <v>#REF!</v>
      </c>
    </row>
    <row r="53" customFormat="false" ht="15" hidden="false" customHeight="false" outlineLevel="0" collapsed="false">
      <c r="A53" s="95" t="n">
        <v>2</v>
      </c>
      <c r="B53" s="73" t="s">
        <v>316</v>
      </c>
      <c r="C53" s="96" t="n">
        <v>416500</v>
      </c>
      <c r="D53" s="96" t="n">
        <f aca="false">416000+500</f>
        <v>416500</v>
      </c>
      <c r="E53" s="166" t="e">
        <f aca="false">C53-D53+#REF!</f>
        <v>#REF!</v>
      </c>
    </row>
    <row r="54" customFormat="false" ht="15" hidden="false" customHeight="false" outlineLevel="0" collapsed="false">
      <c r="A54" s="95" t="n">
        <v>3</v>
      </c>
      <c r="B54" s="73" t="s">
        <v>317</v>
      </c>
      <c r="C54" s="96" t="n">
        <v>416500</v>
      </c>
      <c r="D54" s="96" t="n">
        <f aca="false">316500+100000</f>
        <v>416500</v>
      </c>
      <c r="E54" s="166" t="e">
        <f aca="false">C54-D54+#REF!</f>
        <v>#REF!</v>
      </c>
    </row>
    <row r="55" customFormat="false" ht="15" hidden="false" customHeight="false" outlineLevel="0" collapsed="false">
      <c r="A55" s="95" t="n">
        <v>4</v>
      </c>
      <c r="B55" s="73" t="s">
        <v>318</v>
      </c>
      <c r="C55" s="96" t="n">
        <v>416500</v>
      </c>
      <c r="D55" s="96" t="n">
        <f aca="false">150000</f>
        <v>150000</v>
      </c>
      <c r="E55" s="166" t="e">
        <f aca="false">C55-D55+#REF!</f>
        <v>#REF!</v>
      </c>
    </row>
    <row r="56" customFormat="false" ht="15" hidden="false" customHeight="false" outlineLevel="0" collapsed="false">
      <c r="A56" s="95" t="n">
        <v>5</v>
      </c>
      <c r="B56" s="73" t="s">
        <v>319</v>
      </c>
      <c r="C56" s="96" t="n">
        <v>416500</v>
      </c>
      <c r="D56" s="96" t="n">
        <v>200000</v>
      </c>
      <c r="E56" s="166" t="e">
        <f aca="false">C56-D56+#REF!</f>
        <v>#REF!</v>
      </c>
    </row>
    <row r="57" customFormat="false" ht="15" hidden="false" customHeight="false" outlineLevel="0" collapsed="false">
      <c r="A57" s="95" t="n">
        <v>6</v>
      </c>
      <c r="B57" s="109" t="s">
        <v>320</v>
      </c>
      <c r="C57" s="96" t="n">
        <v>416500</v>
      </c>
      <c r="D57" s="96"/>
      <c r="E57" s="166" t="e">
        <f aca="false">C57-D57+#REF!</f>
        <v>#REF!</v>
      </c>
    </row>
    <row r="58" customFormat="false" ht="15" hidden="false" customHeight="false" outlineLevel="0" collapsed="false">
      <c r="A58" s="95" t="n">
        <v>7</v>
      </c>
      <c r="B58" s="73" t="s">
        <v>967</v>
      </c>
      <c r="C58" s="96" t="n">
        <v>416500</v>
      </c>
      <c r="D58" s="96"/>
      <c r="E58" s="166" t="e">
        <f aca="false">C58-D58+#REF!</f>
        <v>#REF!</v>
      </c>
    </row>
    <row r="59" customFormat="false" ht="15" hidden="false" customHeight="false" outlineLevel="0" collapsed="false">
      <c r="A59" s="95" t="n">
        <v>8</v>
      </c>
      <c r="B59" s="73" t="s">
        <v>322</v>
      </c>
      <c r="C59" s="96" t="n">
        <v>416500</v>
      </c>
      <c r="D59" s="96"/>
      <c r="E59" s="166" t="e">
        <f aca="false">C59-D59+#REF!</f>
        <v>#REF!</v>
      </c>
    </row>
    <row r="60" customFormat="false" ht="15" hidden="false" customHeight="false" outlineLevel="0" collapsed="false">
      <c r="A60" s="95" t="n">
        <v>9</v>
      </c>
      <c r="B60" s="73" t="s">
        <v>323</v>
      </c>
      <c r="C60" s="96" t="n">
        <v>416500</v>
      </c>
      <c r="D60" s="96"/>
      <c r="E60" s="166" t="e">
        <f aca="false">C60-D60+#REF!</f>
        <v>#REF!</v>
      </c>
    </row>
    <row r="61" customFormat="false" ht="15" hidden="false" customHeight="false" outlineLevel="0" collapsed="false">
      <c r="A61" s="95" t="n">
        <v>10</v>
      </c>
      <c r="B61" s="73" t="s">
        <v>324</v>
      </c>
      <c r="C61" s="96" t="n">
        <v>416500</v>
      </c>
      <c r="D61" s="96"/>
      <c r="E61" s="166" t="e">
        <f aca="false">C61-D61+#REF!</f>
        <v>#REF!</v>
      </c>
    </row>
    <row r="62" customFormat="false" ht="15" hidden="false" customHeight="false" outlineLevel="0" collapsed="false">
      <c r="A62" s="95" t="n">
        <v>11</v>
      </c>
      <c r="B62" s="73" t="s">
        <v>325</v>
      </c>
      <c r="C62" s="96" t="n">
        <v>416500</v>
      </c>
      <c r="D62" s="96" t="n">
        <f aca="false">416500</f>
        <v>416500</v>
      </c>
      <c r="E62" s="166" t="e">
        <f aca="false">C62-D62+#REF!</f>
        <v>#REF!</v>
      </c>
    </row>
    <row r="63" customFormat="false" ht="15" hidden="false" customHeight="false" outlineLevel="0" collapsed="false">
      <c r="A63" s="95" t="n">
        <v>12</v>
      </c>
      <c r="B63" s="73" t="s">
        <v>326</v>
      </c>
      <c r="C63" s="96" t="n">
        <v>416500</v>
      </c>
      <c r="D63" s="96" t="n">
        <f aca="false">216500+100000</f>
        <v>316500</v>
      </c>
      <c r="E63" s="166" t="e">
        <f aca="false">C63-D63+#REF!</f>
        <v>#REF!</v>
      </c>
    </row>
    <row r="64" customFormat="false" ht="15" hidden="false" customHeight="false" outlineLevel="0" collapsed="false">
      <c r="A64" s="95" t="n">
        <v>13</v>
      </c>
      <c r="B64" s="73" t="s">
        <v>327</v>
      </c>
      <c r="C64" s="96" t="n">
        <v>416500</v>
      </c>
      <c r="D64" s="96" t="n">
        <f aca="false">70000+150000+100000</f>
        <v>320000</v>
      </c>
      <c r="E64" s="166" t="e">
        <f aca="false">C64-D64+#REF!</f>
        <v>#REF!</v>
      </c>
    </row>
    <row r="65" customFormat="false" ht="15" hidden="false" customHeight="false" outlineLevel="0" collapsed="false">
      <c r="A65" s="95" t="n">
        <v>14</v>
      </c>
      <c r="B65" s="73" t="s">
        <v>328</v>
      </c>
      <c r="C65" s="96" t="n">
        <v>416500</v>
      </c>
      <c r="D65" s="96" t="n">
        <f aca="false">200000</f>
        <v>200000</v>
      </c>
      <c r="E65" s="166" t="e">
        <f aca="false">C65-D65+#REF!</f>
        <v>#REF!</v>
      </c>
    </row>
    <row r="66" customFormat="false" ht="15" hidden="false" customHeight="false" outlineLevel="0" collapsed="false">
      <c r="A66" s="95" t="n">
        <v>15</v>
      </c>
      <c r="B66" s="73" t="s">
        <v>329</v>
      </c>
      <c r="C66" s="96" t="n">
        <v>416500</v>
      </c>
      <c r="D66" s="96" t="n">
        <f aca="false">188500</f>
        <v>188500</v>
      </c>
      <c r="E66" s="166" t="e">
        <f aca="false">C66-D66+#REF!</f>
        <v>#REF!</v>
      </c>
    </row>
    <row r="67" customFormat="false" ht="15" hidden="false" customHeight="false" outlineLevel="0" collapsed="false">
      <c r="A67" s="95" t="n">
        <v>16</v>
      </c>
      <c r="B67" s="73" t="s">
        <v>330</v>
      </c>
      <c r="C67" s="96" t="n">
        <v>416500</v>
      </c>
      <c r="D67" s="96" t="n">
        <f aca="false">100000+116500</f>
        <v>216500</v>
      </c>
      <c r="E67" s="166" t="e">
        <f aca="false">C67-D67+#REF!</f>
        <v>#REF!</v>
      </c>
    </row>
    <row r="68" customFormat="false" ht="15" hidden="false" customHeight="false" outlineLevel="0" collapsed="false">
      <c r="A68" s="95" t="n">
        <v>17</v>
      </c>
      <c r="B68" s="73" t="s">
        <v>331</v>
      </c>
      <c r="C68" s="96" t="n">
        <v>416500</v>
      </c>
      <c r="D68" s="96" t="n">
        <f aca="false">217000+200000</f>
        <v>417000</v>
      </c>
      <c r="E68" s="166" t="n">
        <v>0</v>
      </c>
    </row>
    <row r="69" customFormat="false" ht="15" hidden="false" customHeight="false" outlineLevel="0" collapsed="false">
      <c r="A69" s="95" t="n">
        <v>18</v>
      </c>
      <c r="B69" s="73" t="s">
        <v>332</v>
      </c>
      <c r="C69" s="96" t="n">
        <v>416500</v>
      </c>
      <c r="D69" s="96" t="n">
        <f aca="false">220000</f>
        <v>220000</v>
      </c>
      <c r="E69" s="166" t="e">
        <f aca="false">C69-D69+#REF!</f>
        <v>#REF!</v>
      </c>
    </row>
    <row r="70" customFormat="false" ht="15" hidden="false" customHeight="false" outlineLevel="0" collapsed="false">
      <c r="A70" s="95" t="n">
        <v>19</v>
      </c>
      <c r="B70" s="73" t="s">
        <v>333</v>
      </c>
      <c r="C70" s="96" t="n">
        <v>416500</v>
      </c>
      <c r="D70" s="96" t="n">
        <f aca="false">115500</f>
        <v>115500</v>
      </c>
      <c r="E70" s="166" t="e">
        <f aca="false">C70-D70+#REF!</f>
        <v>#REF!</v>
      </c>
    </row>
    <row r="71" customFormat="false" ht="15" hidden="false" customHeight="false" outlineLevel="0" collapsed="false">
      <c r="A71" s="95" t="n">
        <v>20</v>
      </c>
      <c r="B71" s="73" t="s">
        <v>334</v>
      </c>
      <c r="C71" s="96" t="n">
        <v>416500</v>
      </c>
      <c r="D71" s="96" t="n">
        <f aca="false">148500</f>
        <v>148500</v>
      </c>
      <c r="E71" s="166" t="e">
        <f aca="false">C71-D71+#REF!</f>
        <v>#REF!</v>
      </c>
    </row>
    <row r="72" customFormat="false" ht="15" hidden="false" customHeight="false" outlineLevel="0" collapsed="false">
      <c r="A72" s="95" t="n">
        <v>21</v>
      </c>
      <c r="B72" s="73" t="s">
        <v>335</v>
      </c>
      <c r="C72" s="96" t="n">
        <v>416500</v>
      </c>
      <c r="D72" s="96"/>
      <c r="E72" s="166" t="e">
        <f aca="false">C72-D72+#REF!</f>
        <v>#REF!</v>
      </c>
    </row>
    <row r="73" customFormat="false" ht="15" hidden="false" customHeight="false" outlineLevel="0" collapsed="false">
      <c r="A73" s="95" t="n">
        <v>22</v>
      </c>
      <c r="B73" s="73" t="s">
        <v>336</v>
      </c>
      <c r="C73" s="96" t="n">
        <v>416500</v>
      </c>
      <c r="D73" s="96"/>
      <c r="E73" s="166" t="e">
        <f aca="false">C73-D73+#REF!</f>
        <v>#REF!</v>
      </c>
    </row>
    <row r="74" customFormat="false" ht="15" hidden="false" customHeight="false" outlineLevel="0" collapsed="false">
      <c r="A74" s="95" t="n">
        <v>23</v>
      </c>
      <c r="B74" s="73" t="s">
        <v>337</v>
      </c>
      <c r="C74" s="96" t="n">
        <v>416500</v>
      </c>
      <c r="D74" s="96" t="n">
        <f aca="false">66500+140000</f>
        <v>206500</v>
      </c>
      <c r="E74" s="166" t="e">
        <f aca="false">C74-D74+#REF!</f>
        <v>#REF!</v>
      </c>
    </row>
    <row r="75" customFormat="false" ht="15" hidden="false" customHeight="false" outlineLevel="0" collapsed="false">
      <c r="A75" s="95" t="n">
        <v>24</v>
      </c>
      <c r="B75" s="98" t="s">
        <v>338</v>
      </c>
      <c r="C75" s="96" t="n">
        <v>416500</v>
      </c>
      <c r="D75" s="96" t="n">
        <f aca="false">100000</f>
        <v>100000</v>
      </c>
      <c r="E75" s="166" t="e">
        <f aca="false">C75-D75+#REF!</f>
        <v>#REF!</v>
      </c>
    </row>
    <row r="76" customFormat="false" ht="15" hidden="false" customHeight="false" outlineLevel="0" collapsed="false">
      <c r="A76" s="95" t="n">
        <v>25</v>
      </c>
      <c r="B76" s="73" t="s">
        <v>339</v>
      </c>
      <c r="C76" s="96" t="n">
        <v>416500</v>
      </c>
      <c r="D76" s="96" t="n">
        <f aca="false">217000</f>
        <v>217000</v>
      </c>
      <c r="E76" s="166" t="e">
        <f aca="false">C76-D76+#REF!</f>
        <v>#REF!</v>
      </c>
    </row>
    <row r="77" customFormat="false" ht="15" hidden="false" customHeight="false" outlineLevel="0" collapsed="false">
      <c r="A77" s="95" t="n">
        <v>26</v>
      </c>
      <c r="B77" s="73" t="s">
        <v>340</v>
      </c>
      <c r="C77" s="96" t="n">
        <v>416500</v>
      </c>
      <c r="D77" s="96" t="n">
        <f aca="false">3500+147000</f>
        <v>150500</v>
      </c>
      <c r="E77" s="166" t="e">
        <f aca="false">C77-D77+#REF!</f>
        <v>#REF!</v>
      </c>
    </row>
    <row r="78" customFormat="false" ht="15" hidden="false" customHeight="false" outlineLevel="0" collapsed="false">
      <c r="A78" s="95" t="n">
        <v>27</v>
      </c>
      <c r="B78" s="73" t="s">
        <v>341</v>
      </c>
      <c r="C78" s="96" t="n">
        <v>416500</v>
      </c>
      <c r="D78" s="96" t="n">
        <f aca="false">200000</f>
        <v>200000</v>
      </c>
      <c r="E78" s="166" t="e">
        <f aca="false">C78-D78+#REF!</f>
        <v>#REF!</v>
      </c>
    </row>
    <row r="79" customFormat="false" ht="15" hidden="false" customHeight="false" outlineLevel="0" collapsed="false">
      <c r="A79" s="95" t="n">
        <v>28</v>
      </c>
      <c r="B79" s="98" t="s">
        <v>342</v>
      </c>
      <c r="C79" s="96" t="n">
        <v>416500</v>
      </c>
      <c r="D79" s="96" t="n">
        <f aca="false">216500+200000</f>
        <v>416500</v>
      </c>
      <c r="E79" s="166" t="e">
        <f aca="false">C79-D79+#REF!</f>
        <v>#REF!</v>
      </c>
    </row>
    <row r="80" customFormat="false" ht="15" hidden="false" customHeight="false" outlineLevel="0" collapsed="false">
      <c r="A80" s="95" t="n">
        <v>29</v>
      </c>
      <c r="B80" s="73" t="s">
        <v>343</v>
      </c>
      <c r="C80" s="96" t="n">
        <v>416500</v>
      </c>
      <c r="D80" s="96" t="n">
        <f aca="false">216500</f>
        <v>216500</v>
      </c>
      <c r="E80" s="166" t="e">
        <f aca="false">C80-D80+#REF!</f>
        <v>#REF!</v>
      </c>
    </row>
    <row r="81" customFormat="false" ht="15" hidden="false" customHeight="false" outlineLevel="0" collapsed="false">
      <c r="A81" s="95" t="n">
        <v>30</v>
      </c>
      <c r="B81" s="73" t="s">
        <v>344</v>
      </c>
      <c r="C81" s="96" t="n">
        <v>416500</v>
      </c>
      <c r="D81" s="96" t="n">
        <f aca="false">233000</f>
        <v>233000</v>
      </c>
      <c r="E81" s="166" t="e">
        <f aca="false">C81-D81+#REF!</f>
        <v>#REF!</v>
      </c>
    </row>
    <row r="82" customFormat="false" ht="15" hidden="false" customHeight="false" outlineLevel="0" collapsed="false">
      <c r="A82" s="95" t="n">
        <v>31</v>
      </c>
      <c r="B82" s="98" t="s">
        <v>345</v>
      </c>
      <c r="C82" s="96" t="n">
        <v>416500</v>
      </c>
      <c r="D82" s="96" t="n">
        <f aca="false">8500+100000</f>
        <v>108500</v>
      </c>
      <c r="E82" s="166" t="e">
        <f aca="false">C82-D82+#REF!</f>
        <v>#REF!</v>
      </c>
    </row>
    <row r="83" customFormat="false" ht="15" hidden="false" customHeight="false" outlineLevel="0" collapsed="false">
      <c r="A83" s="95" t="n">
        <v>32</v>
      </c>
      <c r="B83" s="73" t="s">
        <v>346</v>
      </c>
      <c r="C83" s="96" t="n">
        <v>416500</v>
      </c>
      <c r="D83" s="96" t="n">
        <v>180000</v>
      </c>
      <c r="E83" s="166" t="e">
        <f aca="false">C83-D83+#REF!</f>
        <v>#REF!</v>
      </c>
    </row>
    <row r="84" customFormat="false" ht="15" hidden="false" customHeight="false" outlineLevel="0" collapsed="false">
      <c r="A84" s="95" t="n">
        <v>33</v>
      </c>
      <c r="B84" s="73" t="s">
        <v>347</v>
      </c>
      <c r="C84" s="96" t="n">
        <v>416500</v>
      </c>
      <c r="D84" s="96" t="n">
        <f aca="false">316500</f>
        <v>316500</v>
      </c>
      <c r="E84" s="166" t="e">
        <f aca="false">C84-D84+#REF!</f>
        <v>#REF!</v>
      </c>
    </row>
    <row r="85" customFormat="false" ht="15" hidden="false" customHeight="false" outlineLevel="0" collapsed="false">
      <c r="A85" s="95" t="n">
        <v>34</v>
      </c>
      <c r="B85" s="73" t="s">
        <v>348</v>
      </c>
      <c r="C85" s="96" t="n">
        <v>416500</v>
      </c>
      <c r="D85" s="96"/>
      <c r="E85" s="166" t="e">
        <f aca="false">C85-D85+#REF!</f>
        <v>#REF!</v>
      </c>
    </row>
    <row r="86" customFormat="false" ht="15" hidden="false" customHeight="false" outlineLevel="0" collapsed="false">
      <c r="A86" s="95" t="n">
        <v>35</v>
      </c>
      <c r="B86" s="73" t="s">
        <v>350</v>
      </c>
      <c r="C86" s="96" t="n">
        <v>416500</v>
      </c>
      <c r="D86" s="96" t="n">
        <f aca="false">150000</f>
        <v>150000</v>
      </c>
      <c r="E86" s="166" t="e">
        <f aca="false">C86-D86+#REF!</f>
        <v>#REF!</v>
      </c>
    </row>
    <row r="87" customFormat="false" ht="17.35" hidden="false" customHeight="false" outlineLevel="0" collapsed="false">
      <c r="A87" s="112"/>
      <c r="B87" s="100" t="s">
        <v>22</v>
      </c>
      <c r="C87" s="101" t="n">
        <f aca="false">SUM(C52:C86)</f>
        <v>14577500</v>
      </c>
      <c r="D87" s="102" t="n">
        <f aca="false">SUM(D52:D86)</f>
        <v>6237000</v>
      </c>
      <c r="E87" s="103" t="e">
        <f aca="false">SUM(E52:E86)</f>
        <v>#REF!</v>
      </c>
    </row>
    <row r="88" customFormat="false" ht="15" hidden="false" customHeight="false" outlineLevel="0" collapsed="false">
      <c r="A88" s="104"/>
      <c r="D88" s="113"/>
    </row>
    <row r="90" customFormat="false" ht="15" hidden="false" customHeight="false" outlineLevel="0" collapsed="false">
      <c r="A90" s="104"/>
    </row>
    <row r="91" customFormat="false" ht="17.35" hidden="false" customHeight="false" outlineLevel="0" collapsed="false">
      <c r="A91" s="104"/>
      <c r="B91" s="2" t="s">
        <v>0</v>
      </c>
    </row>
    <row r="92" customFormat="false" ht="15" hidden="false" customHeight="false" outlineLevel="0" collapsed="false">
      <c r="A92" s="104"/>
    </row>
    <row r="93" customFormat="false" ht="17.35" hidden="false" customHeight="false" outlineLevel="0" collapsed="false">
      <c r="A93" s="104"/>
      <c r="B93" s="91" t="s">
        <v>283</v>
      </c>
    </row>
    <row r="94" customFormat="false" ht="15" hidden="false" customHeight="false" outlineLevel="0" collapsed="false">
      <c r="A94" s="104"/>
      <c r="B94" s="4" t="s">
        <v>392</v>
      </c>
    </row>
    <row r="95" customFormat="false" ht="15" hidden="false" customHeight="false" outlineLevel="0" collapsed="false">
      <c r="A95" s="104"/>
    </row>
    <row r="96" customFormat="false" ht="15" hidden="false" customHeight="false" outlineLevel="0" collapsed="false">
      <c r="A96" s="92" t="s">
        <v>4</v>
      </c>
      <c r="B96" s="93" t="s">
        <v>285</v>
      </c>
      <c r="C96" s="8" t="s">
        <v>6</v>
      </c>
      <c r="D96" s="94" t="s">
        <v>7</v>
      </c>
      <c r="E96" s="10" t="s">
        <v>8</v>
      </c>
    </row>
    <row r="97" customFormat="false" ht="15" hidden="false" customHeight="false" outlineLevel="0" collapsed="false">
      <c r="A97" s="95" t="n">
        <v>1</v>
      </c>
      <c r="B97" s="116" t="s">
        <v>393</v>
      </c>
      <c r="C97" s="96" t="n">
        <v>416500</v>
      </c>
      <c r="D97" s="96" t="n">
        <f aca="false">100000</f>
        <v>100000</v>
      </c>
      <c r="E97" s="166" t="e">
        <f aca="false">C97-D97+#REF!</f>
        <v>#REF!</v>
      </c>
    </row>
    <row r="98" customFormat="false" ht="15" hidden="false" customHeight="false" outlineLevel="0" collapsed="false">
      <c r="A98" s="95" t="n">
        <v>2</v>
      </c>
      <c r="B98" s="116" t="s">
        <v>395</v>
      </c>
      <c r="C98" s="96" t="n">
        <v>416500</v>
      </c>
      <c r="D98" s="96" t="n">
        <f aca="false">50000+110000+200000</f>
        <v>360000</v>
      </c>
      <c r="E98" s="166" t="e">
        <f aca="false">C98-D98+#REF!</f>
        <v>#REF!</v>
      </c>
    </row>
    <row r="99" customFormat="false" ht="15" hidden="false" customHeight="false" outlineLevel="0" collapsed="false">
      <c r="A99" s="95" t="n">
        <v>3</v>
      </c>
      <c r="B99" s="116" t="s">
        <v>396</v>
      </c>
      <c r="C99" s="96" t="n">
        <v>416500</v>
      </c>
      <c r="D99" s="96"/>
      <c r="E99" s="166" t="e">
        <f aca="false">C99-D99+#REF!</f>
        <v>#REF!</v>
      </c>
    </row>
    <row r="100" customFormat="false" ht="15" hidden="false" customHeight="false" outlineLevel="0" collapsed="false">
      <c r="A100" s="95" t="n">
        <v>4</v>
      </c>
      <c r="B100" s="118" t="s">
        <v>397</v>
      </c>
      <c r="C100" s="96" t="n">
        <v>416500</v>
      </c>
      <c r="D100" s="96" t="n">
        <f aca="false">50000</f>
        <v>50000</v>
      </c>
      <c r="E100" s="166" t="e">
        <f aca="false">C100-D100+#REF!</f>
        <v>#REF!</v>
      </c>
    </row>
    <row r="101" customFormat="false" ht="15" hidden="false" customHeight="false" outlineLevel="0" collapsed="false">
      <c r="A101" s="95" t="n">
        <v>5</v>
      </c>
      <c r="B101" s="116" t="s">
        <v>398</v>
      </c>
      <c r="C101" s="96" t="n">
        <v>416500</v>
      </c>
      <c r="D101" s="96"/>
      <c r="E101" s="166" t="e">
        <f aca="false">C101-D101+#REF!</f>
        <v>#REF!</v>
      </c>
    </row>
    <row r="102" customFormat="false" ht="15" hidden="false" customHeight="false" outlineLevel="0" collapsed="false">
      <c r="A102" s="95" t="n">
        <v>6</v>
      </c>
      <c r="B102" s="116" t="s">
        <v>399</v>
      </c>
      <c r="C102" s="96" t="n">
        <v>416500</v>
      </c>
      <c r="D102" s="96" t="n">
        <f aca="false">416000</f>
        <v>416000</v>
      </c>
      <c r="E102" s="166" t="e">
        <f aca="false">C102-D102+#REF!</f>
        <v>#REF!</v>
      </c>
    </row>
    <row r="103" customFormat="false" ht="15" hidden="false" customHeight="false" outlineLevel="0" collapsed="false">
      <c r="A103" s="95" t="n">
        <v>7</v>
      </c>
      <c r="B103" s="116" t="s">
        <v>400</v>
      </c>
      <c r="C103" s="96" t="n">
        <v>416500</v>
      </c>
      <c r="D103" s="96" t="n">
        <f aca="false">216500</f>
        <v>216500</v>
      </c>
      <c r="E103" s="166" t="e">
        <f aca="false">C103-D103+#REF!</f>
        <v>#REF!</v>
      </c>
    </row>
    <row r="104" customFormat="false" ht="15" hidden="false" customHeight="false" outlineLevel="0" collapsed="false">
      <c r="A104" s="95" t="n">
        <v>8</v>
      </c>
      <c r="B104" s="116" t="s">
        <v>401</v>
      </c>
      <c r="C104" s="96" t="n">
        <v>416500</v>
      </c>
      <c r="D104" s="96" t="n">
        <f aca="false">100000</f>
        <v>100000</v>
      </c>
      <c r="E104" s="166" t="e">
        <f aca="false">C104-D104+#REF!</f>
        <v>#REF!</v>
      </c>
    </row>
    <row r="105" customFormat="false" ht="15" hidden="false" customHeight="false" outlineLevel="0" collapsed="false">
      <c r="A105" s="95" t="n">
        <v>9</v>
      </c>
      <c r="B105" s="116" t="s">
        <v>402</v>
      </c>
      <c r="C105" s="96" t="n">
        <v>416500</v>
      </c>
      <c r="D105" s="96" t="n">
        <v>366500</v>
      </c>
      <c r="E105" s="166" t="e">
        <f aca="false">C105-D105+#REF!</f>
        <v>#REF!</v>
      </c>
    </row>
    <row r="106" customFormat="false" ht="15" hidden="false" customHeight="false" outlineLevel="0" collapsed="false">
      <c r="A106" s="95" t="n">
        <v>10</v>
      </c>
      <c r="B106" s="116" t="s">
        <v>403</v>
      </c>
      <c r="C106" s="96" t="n">
        <v>416500</v>
      </c>
      <c r="D106" s="96" t="n">
        <v>416500</v>
      </c>
      <c r="E106" s="166" t="e">
        <f aca="false">C106-D106+#REF!</f>
        <v>#REF!</v>
      </c>
    </row>
    <row r="107" customFormat="false" ht="15" hidden="false" customHeight="false" outlineLevel="0" collapsed="false">
      <c r="A107" s="95" t="n">
        <v>11</v>
      </c>
      <c r="B107" s="116" t="s">
        <v>404</v>
      </c>
      <c r="C107" s="96" t="n">
        <v>416500</v>
      </c>
      <c r="D107" s="96" t="n">
        <f aca="false">160000</f>
        <v>160000</v>
      </c>
      <c r="E107" s="166" t="e">
        <f aca="false">C107-D107+#REF!</f>
        <v>#REF!</v>
      </c>
    </row>
    <row r="108" customFormat="false" ht="15" hidden="false" customHeight="false" outlineLevel="0" collapsed="false">
      <c r="A108" s="95" t="n">
        <v>12</v>
      </c>
      <c r="B108" s="116" t="s">
        <v>405</v>
      </c>
      <c r="C108" s="96" t="n">
        <v>416500</v>
      </c>
      <c r="D108" s="96" t="n">
        <v>216500</v>
      </c>
      <c r="E108" s="166" t="e">
        <f aca="false">C108-D108+#REF!</f>
        <v>#REF!</v>
      </c>
    </row>
    <row r="109" customFormat="false" ht="15" hidden="false" customHeight="false" outlineLevel="0" collapsed="false">
      <c r="A109" s="95" t="n">
        <v>13</v>
      </c>
      <c r="B109" s="116" t="s">
        <v>406</v>
      </c>
      <c r="C109" s="96" t="n">
        <v>416500</v>
      </c>
      <c r="D109" s="96" t="n">
        <v>83500</v>
      </c>
      <c r="E109" s="166" t="e">
        <f aca="false">C109-D109+#REF!</f>
        <v>#REF!</v>
      </c>
    </row>
    <row r="110" customFormat="false" ht="15" hidden="false" customHeight="false" outlineLevel="0" collapsed="false">
      <c r="A110" s="95" t="n">
        <v>14</v>
      </c>
      <c r="B110" s="116" t="s">
        <v>407</v>
      </c>
      <c r="C110" s="96" t="n">
        <v>416500</v>
      </c>
      <c r="D110" s="96" t="n">
        <f aca="false">416500</f>
        <v>416500</v>
      </c>
      <c r="E110" s="166" t="e">
        <f aca="false">C110-D110+#REF!</f>
        <v>#REF!</v>
      </c>
    </row>
    <row r="111" customFormat="false" ht="15" hidden="false" customHeight="false" outlineLevel="0" collapsed="false">
      <c r="A111" s="95" t="n">
        <v>15</v>
      </c>
      <c r="B111" s="116" t="s">
        <v>408</v>
      </c>
      <c r="C111" s="96" t="n">
        <v>416500</v>
      </c>
      <c r="D111" s="96"/>
      <c r="E111" s="166" t="e">
        <f aca="false">C111-D111+#REF!</f>
        <v>#REF!</v>
      </c>
    </row>
    <row r="112" customFormat="false" ht="15" hidden="false" customHeight="false" outlineLevel="0" collapsed="false">
      <c r="A112" s="95" t="n">
        <v>16</v>
      </c>
      <c r="B112" s="116" t="s">
        <v>409</v>
      </c>
      <c r="C112" s="96" t="n">
        <v>416500</v>
      </c>
      <c r="D112" s="96" t="n">
        <f aca="false">216500</f>
        <v>216500</v>
      </c>
      <c r="E112" s="166" t="e">
        <f aca="false">C112-D112+#REF!</f>
        <v>#REF!</v>
      </c>
    </row>
    <row r="113" customFormat="false" ht="15" hidden="false" customHeight="false" outlineLevel="0" collapsed="false">
      <c r="A113" s="95" t="n">
        <v>17</v>
      </c>
      <c r="B113" s="116" t="s">
        <v>410</v>
      </c>
      <c r="C113" s="96" t="n">
        <v>416500</v>
      </c>
      <c r="D113" s="96" t="n">
        <f aca="false">100000</f>
        <v>100000</v>
      </c>
      <c r="E113" s="166" t="e">
        <f aca="false">C113-D113+#REF!</f>
        <v>#REF!</v>
      </c>
    </row>
    <row r="114" customFormat="false" ht="15" hidden="false" customHeight="false" outlineLevel="0" collapsed="false">
      <c r="A114" s="95" t="n">
        <v>18</v>
      </c>
      <c r="B114" s="116" t="s">
        <v>411</v>
      </c>
      <c r="C114" s="96" t="n">
        <v>416500</v>
      </c>
      <c r="D114" s="96" t="n">
        <v>203500</v>
      </c>
      <c r="E114" s="166" t="e">
        <f aca="false">C114-D114+#REF!</f>
        <v>#REF!</v>
      </c>
    </row>
    <row r="115" customFormat="false" ht="15" hidden="false" customHeight="false" outlineLevel="0" collapsed="false">
      <c r="A115" s="95" t="n">
        <v>19</v>
      </c>
      <c r="B115" s="116" t="s">
        <v>412</v>
      </c>
      <c r="C115" s="96" t="n">
        <v>416500</v>
      </c>
      <c r="D115" s="96"/>
      <c r="E115" s="166" t="e">
        <f aca="false">C115-D115+#REF!</f>
        <v>#REF!</v>
      </c>
    </row>
    <row r="116" customFormat="false" ht="15" hidden="false" customHeight="false" outlineLevel="0" collapsed="false">
      <c r="A116" s="95" t="n">
        <v>20</v>
      </c>
      <c r="B116" s="116" t="s">
        <v>413</v>
      </c>
      <c r="C116" s="96" t="n">
        <v>416500</v>
      </c>
      <c r="D116" s="96" t="n">
        <v>73500</v>
      </c>
      <c r="E116" s="166" t="e">
        <f aca="false">C116-D116+#REF!</f>
        <v>#REF!</v>
      </c>
    </row>
    <row r="117" customFormat="false" ht="15" hidden="false" customHeight="false" outlineLevel="0" collapsed="false">
      <c r="A117" s="95" t="n">
        <v>21</v>
      </c>
      <c r="B117" s="119" t="s">
        <v>414</v>
      </c>
      <c r="C117" s="96" t="n">
        <v>416500</v>
      </c>
      <c r="D117" s="96" t="n">
        <v>150000</v>
      </c>
      <c r="E117" s="166" t="e">
        <f aca="false">C117-D117+#REF!</f>
        <v>#REF!</v>
      </c>
    </row>
    <row r="118" customFormat="false" ht="15" hidden="false" customHeight="false" outlineLevel="0" collapsed="false">
      <c r="A118" s="95" t="n">
        <v>22</v>
      </c>
      <c r="B118" s="116" t="s">
        <v>415</v>
      </c>
      <c r="C118" s="96" t="n">
        <v>416500</v>
      </c>
      <c r="D118" s="96" t="n">
        <f aca="false">90000+3500+120000</f>
        <v>213500</v>
      </c>
      <c r="E118" s="166" t="e">
        <f aca="false">C118-D118+#REF!</f>
        <v>#REF!</v>
      </c>
    </row>
    <row r="119" customFormat="false" ht="15" hidden="false" customHeight="false" outlineLevel="0" collapsed="false">
      <c r="A119" s="95" t="n">
        <v>23</v>
      </c>
      <c r="B119" s="116" t="s">
        <v>416</v>
      </c>
      <c r="C119" s="96" t="n">
        <v>416500</v>
      </c>
      <c r="D119" s="96" t="n">
        <v>416500</v>
      </c>
      <c r="E119" s="166" t="e">
        <f aca="false">C119-D119+#REF!</f>
        <v>#REF!</v>
      </c>
    </row>
    <row r="120" customFormat="false" ht="15" hidden="false" customHeight="false" outlineLevel="0" collapsed="false">
      <c r="A120" s="95" t="n">
        <v>24</v>
      </c>
      <c r="B120" s="116" t="s">
        <v>417</v>
      </c>
      <c r="C120" s="96" t="n">
        <v>416500</v>
      </c>
      <c r="D120" s="96"/>
      <c r="E120" s="166" t="e">
        <f aca="false">C120-D120+#REF!</f>
        <v>#REF!</v>
      </c>
    </row>
    <row r="121" customFormat="false" ht="15" hidden="false" customHeight="false" outlineLevel="0" collapsed="false">
      <c r="A121" s="95" t="n">
        <v>25</v>
      </c>
      <c r="B121" s="116" t="s">
        <v>418</v>
      </c>
      <c r="C121" s="96" t="n">
        <v>416500</v>
      </c>
      <c r="D121" s="96" t="n">
        <f aca="false">100000</f>
        <v>100000</v>
      </c>
      <c r="E121" s="166" t="e">
        <f aca="false">C121-D121+#REF!</f>
        <v>#REF!</v>
      </c>
    </row>
    <row r="122" customFormat="false" ht="15" hidden="false" customHeight="false" outlineLevel="0" collapsed="false">
      <c r="A122" s="95" t="n">
        <v>26</v>
      </c>
      <c r="B122" s="116" t="s">
        <v>419</v>
      </c>
      <c r="C122" s="96" t="n">
        <v>416500</v>
      </c>
      <c r="D122" s="96" t="n">
        <f aca="false">216500+200000</f>
        <v>416500</v>
      </c>
      <c r="E122" s="166" t="e">
        <f aca="false">C122-D122+#REF!</f>
        <v>#REF!</v>
      </c>
    </row>
    <row r="123" customFormat="false" ht="15" hidden="false" customHeight="false" outlineLevel="0" collapsed="false">
      <c r="A123" s="95" t="n">
        <v>27</v>
      </c>
      <c r="B123" s="116" t="s">
        <v>420</v>
      </c>
      <c r="C123" s="96" t="n">
        <v>416500</v>
      </c>
      <c r="D123" s="96" t="n">
        <v>397000</v>
      </c>
      <c r="E123" s="166" t="e">
        <f aca="false">C123-D123+#REF!</f>
        <v>#REF!</v>
      </c>
    </row>
    <row r="124" customFormat="false" ht="15" hidden="false" customHeight="false" outlineLevel="0" collapsed="false">
      <c r="A124" s="95" t="n">
        <v>28</v>
      </c>
      <c r="B124" s="116" t="s">
        <v>421</v>
      </c>
      <c r="C124" s="96" t="n">
        <v>416500</v>
      </c>
      <c r="D124" s="96" t="n">
        <f aca="false">200000</f>
        <v>200000</v>
      </c>
      <c r="E124" s="166" t="e">
        <f aca="false">C124-D124+#REF!</f>
        <v>#REF!</v>
      </c>
    </row>
    <row r="125" customFormat="false" ht="15" hidden="false" customHeight="false" outlineLevel="0" collapsed="false">
      <c r="A125" s="95" t="n">
        <v>29</v>
      </c>
      <c r="B125" s="116" t="s">
        <v>422</v>
      </c>
      <c r="C125" s="96" t="n">
        <v>416500</v>
      </c>
      <c r="D125" s="96"/>
      <c r="E125" s="166" t="e">
        <f aca="false">C125-D125+#REF!</f>
        <v>#REF!</v>
      </c>
    </row>
    <row r="126" customFormat="false" ht="15" hidden="false" customHeight="false" outlineLevel="0" collapsed="false">
      <c r="A126" s="95" t="n">
        <v>30</v>
      </c>
      <c r="B126" s="116" t="s">
        <v>423</v>
      </c>
      <c r="C126" s="96" t="n">
        <v>416500</v>
      </c>
      <c r="D126" s="96" t="n">
        <f aca="false">50000+250000+116500</f>
        <v>416500</v>
      </c>
      <c r="E126" s="166" t="e">
        <f aca="false">C126-D126+#REF!</f>
        <v>#REF!</v>
      </c>
    </row>
    <row r="127" customFormat="false" ht="15" hidden="false" customHeight="false" outlineLevel="0" collapsed="false">
      <c r="A127" s="95" t="n">
        <v>31</v>
      </c>
      <c r="B127" s="116" t="s">
        <v>424</v>
      </c>
      <c r="C127" s="96" t="n">
        <v>416500</v>
      </c>
      <c r="D127" s="96"/>
      <c r="E127" s="166" t="e">
        <f aca="false">C127-D127+#REF!</f>
        <v>#REF!</v>
      </c>
    </row>
    <row r="128" customFormat="false" ht="19.7" hidden="false" customHeight="false" outlineLevel="0" collapsed="false">
      <c r="A128" s="95"/>
      <c r="B128" s="120" t="s">
        <v>22</v>
      </c>
      <c r="C128" s="101" t="n">
        <f aca="false">SUM(C97:C127)</f>
        <v>12911500</v>
      </c>
      <c r="D128" s="102" t="n">
        <f aca="false">SUM(D97:D127)</f>
        <v>5805500</v>
      </c>
      <c r="E128" s="103" t="e">
        <f aca="false">SUM(E97:E127)</f>
        <v>#REF!</v>
      </c>
    </row>
    <row r="129" customFormat="false" ht="19.7" hidden="false" customHeight="false" outlineLevel="0" collapsed="false">
      <c r="A129" s="104"/>
      <c r="B129" s="121"/>
      <c r="C129" s="106"/>
      <c r="D129" s="107"/>
    </row>
    <row r="130" customFormat="false" ht="19.7" hidden="false" customHeight="false" outlineLevel="0" collapsed="false">
      <c r="A130" s="104"/>
      <c r="B130" s="121"/>
      <c r="C130" s="106"/>
      <c r="D130" s="107"/>
    </row>
    <row r="131" customFormat="false" ht="19.7" hidden="false" customHeight="false" outlineLevel="0" collapsed="false">
      <c r="A131" s="104"/>
      <c r="B131" s="121"/>
      <c r="C131" s="106"/>
      <c r="D131" s="107"/>
    </row>
    <row r="132" customFormat="false" ht="17.35" hidden="false" customHeight="false" outlineLevel="0" collapsed="false">
      <c r="A132" s="104"/>
      <c r="B132" s="2" t="s">
        <v>0</v>
      </c>
    </row>
    <row r="133" customFormat="false" ht="15" hidden="false" customHeight="false" outlineLevel="0" collapsed="false">
      <c r="A133" s="104"/>
    </row>
    <row r="134" customFormat="false" ht="17.35" hidden="false" customHeight="false" outlineLevel="0" collapsed="false">
      <c r="A134" s="104"/>
      <c r="B134" s="91" t="s">
        <v>314</v>
      </c>
    </row>
    <row r="135" customFormat="false" ht="15" hidden="false" customHeight="false" outlineLevel="0" collapsed="false">
      <c r="A135" s="104"/>
      <c r="B135" s="4" t="s">
        <v>392</v>
      </c>
    </row>
    <row r="136" customFormat="false" ht="15" hidden="false" customHeight="false" outlineLevel="0" collapsed="false">
      <c r="A136" s="104"/>
    </row>
    <row r="137" customFormat="false" ht="15" hidden="false" customHeight="false" outlineLevel="0" collapsed="false">
      <c r="A137" s="92" t="s">
        <v>4</v>
      </c>
      <c r="B137" s="93" t="s">
        <v>285</v>
      </c>
      <c r="C137" s="8" t="s">
        <v>6</v>
      </c>
      <c r="D137" s="94" t="s">
        <v>7</v>
      </c>
      <c r="E137" s="10" t="s">
        <v>8</v>
      </c>
    </row>
    <row r="138" customFormat="false" ht="15" hidden="false" customHeight="false" outlineLevel="0" collapsed="false">
      <c r="A138" s="95" t="n">
        <v>1</v>
      </c>
      <c r="B138" s="116" t="s">
        <v>425</v>
      </c>
      <c r="C138" s="96" t="n">
        <v>416500</v>
      </c>
      <c r="D138" s="96"/>
      <c r="E138" s="166" t="e">
        <f aca="false">C138-D138+#REF!</f>
        <v>#REF!</v>
      </c>
    </row>
    <row r="139" customFormat="false" ht="15" hidden="false" customHeight="false" outlineLevel="0" collapsed="false">
      <c r="A139" s="95" t="n">
        <v>2</v>
      </c>
      <c r="B139" s="116" t="s">
        <v>426</v>
      </c>
      <c r="C139" s="96" t="n">
        <v>416500</v>
      </c>
      <c r="D139" s="96" t="n">
        <f aca="false">179500</f>
        <v>179500</v>
      </c>
      <c r="E139" s="166" t="e">
        <f aca="false">C139-D139+#REF!</f>
        <v>#REF!</v>
      </c>
    </row>
    <row r="140" customFormat="false" ht="15" hidden="false" customHeight="false" outlineLevel="0" collapsed="false">
      <c r="A140" s="95" t="n">
        <v>3</v>
      </c>
      <c r="B140" s="116" t="s">
        <v>427</v>
      </c>
      <c r="C140" s="96" t="n">
        <v>416500</v>
      </c>
      <c r="D140" s="96" t="n">
        <f aca="false">93500+115000+90000</f>
        <v>298500</v>
      </c>
      <c r="E140" s="166" t="e">
        <f aca="false">C140-D140+#REF!</f>
        <v>#REF!</v>
      </c>
    </row>
    <row r="141" customFormat="false" ht="15" hidden="false" customHeight="false" outlineLevel="0" collapsed="false">
      <c r="A141" s="95" t="n">
        <v>4</v>
      </c>
      <c r="B141" s="118" t="s">
        <v>428</v>
      </c>
      <c r="C141" s="96" t="n">
        <v>416500</v>
      </c>
      <c r="D141" s="96"/>
      <c r="E141" s="166" t="e">
        <f aca="false">C141-D141+#REF!</f>
        <v>#REF!</v>
      </c>
    </row>
    <row r="142" customFormat="false" ht="15" hidden="false" customHeight="false" outlineLevel="0" collapsed="false">
      <c r="A142" s="95" t="n">
        <v>5</v>
      </c>
      <c r="B142" s="116" t="s">
        <v>429</v>
      </c>
      <c r="C142" s="96" t="n">
        <v>416500</v>
      </c>
      <c r="D142" s="96" t="n">
        <v>50000</v>
      </c>
      <c r="E142" s="166" t="e">
        <f aca="false">C142-D142+#REF!</f>
        <v>#REF!</v>
      </c>
    </row>
    <row r="143" customFormat="false" ht="15" hidden="false" customHeight="false" outlineLevel="0" collapsed="false">
      <c r="A143" s="95" t="n">
        <v>6</v>
      </c>
      <c r="B143" s="116" t="s">
        <v>430</v>
      </c>
      <c r="C143" s="96" t="n">
        <v>416500</v>
      </c>
      <c r="D143" s="96" t="n">
        <v>297000</v>
      </c>
      <c r="E143" s="166" t="e">
        <f aca="false">C143-D143+#REF!</f>
        <v>#REF!</v>
      </c>
    </row>
    <row r="144" customFormat="false" ht="15" hidden="false" customHeight="false" outlineLevel="0" collapsed="false">
      <c r="A144" s="95" t="n">
        <v>7</v>
      </c>
      <c r="B144" s="116" t="s">
        <v>431</v>
      </c>
      <c r="C144" s="96" t="n">
        <v>416500</v>
      </c>
      <c r="D144" s="96" t="n">
        <f aca="false">279000</f>
        <v>279000</v>
      </c>
      <c r="E144" s="166" t="e">
        <f aca="false">C144-D144+#REF!</f>
        <v>#REF!</v>
      </c>
    </row>
    <row r="145" customFormat="false" ht="15" hidden="false" customHeight="false" outlineLevel="0" collapsed="false">
      <c r="A145" s="95" t="n">
        <v>8</v>
      </c>
      <c r="B145" s="116" t="s">
        <v>432</v>
      </c>
      <c r="C145" s="96" t="n">
        <v>416500</v>
      </c>
      <c r="D145" s="96" t="n">
        <v>50000</v>
      </c>
      <c r="E145" s="166" t="e">
        <f aca="false">C145-D145+#REF!</f>
        <v>#REF!</v>
      </c>
    </row>
    <row r="146" customFormat="false" ht="15" hidden="false" customHeight="false" outlineLevel="0" collapsed="false">
      <c r="A146" s="95" t="n">
        <v>9</v>
      </c>
      <c r="B146" s="116" t="s">
        <v>433</v>
      </c>
      <c r="C146" s="96" t="n">
        <v>416500</v>
      </c>
      <c r="D146" s="96"/>
      <c r="E146" s="166" t="e">
        <f aca="false">C146-D146+#REF!</f>
        <v>#REF!</v>
      </c>
    </row>
    <row r="147" customFormat="false" ht="15" hidden="false" customHeight="false" outlineLevel="0" collapsed="false">
      <c r="A147" s="95" t="n">
        <v>10</v>
      </c>
      <c r="B147" s="116" t="s">
        <v>434</v>
      </c>
      <c r="C147" s="96" t="n">
        <v>416500</v>
      </c>
      <c r="D147" s="96" t="n">
        <f aca="false">216500+200000</f>
        <v>416500</v>
      </c>
      <c r="E147" s="166" t="e">
        <f aca="false">C147-D147+#REF!</f>
        <v>#REF!</v>
      </c>
    </row>
    <row r="148" customFormat="false" ht="15" hidden="false" customHeight="false" outlineLevel="0" collapsed="false">
      <c r="A148" s="95" t="n">
        <v>11</v>
      </c>
      <c r="B148" s="116" t="s">
        <v>435</v>
      </c>
      <c r="C148" s="96" t="n">
        <v>416500</v>
      </c>
      <c r="D148" s="96" t="n">
        <v>200000</v>
      </c>
      <c r="E148" s="166" t="e">
        <f aca="false">C148-D148+#REF!</f>
        <v>#REF!</v>
      </c>
    </row>
    <row r="149" customFormat="false" ht="15" hidden="false" customHeight="false" outlineLevel="0" collapsed="false">
      <c r="A149" s="95" t="n">
        <v>12</v>
      </c>
      <c r="B149" s="116" t="s">
        <v>969</v>
      </c>
      <c r="C149" s="96" t="n">
        <v>416500</v>
      </c>
      <c r="D149" s="96"/>
      <c r="E149" s="166" t="e">
        <f aca="false">C149-D149+#REF!</f>
        <v>#REF!</v>
      </c>
    </row>
    <row r="150" customFormat="false" ht="15" hidden="false" customHeight="false" outlineLevel="0" collapsed="false">
      <c r="A150" s="95" t="n">
        <v>13</v>
      </c>
      <c r="B150" s="116" t="s">
        <v>437</v>
      </c>
      <c r="C150" s="96" t="n">
        <v>416500</v>
      </c>
      <c r="D150" s="96" t="n">
        <v>7000</v>
      </c>
      <c r="E150" s="166" t="e">
        <f aca="false">C150-D150+#REF!</f>
        <v>#REF!</v>
      </c>
    </row>
    <row r="151" customFormat="false" ht="15" hidden="false" customHeight="false" outlineLevel="0" collapsed="false">
      <c r="A151" s="95" t="n">
        <v>14</v>
      </c>
      <c r="B151" s="116" t="s">
        <v>438</v>
      </c>
      <c r="C151" s="96" t="n">
        <v>416500</v>
      </c>
      <c r="D151" s="96" t="n">
        <v>16500</v>
      </c>
      <c r="E151" s="166" t="e">
        <f aca="false">C151-D151+#REF!</f>
        <v>#REF!</v>
      </c>
    </row>
    <row r="152" customFormat="false" ht="15" hidden="false" customHeight="false" outlineLevel="0" collapsed="false">
      <c r="A152" s="95" t="n">
        <v>15</v>
      </c>
      <c r="B152" s="116" t="s">
        <v>439</v>
      </c>
      <c r="C152" s="96" t="n">
        <v>416500</v>
      </c>
      <c r="D152" s="96"/>
      <c r="E152" s="166" t="e">
        <f aca="false">C152-D152+#REF!</f>
        <v>#REF!</v>
      </c>
    </row>
    <row r="153" customFormat="false" ht="15" hidden="false" customHeight="false" outlineLevel="0" collapsed="false">
      <c r="A153" s="95" t="n">
        <v>16</v>
      </c>
      <c r="B153" s="116" t="s">
        <v>440</v>
      </c>
      <c r="C153" s="96" t="n">
        <v>416500</v>
      </c>
      <c r="D153" s="96"/>
      <c r="E153" s="166" t="e">
        <f aca="false">C153-D153+#REF!</f>
        <v>#REF!</v>
      </c>
    </row>
    <row r="154" customFormat="false" ht="15" hidden="false" customHeight="false" outlineLevel="0" collapsed="false">
      <c r="A154" s="95" t="n">
        <v>17</v>
      </c>
      <c r="B154" s="116" t="s">
        <v>441</v>
      </c>
      <c r="C154" s="96" t="n">
        <v>416500</v>
      </c>
      <c r="D154" s="96"/>
      <c r="E154" s="166" t="e">
        <f aca="false">C154-D154+#REF!</f>
        <v>#REF!</v>
      </c>
    </row>
    <row r="155" customFormat="false" ht="15" hidden="false" customHeight="false" outlineLevel="0" collapsed="false">
      <c r="A155" s="95" t="n">
        <v>18</v>
      </c>
      <c r="B155" s="116" t="s">
        <v>442</v>
      </c>
      <c r="C155" s="96" t="n">
        <v>416500</v>
      </c>
      <c r="D155" s="96"/>
      <c r="E155" s="166" t="e">
        <f aca="false">C155-D155+#REF!</f>
        <v>#REF!</v>
      </c>
    </row>
    <row r="156" customFormat="false" ht="15" hidden="false" customHeight="false" outlineLevel="0" collapsed="false">
      <c r="A156" s="95" t="n">
        <v>19</v>
      </c>
      <c r="B156" s="116" t="s">
        <v>443</v>
      </c>
      <c r="C156" s="96" t="n">
        <v>416500</v>
      </c>
      <c r="D156" s="96" t="n">
        <f aca="false">200500</f>
        <v>200500</v>
      </c>
      <c r="E156" s="166" t="e">
        <f aca="false">C156-D156+#REF!</f>
        <v>#REF!</v>
      </c>
    </row>
    <row r="157" customFormat="false" ht="15" hidden="false" customHeight="false" outlineLevel="0" collapsed="false">
      <c r="A157" s="95" t="n">
        <v>20</v>
      </c>
      <c r="B157" s="116" t="s">
        <v>444</v>
      </c>
      <c r="C157" s="96" t="n">
        <v>416500</v>
      </c>
      <c r="D157" s="96" t="n">
        <f aca="false">3500</f>
        <v>3500</v>
      </c>
      <c r="E157" s="166" t="e">
        <f aca="false">C157-D157+#REF!</f>
        <v>#REF!</v>
      </c>
    </row>
    <row r="158" customFormat="false" ht="15" hidden="false" customHeight="false" outlineLevel="0" collapsed="false">
      <c r="A158" s="95" t="n">
        <v>21</v>
      </c>
      <c r="B158" s="116" t="s">
        <v>445</v>
      </c>
      <c r="C158" s="96" t="n">
        <v>416500</v>
      </c>
      <c r="D158" s="96" t="n">
        <v>216500</v>
      </c>
      <c r="E158" s="166" t="e">
        <f aca="false">C158-D158+#REF!</f>
        <v>#REF!</v>
      </c>
    </row>
    <row r="159" customFormat="false" ht="15" hidden="false" customHeight="false" outlineLevel="0" collapsed="false">
      <c r="A159" s="95" t="n">
        <v>22</v>
      </c>
      <c r="B159" s="116" t="s">
        <v>446</v>
      </c>
      <c r="C159" s="96" t="n">
        <v>416500</v>
      </c>
      <c r="D159" s="96" t="n">
        <v>393500</v>
      </c>
      <c r="E159" s="166" t="e">
        <f aca="false">C159-D159+#REF!</f>
        <v>#REF!</v>
      </c>
    </row>
    <row r="160" customFormat="false" ht="15" hidden="false" customHeight="false" outlineLevel="0" collapsed="false">
      <c r="A160" s="95" t="n">
        <v>23</v>
      </c>
      <c r="B160" s="73" t="s">
        <v>447</v>
      </c>
      <c r="C160" s="96" t="n">
        <v>416500</v>
      </c>
      <c r="D160" s="96"/>
      <c r="E160" s="166" t="e">
        <f aca="false">C160-D160+#REF!</f>
        <v>#REF!</v>
      </c>
    </row>
    <row r="161" customFormat="false" ht="15" hidden="false" customHeight="false" outlineLevel="0" collapsed="false">
      <c r="A161" s="95" t="n">
        <v>24</v>
      </c>
      <c r="B161" s="116" t="s">
        <v>448</v>
      </c>
      <c r="C161" s="96" t="n">
        <v>416500</v>
      </c>
      <c r="D161" s="96" t="n">
        <v>300500</v>
      </c>
      <c r="E161" s="166" t="e">
        <f aca="false">C161-D161+#REF!</f>
        <v>#REF!</v>
      </c>
    </row>
    <row r="162" customFormat="false" ht="15" hidden="false" customHeight="false" outlineLevel="0" collapsed="false">
      <c r="A162" s="95" t="n">
        <v>25</v>
      </c>
      <c r="B162" s="116" t="s">
        <v>449</v>
      </c>
      <c r="C162" s="96" t="n">
        <v>416500</v>
      </c>
      <c r="D162" s="96" t="n">
        <v>1000</v>
      </c>
      <c r="E162" s="166" t="e">
        <f aca="false">C162-D162+#REF!</f>
        <v>#REF!</v>
      </c>
    </row>
    <row r="163" customFormat="false" ht="15" hidden="false" customHeight="false" outlineLevel="0" collapsed="false">
      <c r="A163" s="95" t="n">
        <v>26</v>
      </c>
      <c r="B163" s="116" t="s">
        <v>450</v>
      </c>
      <c r="C163" s="96" t="n">
        <v>416500</v>
      </c>
      <c r="D163" s="96" t="n">
        <f aca="false">166500</f>
        <v>166500</v>
      </c>
      <c r="E163" s="166" t="e">
        <f aca="false">C163-D163+#REF!</f>
        <v>#REF!</v>
      </c>
    </row>
    <row r="164" customFormat="false" ht="15" hidden="false" customHeight="false" outlineLevel="0" collapsed="false">
      <c r="A164" s="95" t="n">
        <v>27</v>
      </c>
      <c r="B164" s="116" t="s">
        <v>451</v>
      </c>
      <c r="C164" s="96" t="n">
        <v>416500</v>
      </c>
      <c r="D164" s="96" t="n">
        <v>66500</v>
      </c>
      <c r="E164" s="166" t="e">
        <f aca="false">C164-D164+#REF!</f>
        <v>#REF!</v>
      </c>
    </row>
    <row r="165" customFormat="false" ht="15" hidden="false" customHeight="false" outlineLevel="0" collapsed="false">
      <c r="A165" s="95" t="n">
        <v>28</v>
      </c>
      <c r="B165" s="116" t="s">
        <v>452</v>
      </c>
      <c r="C165" s="96" t="n">
        <v>416500</v>
      </c>
      <c r="D165" s="96" t="n">
        <f aca="false">100000</f>
        <v>100000</v>
      </c>
      <c r="E165" s="166" t="e">
        <f aca="false">C165-D165+#REF!</f>
        <v>#REF!</v>
      </c>
    </row>
    <row r="166" customFormat="false" ht="15" hidden="false" customHeight="false" outlineLevel="0" collapsed="false">
      <c r="A166" s="95" t="n">
        <v>29</v>
      </c>
      <c r="B166" s="116" t="s">
        <v>453</v>
      </c>
      <c r="C166" s="96" t="n">
        <v>416500</v>
      </c>
      <c r="D166" s="96"/>
      <c r="E166" s="166" t="e">
        <f aca="false">C166-D166+#REF!</f>
        <v>#REF!</v>
      </c>
    </row>
    <row r="167" customFormat="false" ht="15" hidden="false" customHeight="false" outlineLevel="0" collapsed="false">
      <c r="A167" s="95" t="n">
        <v>30</v>
      </c>
      <c r="B167" s="116" t="s">
        <v>454</v>
      </c>
      <c r="C167" s="96" t="n">
        <v>416500</v>
      </c>
      <c r="D167" s="96"/>
      <c r="E167" s="166" t="e">
        <f aca="false">C167-D167+#REF!</f>
        <v>#REF!</v>
      </c>
    </row>
    <row r="168" customFormat="false" ht="15" hidden="false" customHeight="false" outlineLevel="0" collapsed="false">
      <c r="A168" s="95" t="n">
        <v>31</v>
      </c>
      <c r="B168" s="116" t="s">
        <v>455</v>
      </c>
      <c r="C168" s="96" t="n">
        <v>416500</v>
      </c>
      <c r="D168" s="96"/>
      <c r="E168" s="166" t="e">
        <f aca="false">C168-D168+#REF!</f>
        <v>#REF!</v>
      </c>
    </row>
    <row r="169" customFormat="false" ht="15" hidden="false" customHeight="false" outlineLevel="0" collapsed="false">
      <c r="A169" s="95" t="n">
        <v>32</v>
      </c>
      <c r="B169" s="73" t="s">
        <v>456</v>
      </c>
      <c r="C169" s="96" t="n">
        <v>416500</v>
      </c>
      <c r="D169" s="96" t="n">
        <f aca="false">116500</f>
        <v>116500</v>
      </c>
      <c r="E169" s="166" t="e">
        <f aca="false">C169-D169+#REF!</f>
        <v>#REF!</v>
      </c>
    </row>
    <row r="170" customFormat="false" ht="15" hidden="false" customHeight="false" outlineLevel="0" collapsed="false">
      <c r="A170" s="95" t="n">
        <v>33</v>
      </c>
      <c r="B170" s="116" t="s">
        <v>457</v>
      </c>
      <c r="C170" s="96" t="n">
        <v>416500</v>
      </c>
      <c r="D170" s="96"/>
      <c r="E170" s="166" t="e">
        <f aca="false">C170-D170+#REF!</f>
        <v>#REF!</v>
      </c>
    </row>
    <row r="171" customFormat="false" ht="15" hidden="false" customHeight="false" outlineLevel="0" collapsed="false">
      <c r="A171" s="95" t="n">
        <v>34</v>
      </c>
      <c r="B171" s="116" t="s">
        <v>458</v>
      </c>
      <c r="C171" s="96" t="n">
        <v>416500</v>
      </c>
      <c r="D171" s="96" t="n">
        <v>13500</v>
      </c>
      <c r="E171" s="166" t="e">
        <f aca="false">C171-D171+#REF!</f>
        <v>#REF!</v>
      </c>
    </row>
    <row r="172" customFormat="false" ht="15" hidden="false" customHeight="false" outlineLevel="0" collapsed="false">
      <c r="A172" s="95" t="n">
        <v>35</v>
      </c>
      <c r="B172" s="116" t="s">
        <v>459</v>
      </c>
      <c r="C172" s="96" t="n">
        <v>416500</v>
      </c>
      <c r="D172" s="96" t="n">
        <f aca="false">100000</f>
        <v>100000</v>
      </c>
      <c r="E172" s="166" t="e">
        <f aca="false">C172-D172+#REF!</f>
        <v>#REF!</v>
      </c>
    </row>
    <row r="173" customFormat="false" ht="15" hidden="false" customHeight="false" outlineLevel="0" collapsed="false">
      <c r="A173" s="95" t="n">
        <v>36</v>
      </c>
      <c r="B173" s="116" t="s">
        <v>460</v>
      </c>
      <c r="C173" s="96" t="n">
        <v>416500</v>
      </c>
      <c r="D173" s="96" t="n">
        <v>311500</v>
      </c>
      <c r="E173" s="166" t="e">
        <f aca="false">C173-D173+#REF!</f>
        <v>#REF!</v>
      </c>
    </row>
    <row r="174" customFormat="false" ht="15" hidden="false" customHeight="false" outlineLevel="0" collapsed="false">
      <c r="A174" s="95" t="n">
        <v>37</v>
      </c>
      <c r="B174" s="116" t="s">
        <v>461</v>
      </c>
      <c r="C174" s="96" t="n">
        <v>416500</v>
      </c>
      <c r="D174" s="96" t="n">
        <f aca="false">200500</f>
        <v>200500</v>
      </c>
      <c r="E174" s="166" t="e">
        <f aca="false">C174-D174+#REF!</f>
        <v>#REF!</v>
      </c>
    </row>
    <row r="175" customFormat="false" ht="15" hidden="false" customHeight="false" outlineLevel="0" collapsed="false">
      <c r="A175" s="95" t="n">
        <v>38</v>
      </c>
      <c r="B175" s="116" t="s">
        <v>462</v>
      </c>
      <c r="C175" s="96" t="n">
        <v>416500</v>
      </c>
      <c r="D175" s="96" t="n">
        <v>100000</v>
      </c>
      <c r="E175" s="166" t="e">
        <f aca="false">C175-D175+#REF!</f>
        <v>#REF!</v>
      </c>
    </row>
    <row r="176" customFormat="false" ht="15" hidden="false" customHeight="false" outlineLevel="0" collapsed="false">
      <c r="A176" s="95" t="n">
        <v>39</v>
      </c>
      <c r="B176" s="116" t="s">
        <v>463</v>
      </c>
      <c r="C176" s="96" t="n">
        <v>416500</v>
      </c>
      <c r="D176" s="96" t="n">
        <f aca="false">321500</f>
        <v>321500</v>
      </c>
      <c r="E176" s="166" t="e">
        <f aca="false">C176-D176+#REF!</f>
        <v>#REF!</v>
      </c>
    </row>
    <row r="177" customFormat="false" ht="17.35" hidden="false" customHeight="false" outlineLevel="0" collapsed="false">
      <c r="A177" s="112"/>
      <c r="B177" s="100" t="s">
        <v>22</v>
      </c>
      <c r="C177" s="101" t="n">
        <f aca="false">SUM(C138:C176)</f>
        <v>16243500</v>
      </c>
      <c r="D177" s="102" t="n">
        <f aca="false">SUM(D138:D173)</f>
        <v>3784000</v>
      </c>
      <c r="E177" s="103" t="e">
        <f aca="false">SUM(E138:E176)</f>
        <v>#REF!</v>
      </c>
    </row>
    <row r="178" customFormat="false" ht="15" hidden="false" customHeight="false" outlineLevel="0" collapsed="false">
      <c r="A178" s="104"/>
    </row>
    <row r="179" customFormat="false" ht="15" hidden="false" customHeight="false" outlineLevel="0" collapsed="false">
      <c r="A179" s="104"/>
    </row>
    <row r="183" customFormat="false" ht="17.35" hidden="false" customHeight="false" outlineLevel="0" collapsed="false">
      <c r="A183" s="108"/>
      <c r="B183" s="2" t="s">
        <v>0</v>
      </c>
    </row>
    <row r="184" customFormat="false" ht="15" hidden="false" customHeight="false" outlineLevel="0" collapsed="false">
      <c r="A184" s="104"/>
    </row>
    <row r="185" customFormat="false" ht="17.35" hidden="false" customHeight="false" outlineLevel="0" collapsed="false">
      <c r="A185" s="104"/>
      <c r="B185" s="91" t="s">
        <v>283</v>
      </c>
    </row>
    <row r="186" customFormat="false" ht="15" hidden="false" customHeight="false" outlineLevel="0" collapsed="false">
      <c r="A186" s="104"/>
      <c r="B186" s="4" t="s">
        <v>493</v>
      </c>
    </row>
    <row r="187" customFormat="false" ht="15" hidden="false" customHeight="false" outlineLevel="0" collapsed="false">
      <c r="A187" s="104"/>
    </row>
    <row r="188" customFormat="false" ht="15" hidden="false" customHeight="false" outlineLevel="0" collapsed="false">
      <c r="A188" s="6" t="s">
        <v>4</v>
      </c>
      <c r="B188" s="7" t="s">
        <v>5</v>
      </c>
      <c r="C188" s="8" t="s">
        <v>6</v>
      </c>
      <c r="D188" s="94" t="s">
        <v>7</v>
      </c>
      <c r="E188" s="10" t="s">
        <v>8</v>
      </c>
    </row>
    <row r="189" customFormat="false" ht="15" hidden="false" customHeight="false" outlineLevel="0" collapsed="false">
      <c r="A189" s="95" t="n">
        <v>1</v>
      </c>
      <c r="B189" s="53" t="s">
        <v>494</v>
      </c>
      <c r="C189" s="96" t="n">
        <v>416500</v>
      </c>
      <c r="D189" s="96"/>
      <c r="E189" s="166" t="e">
        <f aca="false">C189-D189+#REF!</f>
        <v>#REF!</v>
      </c>
    </row>
    <row r="190" customFormat="false" ht="15" hidden="false" customHeight="false" outlineLevel="0" collapsed="false">
      <c r="A190" s="95" t="n">
        <v>2</v>
      </c>
      <c r="B190" s="41" t="s">
        <v>496</v>
      </c>
      <c r="C190" s="96" t="n">
        <v>416500</v>
      </c>
      <c r="D190" s="123" t="n">
        <f aca="false">170000</f>
        <v>170000</v>
      </c>
      <c r="E190" s="166" t="e">
        <f aca="false">C190-D190+#REF!</f>
        <v>#REF!</v>
      </c>
    </row>
    <row r="191" customFormat="false" ht="15" hidden="false" customHeight="false" outlineLevel="0" collapsed="false">
      <c r="A191" s="95" t="n">
        <v>3</v>
      </c>
      <c r="B191" s="41" t="s">
        <v>497</v>
      </c>
      <c r="C191" s="96" t="n">
        <v>416500</v>
      </c>
      <c r="D191" s="123" t="n">
        <f aca="false">100000</f>
        <v>100000</v>
      </c>
      <c r="E191" s="166" t="e">
        <f aca="false">C191-D191+#REF!</f>
        <v>#REF!</v>
      </c>
    </row>
    <row r="192" customFormat="false" ht="15" hidden="false" customHeight="false" outlineLevel="0" collapsed="false">
      <c r="A192" s="95" t="n">
        <v>4</v>
      </c>
      <c r="B192" s="41" t="s">
        <v>499</v>
      </c>
      <c r="C192" s="96" t="n">
        <v>416500</v>
      </c>
      <c r="D192" s="123"/>
      <c r="E192" s="166" t="e">
        <f aca="false">C192-D192+#REF!</f>
        <v>#REF!</v>
      </c>
    </row>
    <row r="193" customFormat="false" ht="15" hidden="false" customHeight="false" outlineLevel="0" collapsed="false">
      <c r="A193" s="95" t="n">
        <v>5</v>
      </c>
      <c r="B193" s="41" t="s">
        <v>501</v>
      </c>
      <c r="C193" s="96" t="n">
        <v>416500</v>
      </c>
      <c r="D193" s="123" t="n">
        <f aca="false">100000+100000</f>
        <v>200000</v>
      </c>
      <c r="E193" s="166" t="e">
        <f aca="false">C193-D193+#REF!</f>
        <v>#REF!</v>
      </c>
    </row>
    <row r="194" customFormat="false" ht="15" hidden="false" customHeight="false" outlineLevel="0" collapsed="false">
      <c r="A194" s="95" t="n">
        <v>6</v>
      </c>
      <c r="B194" s="41" t="s">
        <v>502</v>
      </c>
      <c r="C194" s="96" t="n">
        <v>416500</v>
      </c>
      <c r="D194" s="123" t="n">
        <f aca="false">175000</f>
        <v>175000</v>
      </c>
      <c r="E194" s="166" t="e">
        <f aca="false">C194-D194+#REF!</f>
        <v>#REF!</v>
      </c>
    </row>
    <row r="195" customFormat="false" ht="15" hidden="false" customHeight="false" outlineLevel="0" collapsed="false">
      <c r="A195" s="95" t="n">
        <v>7</v>
      </c>
      <c r="B195" s="41" t="s">
        <v>504</v>
      </c>
      <c r="C195" s="96" t="n">
        <v>416500</v>
      </c>
      <c r="D195" s="123" t="n">
        <f aca="false">70000+90000</f>
        <v>160000</v>
      </c>
      <c r="E195" s="166" t="e">
        <f aca="false">C195-D195+#REF!</f>
        <v>#REF!</v>
      </c>
    </row>
    <row r="196" customFormat="false" ht="15" hidden="false" customHeight="false" outlineLevel="0" collapsed="false">
      <c r="A196" s="95" t="n">
        <v>8</v>
      </c>
      <c r="B196" s="41" t="s">
        <v>505</v>
      </c>
      <c r="C196" s="96" t="n">
        <v>416500</v>
      </c>
      <c r="D196" s="123" t="n">
        <f aca="false">100000+100000</f>
        <v>200000</v>
      </c>
      <c r="E196" s="166" t="e">
        <f aca="false">C196-D196+#REF!</f>
        <v>#REF!</v>
      </c>
    </row>
    <row r="197" customFormat="false" ht="15" hidden="false" customHeight="false" outlineLevel="0" collapsed="false">
      <c r="A197" s="95"/>
      <c r="B197" s="41" t="s">
        <v>506</v>
      </c>
      <c r="C197" s="96" t="n">
        <v>416500</v>
      </c>
      <c r="D197" s="123" t="n">
        <v>200000</v>
      </c>
      <c r="E197" s="166" t="n">
        <v>216500</v>
      </c>
    </row>
    <row r="198" customFormat="false" ht="15" hidden="false" customHeight="false" outlineLevel="0" collapsed="false">
      <c r="A198" s="95" t="n">
        <v>9</v>
      </c>
      <c r="B198" s="41" t="s">
        <v>507</v>
      </c>
      <c r="C198" s="96" t="n">
        <v>416500</v>
      </c>
      <c r="D198" s="123" t="n">
        <f aca="false">135000</f>
        <v>135000</v>
      </c>
      <c r="E198" s="166" t="e">
        <f aca="false">C198-D198+#REF!</f>
        <v>#REF!</v>
      </c>
    </row>
    <row r="199" customFormat="false" ht="15" hidden="false" customHeight="false" outlineLevel="0" collapsed="false">
      <c r="A199" s="95" t="n">
        <v>10</v>
      </c>
      <c r="B199" s="41" t="s">
        <v>498</v>
      </c>
      <c r="C199" s="96" t="n">
        <v>416500</v>
      </c>
      <c r="D199" s="123"/>
      <c r="E199" s="166" t="e">
        <f aca="false">C199-D199+#REF!</f>
        <v>#REF!</v>
      </c>
    </row>
    <row r="200" customFormat="false" ht="15" hidden="false" customHeight="false" outlineLevel="0" collapsed="false">
      <c r="A200" s="95" t="n">
        <v>11</v>
      </c>
      <c r="B200" s="41" t="s">
        <v>500</v>
      </c>
      <c r="C200" s="96" t="n">
        <v>416500</v>
      </c>
      <c r="D200" s="123" t="n">
        <f aca="false">216500</f>
        <v>216500</v>
      </c>
      <c r="E200" s="166" t="e">
        <f aca="false">C200-D200+#REF!</f>
        <v>#REF!</v>
      </c>
    </row>
    <row r="201" customFormat="false" ht="15" hidden="false" customHeight="false" outlineLevel="0" collapsed="false">
      <c r="A201" s="95" t="n">
        <v>12</v>
      </c>
      <c r="B201" s="41" t="s">
        <v>503</v>
      </c>
      <c r="C201" s="96" t="n">
        <v>416500</v>
      </c>
      <c r="D201" s="123"/>
      <c r="E201" s="166" t="e">
        <f aca="false">C201-D201+#REF!</f>
        <v>#REF!</v>
      </c>
    </row>
    <row r="202" customFormat="false" ht="15" hidden="false" customHeight="false" outlineLevel="0" collapsed="false">
      <c r="A202" s="95" t="n">
        <v>13</v>
      </c>
      <c r="B202" s="41" t="s">
        <v>508</v>
      </c>
      <c r="C202" s="96" t="n">
        <v>416500</v>
      </c>
      <c r="D202" s="123" t="n">
        <f aca="false">300000</f>
        <v>300000</v>
      </c>
      <c r="E202" s="166" t="e">
        <f aca="false">C202-D202+#REF!</f>
        <v>#REF!</v>
      </c>
    </row>
    <row r="203" customFormat="false" ht="15" hidden="false" customHeight="false" outlineLevel="0" collapsed="false">
      <c r="A203" s="95" t="n">
        <v>14</v>
      </c>
      <c r="B203" s="41" t="s">
        <v>509</v>
      </c>
      <c r="C203" s="96" t="n">
        <v>416500</v>
      </c>
      <c r="D203" s="123"/>
      <c r="E203" s="166" t="e">
        <f aca="false">C203-D203+#REF!</f>
        <v>#REF!</v>
      </c>
    </row>
    <row r="204" customFormat="false" ht="15" hidden="false" customHeight="false" outlineLevel="0" collapsed="false">
      <c r="A204" s="95" t="n">
        <v>15</v>
      </c>
      <c r="B204" s="41" t="s">
        <v>511</v>
      </c>
      <c r="C204" s="96" t="n">
        <v>416500</v>
      </c>
      <c r="D204" s="123"/>
      <c r="E204" s="166" t="e">
        <f aca="false">C204-D204+#REF!</f>
        <v>#REF!</v>
      </c>
    </row>
    <row r="205" customFormat="false" ht="15" hidden="false" customHeight="false" outlineLevel="0" collapsed="false">
      <c r="A205" s="95" t="n">
        <v>16</v>
      </c>
      <c r="B205" s="41" t="s">
        <v>510</v>
      </c>
      <c r="C205" s="96" t="n">
        <v>416500</v>
      </c>
      <c r="D205" s="123"/>
      <c r="E205" s="166" t="e">
        <f aca="false">C205-D205+#REF!</f>
        <v>#REF!</v>
      </c>
    </row>
    <row r="206" customFormat="false" ht="15" hidden="false" customHeight="false" outlineLevel="0" collapsed="false">
      <c r="A206" s="95" t="n">
        <v>17</v>
      </c>
      <c r="B206" s="41" t="s">
        <v>495</v>
      </c>
      <c r="C206" s="96" t="n">
        <v>416500</v>
      </c>
      <c r="D206" s="123" t="n">
        <f aca="false">100000</f>
        <v>100000</v>
      </c>
      <c r="E206" s="166" t="e">
        <f aca="false">C206-D206+#REF!</f>
        <v>#REF!</v>
      </c>
    </row>
    <row r="207" customFormat="false" ht="15" hidden="false" customHeight="true" outlineLevel="0" collapsed="false">
      <c r="A207" s="95" t="n">
        <v>18</v>
      </c>
      <c r="B207" s="41" t="s">
        <v>513</v>
      </c>
      <c r="C207" s="96" t="n">
        <v>416500</v>
      </c>
      <c r="D207" s="123" t="n">
        <f aca="false">216500</f>
        <v>216500</v>
      </c>
      <c r="E207" s="166" t="e">
        <f aca="false">C207-D207+#REF!</f>
        <v>#REF!</v>
      </c>
    </row>
    <row r="208" customFormat="false" ht="15.75" hidden="false" customHeight="true" outlineLevel="0" collapsed="false">
      <c r="A208" s="95" t="n">
        <v>19</v>
      </c>
      <c r="B208" s="41" t="s">
        <v>512</v>
      </c>
      <c r="C208" s="96" t="n">
        <v>416500</v>
      </c>
      <c r="D208" s="123"/>
      <c r="E208" s="166" t="e">
        <f aca="false">C208-D208+#REF!</f>
        <v>#REF!</v>
      </c>
    </row>
    <row r="209" customFormat="false" ht="15" hidden="false" customHeight="true" outlineLevel="0" collapsed="false">
      <c r="A209" s="95" t="n">
        <v>20</v>
      </c>
      <c r="B209" s="41" t="s">
        <v>515</v>
      </c>
      <c r="C209" s="96" t="n">
        <v>416500</v>
      </c>
      <c r="D209" s="123" t="n">
        <v>170000</v>
      </c>
      <c r="E209" s="166" t="e">
        <f aca="false">C209-D209+#REF!</f>
        <v>#REF!</v>
      </c>
    </row>
    <row r="210" customFormat="false" ht="15.75" hidden="false" customHeight="true" outlineLevel="0" collapsed="false">
      <c r="A210" s="95" t="n">
        <v>21</v>
      </c>
      <c r="B210" s="41" t="s">
        <v>516</v>
      </c>
      <c r="C210" s="96" t="n">
        <v>416500</v>
      </c>
      <c r="D210" s="123" t="n">
        <v>100000</v>
      </c>
      <c r="E210" s="166" t="e">
        <f aca="false">C210-D210+#REF!</f>
        <v>#REF!</v>
      </c>
    </row>
    <row r="211" customFormat="false" ht="15" hidden="false" customHeight="true" outlineLevel="0" collapsed="false">
      <c r="A211" s="95" t="n">
        <v>22</v>
      </c>
      <c r="B211" s="41" t="s">
        <v>517</v>
      </c>
      <c r="C211" s="96" t="n">
        <v>416500</v>
      </c>
      <c r="D211" s="123" t="n">
        <f aca="false">150000</f>
        <v>150000</v>
      </c>
      <c r="E211" s="166" t="e">
        <f aca="false">C211-D211+#REF!</f>
        <v>#REF!</v>
      </c>
    </row>
    <row r="212" customFormat="false" ht="15.75" hidden="false" customHeight="true" outlineLevel="0" collapsed="false">
      <c r="A212" s="95" t="n">
        <v>23</v>
      </c>
      <c r="B212" s="41" t="s">
        <v>514</v>
      </c>
      <c r="C212" s="96" t="n">
        <v>416500</v>
      </c>
      <c r="D212" s="123" t="n">
        <f aca="false">217000</f>
        <v>217000</v>
      </c>
      <c r="E212" s="166" t="e">
        <f aca="false">C212-D212+#REF!</f>
        <v>#REF!</v>
      </c>
    </row>
    <row r="213" customFormat="false" ht="15" hidden="false" customHeight="true" outlineLevel="0" collapsed="false">
      <c r="A213" s="95" t="n">
        <v>24</v>
      </c>
      <c r="B213" s="41" t="s">
        <v>518</v>
      </c>
      <c r="C213" s="96" t="n">
        <v>416500</v>
      </c>
      <c r="D213" s="123" t="n">
        <v>203500</v>
      </c>
      <c r="E213" s="166" t="e">
        <f aca="false">C213-D213+#REF!</f>
        <v>#REF!</v>
      </c>
    </row>
    <row r="214" customFormat="false" ht="15.75" hidden="false" customHeight="true" outlineLevel="0" collapsed="false">
      <c r="A214" s="95" t="n">
        <v>25</v>
      </c>
      <c r="B214" s="270" t="s">
        <v>519</v>
      </c>
      <c r="C214" s="96" t="n">
        <v>416500</v>
      </c>
      <c r="D214" s="123" t="n">
        <f aca="false">100000</f>
        <v>100000</v>
      </c>
      <c r="E214" s="166" t="e">
        <f aca="false">C214-D214+#REF!</f>
        <v>#REF!</v>
      </c>
    </row>
    <row r="215" customFormat="false" ht="15" hidden="false" customHeight="false" outlineLevel="0" collapsed="false">
      <c r="A215" s="95" t="n">
        <v>26</v>
      </c>
      <c r="B215" s="41" t="s">
        <v>520</v>
      </c>
      <c r="C215" s="96" t="n">
        <v>416500</v>
      </c>
      <c r="D215" s="123" t="n">
        <v>216500</v>
      </c>
      <c r="E215" s="166" t="e">
        <f aca="false">C215-D215+#REF!</f>
        <v>#REF!</v>
      </c>
    </row>
    <row r="216" customFormat="false" ht="15" hidden="false" customHeight="false" outlineLevel="0" collapsed="false">
      <c r="A216" s="95" t="n">
        <v>27</v>
      </c>
      <c r="B216" s="41" t="s">
        <v>522</v>
      </c>
      <c r="C216" s="96" t="n">
        <v>416500</v>
      </c>
      <c r="D216" s="123"/>
      <c r="E216" s="166" t="e">
        <f aca="false">C216-D216+#REF!</f>
        <v>#REF!</v>
      </c>
    </row>
    <row r="217" customFormat="false" ht="15" hidden="false" customHeight="false" outlineLevel="0" collapsed="false">
      <c r="A217" s="95" t="n">
        <v>28</v>
      </c>
      <c r="B217" s="41" t="s">
        <v>521</v>
      </c>
      <c r="C217" s="96" t="n">
        <v>416500</v>
      </c>
      <c r="D217" s="123"/>
      <c r="E217" s="166" t="e">
        <f aca="false">C217-D217+#REF!</f>
        <v>#REF!</v>
      </c>
    </row>
    <row r="218" customFormat="false" ht="15" hidden="false" customHeight="false" outlineLevel="0" collapsed="false">
      <c r="A218" s="95" t="n">
        <v>29</v>
      </c>
      <c r="B218" s="41" t="s">
        <v>523</v>
      </c>
      <c r="C218" s="96" t="n">
        <v>416500</v>
      </c>
      <c r="D218" s="123"/>
      <c r="E218" s="166" t="e">
        <f aca="false">C218-D218+#REF!</f>
        <v>#REF!</v>
      </c>
    </row>
    <row r="219" customFormat="false" ht="15" hidden="false" customHeight="false" outlineLevel="0" collapsed="false">
      <c r="A219" s="95" t="n">
        <v>30</v>
      </c>
      <c r="B219" s="41" t="s">
        <v>972</v>
      </c>
      <c r="C219" s="96" t="n">
        <v>416500</v>
      </c>
      <c r="D219" s="123"/>
      <c r="E219" s="166" t="e">
        <f aca="false">C219-D219+#REF!</f>
        <v>#REF!</v>
      </c>
    </row>
    <row r="220" customFormat="false" ht="15" hidden="false" customHeight="false" outlineLevel="0" collapsed="false">
      <c r="A220" s="95" t="n">
        <v>31</v>
      </c>
      <c r="B220" s="41" t="s">
        <v>525</v>
      </c>
      <c r="C220" s="96" t="n">
        <v>416500</v>
      </c>
      <c r="D220" s="123" t="n">
        <f aca="false">216500+200000</f>
        <v>416500</v>
      </c>
      <c r="E220" s="166" t="e">
        <f aca="false">C220-D220+#REF!</f>
        <v>#REF!</v>
      </c>
    </row>
    <row r="221" customFormat="false" ht="15" hidden="false" customHeight="false" outlineLevel="0" collapsed="false">
      <c r="A221" s="95" t="n">
        <v>32</v>
      </c>
      <c r="B221" s="41" t="s">
        <v>526</v>
      </c>
      <c r="C221" s="96" t="n">
        <v>416500</v>
      </c>
      <c r="D221" s="123" t="n">
        <f aca="false">216000</f>
        <v>216000</v>
      </c>
      <c r="E221" s="166" t="e">
        <f aca="false">C221-D221+#REF!</f>
        <v>#REF!</v>
      </c>
    </row>
    <row r="222" customFormat="false" ht="15" hidden="false" customHeight="true" outlineLevel="0" collapsed="false">
      <c r="A222" s="95" t="n">
        <v>33</v>
      </c>
      <c r="B222" s="41" t="s">
        <v>527</v>
      </c>
      <c r="C222" s="96" t="n">
        <v>416500</v>
      </c>
      <c r="D222" s="96" t="n">
        <f aca="false">116500</f>
        <v>116500</v>
      </c>
      <c r="E222" s="166" t="e">
        <f aca="false">C222-D222+#REF!</f>
        <v>#REF!</v>
      </c>
    </row>
    <row r="223" customFormat="false" ht="15.75" hidden="false" customHeight="true" outlineLevel="0" collapsed="false">
      <c r="A223" s="16"/>
      <c r="B223" s="100" t="s">
        <v>22</v>
      </c>
      <c r="C223" s="101" t="n">
        <f aca="false">SUM(C189:C222)</f>
        <v>14161000</v>
      </c>
      <c r="D223" s="102" t="n">
        <f aca="false">SUM(D189:D222)</f>
        <v>4079000</v>
      </c>
      <c r="E223" s="103" t="e">
        <f aca="false">SUM(E189:E222)</f>
        <v>#REF!</v>
      </c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" hidden="false" customHeight="true" outlineLevel="0" collapsed="false">
      <c r="A226" s="104"/>
    </row>
    <row r="227" customFormat="false" ht="15.75" hidden="false" customHeight="true" outlineLevel="0" collapsed="false">
      <c r="A227" s="104"/>
    </row>
    <row r="228" customFormat="false" ht="17.35" hidden="false" customHeight="false" outlineLevel="0" collapsed="false">
      <c r="A228" s="108"/>
      <c r="B228" s="2" t="s">
        <v>0</v>
      </c>
    </row>
    <row r="229" customFormat="false" ht="15" hidden="false" customHeight="false" outlineLevel="0" collapsed="false">
      <c r="A229" s="104"/>
    </row>
    <row r="230" customFormat="false" ht="17.35" hidden="false" customHeight="false" outlineLevel="0" collapsed="false">
      <c r="A230" s="104"/>
      <c r="B230" s="91" t="s">
        <v>314</v>
      </c>
    </row>
    <row r="231" customFormat="false" ht="15" hidden="false" customHeight="false" outlineLevel="0" collapsed="false">
      <c r="A231" s="104"/>
      <c r="B231" s="4" t="s">
        <v>493</v>
      </c>
    </row>
    <row r="232" customFormat="false" ht="15" hidden="false" customHeight="false" outlineLevel="0" collapsed="false">
      <c r="A232" s="104"/>
    </row>
    <row r="233" customFormat="false" ht="15" hidden="false" customHeight="false" outlineLevel="0" collapsed="false">
      <c r="A233" s="92" t="s">
        <v>4</v>
      </c>
      <c r="B233" s="93" t="s">
        <v>285</v>
      </c>
      <c r="C233" s="8" t="s">
        <v>6</v>
      </c>
      <c r="D233" s="94" t="s">
        <v>7</v>
      </c>
      <c r="E233" s="10" t="s">
        <v>8</v>
      </c>
    </row>
    <row r="234" customFormat="false" ht="15" hidden="false" customHeight="false" outlineLevel="0" collapsed="false">
      <c r="A234" s="95" t="n">
        <v>1</v>
      </c>
      <c r="B234" s="116" t="s">
        <v>528</v>
      </c>
      <c r="C234" s="96" t="n">
        <v>416500</v>
      </c>
      <c r="D234" s="123" t="n">
        <v>250000</v>
      </c>
      <c r="E234" s="166" t="e">
        <f aca="false">C234-D234+#REF!</f>
        <v>#REF!</v>
      </c>
    </row>
    <row r="235" customFormat="false" ht="15" hidden="false" customHeight="false" outlineLevel="0" collapsed="false">
      <c r="A235" s="95" t="n">
        <v>2</v>
      </c>
      <c r="B235" s="116" t="s">
        <v>529</v>
      </c>
      <c r="C235" s="96" t="n">
        <v>416500</v>
      </c>
      <c r="D235" s="123" t="n">
        <f aca="false">200000+3500</f>
        <v>203500</v>
      </c>
      <c r="E235" s="166" t="e">
        <f aca="false">C235-D235+#REF!</f>
        <v>#REF!</v>
      </c>
    </row>
    <row r="236" customFormat="false" ht="15" hidden="false" customHeight="false" outlineLevel="0" collapsed="false">
      <c r="A236" s="95" t="n">
        <v>3</v>
      </c>
      <c r="B236" s="116" t="s">
        <v>530</v>
      </c>
      <c r="C236" s="96" t="n">
        <v>416500</v>
      </c>
      <c r="D236" s="123"/>
      <c r="E236" s="166" t="e">
        <f aca="false">C236-D236+#REF!</f>
        <v>#REF!</v>
      </c>
    </row>
    <row r="237" customFormat="false" ht="15" hidden="false" customHeight="false" outlineLevel="0" collapsed="false">
      <c r="A237" s="95" t="n">
        <v>4</v>
      </c>
      <c r="B237" s="116" t="s">
        <v>531</v>
      </c>
      <c r="C237" s="96" t="n">
        <v>416500</v>
      </c>
      <c r="D237" s="123" t="n">
        <f aca="false">73500+50000+50000+100000</f>
        <v>273500</v>
      </c>
      <c r="E237" s="166" t="e">
        <f aca="false">C237-D237+#REF!</f>
        <v>#REF!</v>
      </c>
    </row>
    <row r="238" customFormat="false" ht="15" hidden="false" customHeight="false" outlineLevel="0" collapsed="false">
      <c r="A238" s="95" t="n">
        <v>5</v>
      </c>
      <c r="B238" s="116" t="s">
        <v>532</v>
      </c>
      <c r="C238" s="96" t="n">
        <v>416500</v>
      </c>
      <c r="D238" s="123" t="n">
        <f aca="false">16500+50000+100000+50000</f>
        <v>216500</v>
      </c>
      <c r="E238" s="166" t="e">
        <f aca="false">C238-D238+#REF!</f>
        <v>#REF!</v>
      </c>
    </row>
    <row r="239" customFormat="false" ht="15" hidden="false" customHeight="false" outlineLevel="0" collapsed="false">
      <c r="A239" s="95" t="n">
        <v>6</v>
      </c>
      <c r="B239" s="116" t="s">
        <v>533</v>
      </c>
      <c r="C239" s="96" t="n">
        <v>416500</v>
      </c>
      <c r="D239" s="123" t="n">
        <f aca="false">300000</f>
        <v>300000</v>
      </c>
      <c r="E239" s="166" t="e">
        <f aca="false">C239-D239+#REF!</f>
        <v>#REF!</v>
      </c>
    </row>
    <row r="240" customFormat="false" ht="15" hidden="false" customHeight="false" outlineLevel="0" collapsed="false">
      <c r="A240" s="95" t="n">
        <v>7</v>
      </c>
      <c r="B240" s="116" t="s">
        <v>534</v>
      </c>
      <c r="C240" s="96" t="n">
        <v>416500</v>
      </c>
      <c r="D240" s="123"/>
      <c r="E240" s="166" t="e">
        <f aca="false">C240-D240+#REF!</f>
        <v>#REF!</v>
      </c>
    </row>
    <row r="241" customFormat="false" ht="15" hidden="false" customHeight="false" outlineLevel="0" collapsed="false">
      <c r="A241" s="95" t="n">
        <v>8</v>
      </c>
      <c r="B241" s="116" t="s">
        <v>535</v>
      </c>
      <c r="C241" s="96" t="n">
        <v>416500</v>
      </c>
      <c r="D241" s="123" t="n">
        <f aca="false">147000</f>
        <v>147000</v>
      </c>
      <c r="E241" s="166" t="e">
        <f aca="false">C241-D241+#REF!</f>
        <v>#REF!</v>
      </c>
    </row>
    <row r="242" customFormat="false" ht="15" hidden="false" customHeight="false" outlineLevel="0" collapsed="false">
      <c r="A242" s="95" t="n">
        <v>9</v>
      </c>
      <c r="B242" s="116" t="s">
        <v>536</v>
      </c>
      <c r="C242" s="96" t="n">
        <v>416500</v>
      </c>
      <c r="D242" s="123"/>
      <c r="E242" s="166" t="e">
        <f aca="false">C242-D242+#REF!</f>
        <v>#REF!</v>
      </c>
    </row>
    <row r="243" customFormat="false" ht="15" hidden="false" customHeight="false" outlineLevel="0" collapsed="false">
      <c r="A243" s="95" t="n">
        <v>10</v>
      </c>
      <c r="B243" s="116" t="s">
        <v>537</v>
      </c>
      <c r="C243" s="96" t="n">
        <v>416500</v>
      </c>
      <c r="D243" s="123" t="n">
        <f aca="false">76500+40000+100000</f>
        <v>216500</v>
      </c>
      <c r="E243" s="166" t="e">
        <f aca="false">C243-D243+#REF!</f>
        <v>#REF!</v>
      </c>
    </row>
    <row r="244" customFormat="false" ht="15" hidden="false" customHeight="false" outlineLevel="0" collapsed="false">
      <c r="A244" s="95" t="n">
        <v>11</v>
      </c>
      <c r="B244" s="116" t="s">
        <v>538</v>
      </c>
      <c r="C244" s="96" t="n">
        <v>416500</v>
      </c>
      <c r="D244" s="123"/>
      <c r="E244" s="166" t="e">
        <f aca="false">C244-D244+#REF!</f>
        <v>#REF!</v>
      </c>
    </row>
    <row r="245" customFormat="false" ht="15" hidden="false" customHeight="false" outlineLevel="0" collapsed="false">
      <c r="A245" s="95" t="n">
        <v>12</v>
      </c>
      <c r="B245" s="116" t="s">
        <v>539</v>
      </c>
      <c r="C245" s="96" t="n">
        <v>416500</v>
      </c>
      <c r="D245" s="123"/>
      <c r="E245" s="166" t="e">
        <f aca="false">C245-D245+#REF!</f>
        <v>#REF!</v>
      </c>
    </row>
    <row r="246" customFormat="false" ht="15" hidden="false" customHeight="false" outlineLevel="0" collapsed="false">
      <c r="A246" s="95" t="n">
        <v>13</v>
      </c>
      <c r="B246" s="71" t="s">
        <v>540</v>
      </c>
      <c r="C246" s="271" t="s">
        <v>541</v>
      </c>
      <c r="D246" s="271" t="s">
        <v>541</v>
      </c>
      <c r="E246" s="166" t="n">
        <v>416500</v>
      </c>
    </row>
    <row r="247" customFormat="false" ht="15" hidden="false" customHeight="false" outlineLevel="0" collapsed="false">
      <c r="A247" s="95" t="n">
        <v>14</v>
      </c>
      <c r="B247" s="73" t="s">
        <v>542</v>
      </c>
      <c r="C247" s="271" t="s">
        <v>541</v>
      </c>
      <c r="D247" s="271" t="s">
        <v>541</v>
      </c>
      <c r="E247" s="166" t="n">
        <v>416500</v>
      </c>
    </row>
    <row r="248" customFormat="false" ht="15" hidden="false" customHeight="false" outlineLevel="0" collapsed="false">
      <c r="A248" s="95" t="n">
        <v>15</v>
      </c>
      <c r="B248" s="116" t="s">
        <v>543</v>
      </c>
      <c r="C248" s="96" t="n">
        <v>416500</v>
      </c>
      <c r="D248" s="123" t="n">
        <f aca="false">216500+200000</f>
        <v>416500</v>
      </c>
      <c r="E248" s="166" t="e">
        <f aca="false">C248-D248+#REF!</f>
        <v>#REF!</v>
      </c>
    </row>
    <row r="249" customFormat="false" ht="15" hidden="false" customHeight="false" outlineLevel="0" collapsed="false">
      <c r="A249" s="95" t="n">
        <v>16</v>
      </c>
      <c r="B249" s="116" t="s">
        <v>544</v>
      </c>
      <c r="C249" s="96" t="n">
        <v>416500</v>
      </c>
      <c r="D249" s="123"/>
      <c r="E249" s="166" t="e">
        <f aca="false">C249-D249+#REF!</f>
        <v>#REF!</v>
      </c>
    </row>
    <row r="250" customFormat="false" ht="15" hidden="false" customHeight="false" outlineLevel="0" collapsed="false">
      <c r="A250" s="95" t="n">
        <v>17</v>
      </c>
      <c r="B250" s="116" t="s">
        <v>545</v>
      </c>
      <c r="C250" s="96" t="n">
        <v>416500</v>
      </c>
      <c r="D250" s="123"/>
      <c r="E250" s="166" t="e">
        <f aca="false">C250-D250+#REF!</f>
        <v>#REF!</v>
      </c>
    </row>
    <row r="251" customFormat="false" ht="15" hidden="false" customHeight="false" outlineLevel="0" collapsed="false">
      <c r="A251" s="95" t="n">
        <v>18</v>
      </c>
      <c r="B251" s="116" t="s">
        <v>546</v>
      </c>
      <c r="C251" s="96" t="n">
        <v>416500</v>
      </c>
      <c r="D251" s="123" t="n">
        <f aca="false">100000+120000</f>
        <v>220000</v>
      </c>
      <c r="E251" s="166" t="e">
        <f aca="false">C251-D251+#REF!</f>
        <v>#REF!</v>
      </c>
    </row>
    <row r="252" customFormat="false" ht="15" hidden="false" customHeight="false" outlineLevel="0" collapsed="false">
      <c r="A252" s="95" t="n">
        <v>19</v>
      </c>
      <c r="B252" s="116" t="s">
        <v>547</v>
      </c>
      <c r="C252" s="96" t="n">
        <v>416500</v>
      </c>
      <c r="D252" s="123" t="n">
        <f aca="false">215000</f>
        <v>215000</v>
      </c>
      <c r="E252" s="166" t="e">
        <f aca="false">C252-D252+#REF!</f>
        <v>#REF!</v>
      </c>
    </row>
    <row r="253" customFormat="false" ht="15" hidden="false" customHeight="false" outlineLevel="0" collapsed="false">
      <c r="A253" s="95" t="n">
        <v>20</v>
      </c>
      <c r="B253" s="116" t="s">
        <v>548</v>
      </c>
      <c r="C253" s="96" t="n">
        <v>416500</v>
      </c>
      <c r="D253" s="123" t="n">
        <f aca="false">100000+316500</f>
        <v>416500</v>
      </c>
      <c r="E253" s="166" t="e">
        <f aca="false">C253-D253+#REF!</f>
        <v>#REF!</v>
      </c>
    </row>
    <row r="254" customFormat="false" ht="15" hidden="false" customHeight="false" outlineLevel="0" collapsed="false">
      <c r="A254" s="95" t="n">
        <v>21</v>
      </c>
      <c r="B254" s="139" t="s">
        <v>549</v>
      </c>
      <c r="C254" s="96" t="n">
        <v>416500</v>
      </c>
      <c r="D254" s="123" t="n">
        <f aca="false">140000</f>
        <v>140000</v>
      </c>
      <c r="E254" s="166" t="e">
        <f aca="false">C254-D254+#REF!</f>
        <v>#REF!</v>
      </c>
    </row>
    <row r="255" customFormat="false" ht="15" hidden="false" customHeight="false" outlineLevel="0" collapsed="false">
      <c r="A255" s="95" t="n">
        <v>22</v>
      </c>
      <c r="B255" s="116" t="s">
        <v>550</v>
      </c>
      <c r="C255" s="96" t="n">
        <v>416500</v>
      </c>
      <c r="D255" s="123"/>
      <c r="E255" s="166" t="e">
        <f aca="false">C255-D255+#REF!</f>
        <v>#REF!</v>
      </c>
    </row>
    <row r="256" customFormat="false" ht="15" hidden="false" customHeight="false" outlineLevel="0" collapsed="false">
      <c r="A256" s="95" t="n">
        <v>23</v>
      </c>
      <c r="B256" s="116" t="s">
        <v>551</v>
      </c>
      <c r="C256" s="96" t="n">
        <v>416500</v>
      </c>
      <c r="D256" s="123"/>
      <c r="E256" s="166" t="e">
        <f aca="false">C256-D256+#REF!</f>
        <v>#REF!</v>
      </c>
    </row>
    <row r="257" customFormat="false" ht="15" hidden="false" customHeight="true" outlineLevel="0" collapsed="false">
      <c r="A257" s="95" t="n">
        <v>24</v>
      </c>
      <c r="B257" s="116" t="s">
        <v>552</v>
      </c>
      <c r="C257" s="96" t="n">
        <v>416500</v>
      </c>
      <c r="D257" s="123"/>
      <c r="E257" s="166" t="e">
        <f aca="false">C257-D257+#REF!</f>
        <v>#REF!</v>
      </c>
    </row>
    <row r="258" customFormat="false" ht="15.75" hidden="false" customHeight="true" outlineLevel="0" collapsed="false">
      <c r="A258" s="95" t="n">
        <v>25</v>
      </c>
      <c r="B258" s="116" t="s">
        <v>553</v>
      </c>
      <c r="C258" s="96" t="n">
        <v>416500</v>
      </c>
      <c r="D258" s="123" t="n">
        <f aca="false">200000</f>
        <v>200000</v>
      </c>
      <c r="E258" s="166" t="e">
        <f aca="false">C258-D258+#REF!</f>
        <v>#REF!</v>
      </c>
    </row>
    <row r="259" customFormat="false" ht="15" hidden="false" customHeight="true" outlineLevel="0" collapsed="false">
      <c r="A259" s="95" t="n">
        <v>26</v>
      </c>
      <c r="B259" s="116" t="s">
        <v>554</v>
      </c>
      <c r="C259" s="96" t="n">
        <v>416500</v>
      </c>
      <c r="D259" s="123"/>
      <c r="E259" s="166" t="e">
        <f aca="false">C259-D259+#REF!</f>
        <v>#REF!</v>
      </c>
    </row>
    <row r="260" customFormat="false" ht="15.75" hidden="false" customHeight="true" outlineLevel="0" collapsed="false">
      <c r="A260" s="95" t="n">
        <v>27</v>
      </c>
      <c r="B260" s="116" t="s">
        <v>555</v>
      </c>
      <c r="C260" s="96" t="n">
        <v>416500</v>
      </c>
      <c r="D260" s="123"/>
      <c r="E260" s="166" t="e">
        <f aca="false">C260-D260+#REF!</f>
        <v>#REF!</v>
      </c>
    </row>
    <row r="261" customFormat="false" ht="15" hidden="false" customHeight="true" outlineLevel="0" collapsed="false">
      <c r="A261" s="95" t="n">
        <v>28</v>
      </c>
      <c r="B261" s="116" t="s">
        <v>556</v>
      </c>
      <c r="C261" s="96" t="n">
        <v>416500</v>
      </c>
      <c r="D261" s="123" t="n">
        <f aca="false">93500+16500</f>
        <v>110000</v>
      </c>
      <c r="E261" s="166" t="e">
        <f aca="false">C261-D261+#REF!</f>
        <v>#REF!</v>
      </c>
    </row>
    <row r="262" customFormat="false" ht="15.75" hidden="false" customHeight="true" outlineLevel="0" collapsed="false">
      <c r="A262" s="95" t="n">
        <v>29</v>
      </c>
      <c r="B262" s="116" t="s">
        <v>557</v>
      </c>
      <c r="C262" s="96" t="n">
        <v>416500</v>
      </c>
      <c r="D262" s="123" t="n">
        <f aca="false">50000+50000</f>
        <v>100000</v>
      </c>
      <c r="E262" s="166" t="e">
        <f aca="false">C262-D262+#REF!</f>
        <v>#REF!</v>
      </c>
    </row>
    <row r="263" customFormat="false" ht="15" hidden="false" customHeight="true" outlineLevel="0" collapsed="false">
      <c r="A263" s="95" t="n">
        <v>30</v>
      </c>
      <c r="B263" s="116" t="s">
        <v>973</v>
      </c>
      <c r="C263" s="96" t="n">
        <v>416500</v>
      </c>
      <c r="D263" s="123" t="n">
        <v>256500</v>
      </c>
      <c r="E263" s="166" t="e">
        <f aca="false">C263-D263+#REF!</f>
        <v>#REF!</v>
      </c>
    </row>
    <row r="264" customFormat="false" ht="15.75" hidden="false" customHeight="true" outlineLevel="0" collapsed="false">
      <c r="A264" s="95" t="n">
        <v>31</v>
      </c>
      <c r="B264" s="41" t="s">
        <v>559</v>
      </c>
      <c r="C264" s="96" t="n">
        <v>416500</v>
      </c>
      <c r="D264" s="123" t="n">
        <f aca="false">3000+50000+10000+50000+50000</f>
        <v>163000</v>
      </c>
      <c r="E264" s="166" t="e">
        <f aca="false">C264-D264+#REF!</f>
        <v>#REF!</v>
      </c>
    </row>
    <row r="265" customFormat="false" ht="15" hidden="false" customHeight="false" outlineLevel="0" collapsed="false">
      <c r="A265" s="95" t="n">
        <v>32</v>
      </c>
      <c r="B265" s="116" t="s">
        <v>560</v>
      </c>
      <c r="C265" s="96" t="n">
        <v>416500</v>
      </c>
      <c r="D265" s="123" t="n">
        <f aca="false">3500</f>
        <v>3500</v>
      </c>
      <c r="E265" s="166" t="e">
        <f aca="false">C265-D265+#REF!</f>
        <v>#REF!</v>
      </c>
    </row>
    <row r="266" customFormat="false" ht="15" hidden="false" customHeight="false" outlineLevel="0" collapsed="false">
      <c r="A266" s="95" t="n">
        <v>33</v>
      </c>
      <c r="B266" s="116" t="s">
        <v>561</v>
      </c>
      <c r="C266" s="96" t="n">
        <v>416500</v>
      </c>
      <c r="D266" s="123"/>
      <c r="E266" s="166" t="e">
        <f aca="false">C266-D266+#REF!</f>
        <v>#REF!</v>
      </c>
    </row>
    <row r="267" customFormat="false" ht="15" hidden="false" customHeight="false" outlineLevel="0" collapsed="false">
      <c r="A267" s="95" t="n">
        <v>34</v>
      </c>
      <c r="B267" s="116" t="s">
        <v>562</v>
      </c>
      <c r="C267" s="96" t="n">
        <v>416500</v>
      </c>
      <c r="D267" s="123"/>
      <c r="E267" s="166" t="e">
        <f aca="false">C267-D267+#REF!</f>
        <v>#REF!</v>
      </c>
    </row>
    <row r="268" customFormat="false" ht="15" hidden="false" customHeight="false" outlineLevel="0" collapsed="false">
      <c r="A268" s="95" t="n">
        <v>35</v>
      </c>
      <c r="B268" s="116" t="s">
        <v>563</v>
      </c>
      <c r="C268" s="96" t="n">
        <v>416500</v>
      </c>
      <c r="D268" s="123"/>
      <c r="E268" s="166" t="e">
        <f aca="false">C268-D268+#REF!</f>
        <v>#REF!</v>
      </c>
    </row>
    <row r="269" customFormat="false" ht="15" hidden="false" customHeight="true" outlineLevel="0" collapsed="false">
      <c r="A269" s="95" t="n">
        <v>36</v>
      </c>
      <c r="B269" s="116" t="s">
        <v>564</v>
      </c>
      <c r="C269" s="96" t="n">
        <v>416500</v>
      </c>
      <c r="D269" s="123" t="n">
        <f aca="false">100000</f>
        <v>100000</v>
      </c>
      <c r="E269" s="166" t="e">
        <f aca="false">C269-D269+#REF!</f>
        <v>#REF!</v>
      </c>
    </row>
    <row r="270" customFormat="false" ht="15" hidden="false" customHeight="false" outlineLevel="0" collapsed="false">
      <c r="A270" s="95" t="n">
        <v>37</v>
      </c>
      <c r="B270" s="116" t="s">
        <v>565</v>
      </c>
      <c r="C270" s="96" t="n">
        <v>416500</v>
      </c>
      <c r="D270" s="123" t="n">
        <f aca="false">100000</f>
        <v>100000</v>
      </c>
      <c r="E270" s="166" t="e">
        <f aca="false">C270-D270+#REF!</f>
        <v>#REF!</v>
      </c>
    </row>
    <row r="271" customFormat="false" ht="15" hidden="false" customHeight="false" outlineLevel="0" collapsed="false">
      <c r="A271" s="95" t="n">
        <v>38</v>
      </c>
      <c r="B271" s="116" t="s">
        <v>566</v>
      </c>
      <c r="C271" s="96" t="n">
        <v>416500</v>
      </c>
      <c r="D271" s="123" t="n">
        <f aca="false">216500</f>
        <v>216500</v>
      </c>
      <c r="E271" s="166" t="e">
        <f aca="false">C271-D271+#REF!</f>
        <v>#REF!</v>
      </c>
    </row>
    <row r="272" customFormat="false" ht="15" hidden="false" customHeight="true" outlineLevel="0" collapsed="false">
      <c r="A272" s="95" t="n">
        <v>39</v>
      </c>
      <c r="B272" s="116" t="s">
        <v>567</v>
      </c>
      <c r="C272" s="96" t="n">
        <v>416500</v>
      </c>
      <c r="D272" s="123"/>
      <c r="E272" s="166" t="e">
        <f aca="false">C272-D272+#REF!</f>
        <v>#REF!</v>
      </c>
    </row>
    <row r="273" customFormat="false" ht="15.75" hidden="false" customHeight="true" outlineLevel="0" collapsed="false">
      <c r="A273" s="95" t="n">
        <v>40</v>
      </c>
      <c r="B273" s="116" t="s">
        <v>568</v>
      </c>
      <c r="C273" s="96" t="n">
        <v>416500</v>
      </c>
      <c r="D273" s="123"/>
      <c r="E273" s="166" t="e">
        <f aca="false">C273-D273+#REF!</f>
        <v>#REF!</v>
      </c>
    </row>
    <row r="274" customFormat="false" ht="15" hidden="false" customHeight="false" outlineLevel="0" collapsed="false">
      <c r="A274" s="95" t="n">
        <v>41</v>
      </c>
      <c r="B274" s="116" t="s">
        <v>569</v>
      </c>
      <c r="C274" s="96" t="n">
        <v>416500</v>
      </c>
      <c r="D274" s="123" t="n">
        <f aca="false">67000+150000</f>
        <v>217000</v>
      </c>
      <c r="E274" s="166" t="e">
        <f aca="false">C274-D274+#REF!</f>
        <v>#REF!</v>
      </c>
    </row>
    <row r="275" customFormat="false" ht="15" hidden="false" customHeight="false" outlineLevel="0" collapsed="false">
      <c r="A275" s="95" t="n">
        <v>42</v>
      </c>
      <c r="B275" s="116" t="s">
        <v>570</v>
      </c>
      <c r="C275" s="96" t="n">
        <v>416500</v>
      </c>
      <c r="D275" s="123" t="n">
        <v>150000</v>
      </c>
      <c r="E275" s="166" t="e">
        <f aca="false">C275-D275+#REF!</f>
        <v>#REF!</v>
      </c>
    </row>
    <row r="276" customFormat="false" ht="15" hidden="false" customHeight="false" outlineLevel="0" collapsed="false">
      <c r="A276" s="95" t="n">
        <v>43</v>
      </c>
      <c r="B276" s="116" t="s">
        <v>571</v>
      </c>
      <c r="C276" s="96" t="n">
        <v>416500</v>
      </c>
      <c r="D276" s="123"/>
      <c r="E276" s="166" t="e">
        <f aca="false">C276-D276+#REF!</f>
        <v>#REF!</v>
      </c>
    </row>
    <row r="277" customFormat="false" ht="15" hidden="false" customHeight="false" outlineLevel="0" collapsed="false">
      <c r="A277" s="95" t="n">
        <v>44</v>
      </c>
      <c r="B277" s="116" t="s">
        <v>572</v>
      </c>
      <c r="C277" s="96" t="n">
        <v>416500</v>
      </c>
      <c r="D277" s="123" t="n">
        <f aca="false">108500+175000</f>
        <v>283500</v>
      </c>
      <c r="E277" s="166" t="e">
        <f aca="false">C277-D277+#REF!</f>
        <v>#REF!</v>
      </c>
    </row>
    <row r="278" customFormat="false" ht="17.35" hidden="false" customHeight="false" outlineLevel="0" collapsed="false">
      <c r="A278" s="112"/>
      <c r="B278" s="100" t="s">
        <v>22</v>
      </c>
      <c r="C278" s="101" t="n">
        <f aca="false">SUM(C234:C277)</f>
        <v>17493000</v>
      </c>
      <c r="D278" s="102" t="n">
        <f aca="false">SUM(D234:D277)</f>
        <v>4915000</v>
      </c>
      <c r="E278" s="103" t="e">
        <f aca="false">SUM(E234:E277)</f>
        <v>#REF!</v>
      </c>
    </row>
    <row r="281" customFormat="false" ht="15" hidden="false" customHeight="false" outlineLevel="0" collapsed="false">
      <c r="A281" s="104"/>
    </row>
    <row r="286" customFormat="false" ht="17.35" hidden="false" customHeight="false" outlineLevel="0" collapsed="false">
      <c r="A286" s="104"/>
      <c r="B286" s="2" t="s">
        <v>0</v>
      </c>
      <c r="C286" s="2"/>
      <c r="D286" s="2"/>
    </row>
    <row r="287" customFormat="false" ht="15" hidden="false" customHeight="false" outlineLevel="0" collapsed="false">
      <c r="A287" s="104"/>
    </row>
    <row r="288" customFormat="false" ht="17.35" hidden="false" customHeight="false" outlineLevel="0" collapsed="false">
      <c r="A288" s="104"/>
      <c r="B288" s="91" t="s">
        <v>283</v>
      </c>
    </row>
    <row r="289" customFormat="false" ht="15" hidden="false" customHeight="false" outlineLevel="0" collapsed="false">
      <c r="A289" s="104"/>
      <c r="B289" s="4" t="s">
        <v>591</v>
      </c>
    </row>
    <row r="290" customFormat="false" ht="15" hidden="false" customHeight="false" outlineLevel="0" collapsed="false">
      <c r="A290" s="104"/>
    </row>
    <row r="291" customFormat="false" ht="15" hidden="false" customHeight="false" outlineLevel="0" collapsed="false">
      <c r="A291" s="92" t="s">
        <v>4</v>
      </c>
      <c r="B291" s="93" t="s">
        <v>285</v>
      </c>
      <c r="C291" s="8" t="s">
        <v>6</v>
      </c>
      <c r="D291" s="94" t="s">
        <v>7</v>
      </c>
      <c r="E291" s="10" t="s">
        <v>8</v>
      </c>
    </row>
    <row r="292" customFormat="false" ht="15" hidden="false" customHeight="false" outlineLevel="0" collapsed="false">
      <c r="A292" s="95" t="n">
        <v>1</v>
      </c>
      <c r="B292" s="116" t="s">
        <v>974</v>
      </c>
      <c r="C292" s="96" t="n">
        <v>416500</v>
      </c>
      <c r="D292" s="96" t="n">
        <v>300000</v>
      </c>
      <c r="E292" s="166" t="e">
        <f aca="false">C292-D292+#REF!</f>
        <v>#REF!</v>
      </c>
    </row>
    <row r="293" customFormat="false" ht="15" hidden="false" customHeight="false" outlineLevel="0" collapsed="false">
      <c r="A293" s="95" t="n">
        <v>2</v>
      </c>
      <c r="B293" s="116" t="s">
        <v>593</v>
      </c>
      <c r="C293" s="96" t="n">
        <v>416500</v>
      </c>
      <c r="D293" s="96" t="n">
        <f aca="false">100000</f>
        <v>100000</v>
      </c>
      <c r="E293" s="166" t="e">
        <f aca="false">C293-D293+#REF!</f>
        <v>#REF!</v>
      </c>
    </row>
    <row r="294" customFormat="false" ht="15" hidden="false" customHeight="false" outlineLevel="0" collapsed="false">
      <c r="A294" s="95" t="n">
        <v>3</v>
      </c>
      <c r="B294" s="116" t="s">
        <v>594</v>
      </c>
      <c r="C294" s="96" t="n">
        <v>416500</v>
      </c>
      <c r="D294" s="96" t="n">
        <f aca="false">116500+300000</f>
        <v>416500</v>
      </c>
      <c r="E294" s="166" t="e">
        <f aca="false">C294-D294+#REF!</f>
        <v>#REF!</v>
      </c>
    </row>
    <row r="295" customFormat="false" ht="15" hidden="false" customHeight="false" outlineLevel="0" collapsed="false">
      <c r="A295" s="95" t="n">
        <v>4</v>
      </c>
      <c r="B295" s="116" t="s">
        <v>595</v>
      </c>
      <c r="C295" s="96" t="n">
        <v>416500</v>
      </c>
      <c r="D295" s="96" t="n">
        <v>300000</v>
      </c>
      <c r="E295" s="166" t="e">
        <f aca="false">C295-D295+#REF!</f>
        <v>#REF!</v>
      </c>
    </row>
    <row r="296" customFormat="false" ht="15" hidden="false" customHeight="false" outlineLevel="0" collapsed="false">
      <c r="A296" s="95" t="n">
        <v>5</v>
      </c>
      <c r="B296" s="116" t="s">
        <v>596</v>
      </c>
      <c r="C296" s="96" t="n">
        <v>416500</v>
      </c>
      <c r="D296" s="96" t="n">
        <f aca="false">216500</f>
        <v>216500</v>
      </c>
      <c r="E296" s="166" t="e">
        <f aca="false">C296-D296+#REF!</f>
        <v>#REF!</v>
      </c>
    </row>
    <row r="297" customFormat="false" ht="15" hidden="false" customHeight="false" outlineLevel="0" collapsed="false">
      <c r="A297" s="95" t="n">
        <v>6</v>
      </c>
      <c r="B297" s="116" t="s">
        <v>597</v>
      </c>
      <c r="C297" s="96" t="n">
        <v>416500</v>
      </c>
      <c r="D297" s="96" t="n">
        <f aca="false">210500+206000</f>
        <v>416500</v>
      </c>
      <c r="E297" s="166" t="e">
        <f aca="false">C297-D297+#REF!</f>
        <v>#REF!</v>
      </c>
    </row>
    <row r="298" customFormat="false" ht="15" hidden="false" customHeight="false" outlineLevel="0" collapsed="false">
      <c r="A298" s="95" t="n">
        <v>7</v>
      </c>
      <c r="B298" s="116" t="s">
        <v>598</v>
      </c>
      <c r="C298" s="96" t="n">
        <v>416500</v>
      </c>
      <c r="D298" s="96"/>
      <c r="E298" s="166" t="e">
        <f aca="false">C298-D298+#REF!</f>
        <v>#REF!</v>
      </c>
    </row>
    <row r="299" customFormat="false" ht="15" hidden="false" customHeight="false" outlineLevel="0" collapsed="false">
      <c r="A299" s="95" t="n">
        <v>8</v>
      </c>
      <c r="B299" s="41" t="s">
        <v>599</v>
      </c>
      <c r="C299" s="96" t="n">
        <v>416500</v>
      </c>
      <c r="D299" s="96" t="n">
        <v>225000</v>
      </c>
      <c r="E299" s="166" t="e">
        <f aca="false">C299-D299+#REF!</f>
        <v>#REF!</v>
      </c>
    </row>
    <row r="300" customFormat="false" ht="15" hidden="false" customHeight="false" outlineLevel="0" collapsed="false">
      <c r="A300" s="95" t="n">
        <v>9</v>
      </c>
      <c r="B300" s="116" t="s">
        <v>600</v>
      </c>
      <c r="C300" s="96" t="n">
        <v>416500</v>
      </c>
      <c r="D300" s="96" t="n">
        <f aca="false">215500+201000</f>
        <v>416500</v>
      </c>
      <c r="E300" s="166" t="e">
        <f aca="false">C300-D300+#REF!</f>
        <v>#REF!</v>
      </c>
    </row>
    <row r="301" customFormat="false" ht="15" hidden="false" customHeight="false" outlineLevel="0" collapsed="false">
      <c r="A301" s="95" t="n">
        <v>10</v>
      </c>
      <c r="B301" s="116" t="s">
        <v>601</v>
      </c>
      <c r="C301" s="96" t="n">
        <v>416500</v>
      </c>
      <c r="D301" s="96" t="n">
        <v>316500</v>
      </c>
      <c r="E301" s="166" t="e">
        <f aca="false">C301-D301+#REF!</f>
        <v>#REF!</v>
      </c>
    </row>
    <row r="302" customFormat="false" ht="15" hidden="false" customHeight="false" outlineLevel="0" collapsed="false">
      <c r="A302" s="95" t="n">
        <v>11</v>
      </c>
      <c r="B302" s="116" t="s">
        <v>602</v>
      </c>
      <c r="C302" s="96" t="n">
        <v>416500</v>
      </c>
      <c r="D302" s="96" t="n">
        <f aca="false">100000+100050</f>
        <v>200050</v>
      </c>
      <c r="E302" s="166" t="e">
        <f aca="false">C302-D302+#REF!</f>
        <v>#REF!</v>
      </c>
    </row>
    <row r="303" customFormat="false" ht="15" hidden="false" customHeight="false" outlineLevel="0" collapsed="false">
      <c r="A303" s="95" t="n">
        <v>12</v>
      </c>
      <c r="B303" s="139" t="s">
        <v>975</v>
      </c>
      <c r="C303" s="96" t="n">
        <v>416500</v>
      </c>
      <c r="D303" s="96" t="n">
        <f aca="false">165000</f>
        <v>165000</v>
      </c>
      <c r="E303" s="166" t="e">
        <f aca="false">C303-D303+#REF!</f>
        <v>#REF!</v>
      </c>
    </row>
    <row r="304" customFormat="false" ht="15" hidden="false" customHeight="true" outlineLevel="0" collapsed="false">
      <c r="A304" s="95" t="n">
        <v>13</v>
      </c>
      <c r="B304" s="116" t="s">
        <v>603</v>
      </c>
      <c r="C304" s="96" t="n">
        <v>416500</v>
      </c>
      <c r="D304" s="96" t="n">
        <f aca="false">216000</f>
        <v>216000</v>
      </c>
      <c r="E304" s="166" t="e">
        <f aca="false">C304-D304+#REF!</f>
        <v>#REF!</v>
      </c>
    </row>
    <row r="305" customFormat="false" ht="15.75" hidden="false" customHeight="true" outlineLevel="0" collapsed="false">
      <c r="A305" s="95" t="n">
        <v>14</v>
      </c>
      <c r="B305" s="116" t="s">
        <v>604</v>
      </c>
      <c r="C305" s="96" t="n">
        <v>416500</v>
      </c>
      <c r="D305" s="96" t="n">
        <f aca="false">249950+166500</f>
        <v>416450</v>
      </c>
      <c r="E305" s="166" t="e">
        <f aca="false">C305-D305+#REF!</f>
        <v>#REF!</v>
      </c>
    </row>
    <row r="306" customFormat="false" ht="15" hidden="false" customHeight="true" outlineLevel="0" collapsed="false">
      <c r="A306" s="95" t="n">
        <v>15</v>
      </c>
      <c r="B306" s="116" t="s">
        <v>605</v>
      </c>
      <c r="C306" s="96" t="n">
        <v>416500</v>
      </c>
      <c r="D306" s="96" t="n">
        <f aca="false">216500</f>
        <v>216500</v>
      </c>
      <c r="E306" s="166" t="e">
        <f aca="false">C306-D306+#REF!</f>
        <v>#REF!</v>
      </c>
    </row>
    <row r="307" customFormat="false" ht="15.75" hidden="false" customHeight="true" outlineLevel="0" collapsed="false">
      <c r="A307" s="95" t="n">
        <v>16</v>
      </c>
      <c r="B307" s="116" t="s">
        <v>606</v>
      </c>
      <c r="C307" s="96" t="n">
        <v>416500</v>
      </c>
      <c r="D307" s="96" t="n">
        <f aca="false">170000+100000</f>
        <v>270000</v>
      </c>
      <c r="E307" s="166" t="e">
        <f aca="false">C307-D307+#REF!</f>
        <v>#REF!</v>
      </c>
    </row>
    <row r="308" customFormat="false" ht="15" hidden="false" customHeight="true" outlineLevel="0" collapsed="false">
      <c r="A308" s="95" t="n">
        <v>17</v>
      </c>
      <c r="B308" s="116" t="s">
        <v>607</v>
      </c>
      <c r="C308" s="96" t="n">
        <v>416500</v>
      </c>
      <c r="D308" s="96" t="n">
        <f aca="false">216500</f>
        <v>216500</v>
      </c>
      <c r="E308" s="166" t="e">
        <f aca="false">C308-D308+#REF!</f>
        <v>#REF!</v>
      </c>
    </row>
    <row r="309" customFormat="false" ht="15.75" hidden="false" customHeight="true" outlineLevel="0" collapsed="false">
      <c r="A309" s="132" t="n">
        <v>18</v>
      </c>
      <c r="B309" s="133" t="s">
        <v>608</v>
      </c>
      <c r="C309" s="96" t="n">
        <v>416500</v>
      </c>
      <c r="D309" s="96" t="n">
        <f aca="false">216500</f>
        <v>216500</v>
      </c>
      <c r="E309" s="166" t="e">
        <f aca="false">C309-D309+#REF!</f>
        <v>#REF!</v>
      </c>
    </row>
    <row r="310" customFormat="false" ht="15" hidden="false" customHeight="true" outlineLevel="0" collapsed="false">
      <c r="A310" s="116"/>
      <c r="B310" s="134" t="s">
        <v>22</v>
      </c>
      <c r="C310" s="101" t="n">
        <f aca="false">SUM(C292:C309)</f>
        <v>7497000</v>
      </c>
      <c r="D310" s="102" t="n">
        <f aca="false">SUM(D292:D309)</f>
        <v>4624500</v>
      </c>
      <c r="E310" s="103" t="e">
        <f aca="false">SUM(E292:E309)</f>
        <v>#REF!</v>
      </c>
    </row>
    <row r="311" customFormat="false" ht="15.75" hidden="false" customHeight="true" outlineLevel="0" collapsed="false"/>
    <row r="314" customFormat="false" ht="15" hidden="false" customHeight="false" outlineLevel="0" collapsed="false">
      <c r="A314" s="104"/>
    </row>
    <row r="315" customFormat="false" ht="17.35" hidden="false" customHeight="false" outlineLevel="0" collapsed="false">
      <c r="A315" s="104"/>
      <c r="B315" s="135" t="s">
        <v>0</v>
      </c>
      <c r="C315" s="135"/>
      <c r="D315" s="135"/>
    </row>
    <row r="316" customFormat="false" ht="15" hidden="false" customHeight="false" outlineLevel="0" collapsed="false">
      <c r="A316" s="104"/>
    </row>
    <row r="317" customFormat="false" ht="17.35" hidden="false" customHeight="false" outlineLevel="0" collapsed="false">
      <c r="A317" s="104"/>
      <c r="B317" s="91" t="s">
        <v>314</v>
      </c>
    </row>
    <row r="318" customFormat="false" ht="15" hidden="false" customHeight="false" outlineLevel="0" collapsed="false">
      <c r="A318" s="104"/>
      <c r="B318" s="4" t="s">
        <v>591</v>
      </c>
    </row>
    <row r="319" customFormat="false" ht="15" hidden="false" customHeight="false" outlineLevel="0" collapsed="false">
      <c r="A319" s="92" t="s">
        <v>4</v>
      </c>
      <c r="B319" s="93" t="s">
        <v>285</v>
      </c>
      <c r="C319" s="8" t="s">
        <v>6</v>
      </c>
      <c r="D319" s="94" t="s">
        <v>7</v>
      </c>
      <c r="E319" s="10" t="s">
        <v>8</v>
      </c>
    </row>
    <row r="320" customFormat="false" ht="15" hidden="false" customHeight="false" outlineLevel="0" collapsed="false">
      <c r="A320" s="95" t="n">
        <v>1</v>
      </c>
      <c r="B320" s="116" t="s">
        <v>609</v>
      </c>
      <c r="C320" s="96" t="n">
        <v>416500</v>
      </c>
      <c r="D320" s="96" t="n">
        <f aca="false">100000</f>
        <v>100000</v>
      </c>
      <c r="E320" s="166" t="e">
        <f aca="false">C320-D320+#REF!</f>
        <v>#REF!</v>
      </c>
    </row>
    <row r="321" customFormat="false" ht="15" hidden="false" customHeight="false" outlineLevel="0" collapsed="false">
      <c r="A321" s="95" t="n">
        <v>2</v>
      </c>
      <c r="B321" s="116" t="s">
        <v>610</v>
      </c>
      <c r="C321" s="96" t="n">
        <v>416500</v>
      </c>
      <c r="D321" s="96" t="n">
        <f aca="false">116500+100000</f>
        <v>216500</v>
      </c>
      <c r="E321" s="166" t="e">
        <f aca="false">C321-D321+#REF!</f>
        <v>#REF!</v>
      </c>
    </row>
    <row r="322" customFormat="false" ht="15" hidden="false" customHeight="false" outlineLevel="0" collapsed="false">
      <c r="A322" s="95" t="n">
        <v>3</v>
      </c>
      <c r="B322" s="118" t="s">
        <v>611</v>
      </c>
      <c r="C322" s="96" t="n">
        <v>416500</v>
      </c>
      <c r="D322" s="96" t="n">
        <f aca="false">83000+200000+140000</f>
        <v>423000</v>
      </c>
      <c r="E322" s="166" t="e">
        <f aca="false">C322-D322+#REF!</f>
        <v>#REF!</v>
      </c>
    </row>
    <row r="323" customFormat="false" ht="15" hidden="false" customHeight="false" outlineLevel="0" collapsed="false">
      <c r="A323" s="95" t="n">
        <v>4</v>
      </c>
      <c r="B323" s="116" t="s">
        <v>612</v>
      </c>
      <c r="C323" s="96" t="n">
        <v>416500</v>
      </c>
      <c r="D323" s="96" t="n">
        <f aca="false">116500</f>
        <v>116500</v>
      </c>
      <c r="E323" s="166" t="e">
        <f aca="false">C323-D323+#REF!</f>
        <v>#REF!</v>
      </c>
    </row>
    <row r="324" customFormat="false" ht="15" hidden="false" customHeight="false" outlineLevel="0" collapsed="false">
      <c r="A324" s="95" t="n">
        <v>5</v>
      </c>
      <c r="B324" s="116" t="s">
        <v>613</v>
      </c>
      <c r="C324" s="96" t="n">
        <v>416500</v>
      </c>
      <c r="D324" s="96" t="n">
        <f aca="false">100000</f>
        <v>100000</v>
      </c>
      <c r="E324" s="166" t="e">
        <f aca="false">C324-D324+#REF!</f>
        <v>#REF!</v>
      </c>
    </row>
    <row r="325" customFormat="false" ht="15" hidden="false" customHeight="false" outlineLevel="0" collapsed="false">
      <c r="A325" s="95" t="n">
        <v>6</v>
      </c>
      <c r="B325" s="116" t="s">
        <v>614</v>
      </c>
      <c r="C325" s="96" t="n">
        <v>416500</v>
      </c>
      <c r="D325" s="96" t="n">
        <f aca="false">100000</f>
        <v>100000</v>
      </c>
      <c r="E325" s="166" t="e">
        <f aca="false">C325-D325+#REF!</f>
        <v>#REF!</v>
      </c>
    </row>
    <row r="326" customFormat="false" ht="15" hidden="false" customHeight="false" outlineLevel="0" collapsed="false">
      <c r="A326" s="95" t="n">
        <v>7</v>
      </c>
      <c r="B326" s="116" t="s">
        <v>615</v>
      </c>
      <c r="C326" s="96" t="n">
        <v>416500</v>
      </c>
      <c r="D326" s="96"/>
      <c r="E326" s="166" t="e">
        <f aca="false">C326-D326+#REF!</f>
        <v>#REF!</v>
      </c>
    </row>
    <row r="327" customFormat="false" ht="15" hidden="false" customHeight="false" outlineLevel="0" collapsed="false">
      <c r="A327" s="95" t="n">
        <v>8</v>
      </c>
      <c r="B327" s="116" t="s">
        <v>616</v>
      </c>
      <c r="C327" s="96" t="n">
        <v>416550</v>
      </c>
      <c r="D327" s="96" t="n">
        <f aca="false">150000</f>
        <v>150000</v>
      </c>
      <c r="E327" s="166" t="e">
        <f aca="false">C327-D327+#REF!</f>
        <v>#REF!</v>
      </c>
    </row>
    <row r="328" customFormat="false" ht="15" hidden="false" customHeight="false" outlineLevel="0" collapsed="false">
      <c r="A328" s="95" t="n">
        <v>9</v>
      </c>
      <c r="B328" s="116" t="s">
        <v>617</v>
      </c>
      <c r="C328" s="96" t="n">
        <v>416500</v>
      </c>
      <c r="D328" s="96" t="n">
        <f aca="false">100000+50000</f>
        <v>150000</v>
      </c>
      <c r="E328" s="166" t="e">
        <f aca="false">C328-D328+#REF!</f>
        <v>#REF!</v>
      </c>
    </row>
    <row r="329" customFormat="false" ht="15" hidden="false" customHeight="false" outlineLevel="0" collapsed="false">
      <c r="A329" s="95" t="n">
        <v>10</v>
      </c>
      <c r="B329" s="116" t="s">
        <v>618</v>
      </c>
      <c r="C329" s="96" t="n">
        <v>416500</v>
      </c>
      <c r="D329" s="96" t="n">
        <f aca="false">216500+200000</f>
        <v>416500</v>
      </c>
      <c r="E329" s="166" t="e">
        <f aca="false">C329-D329+#REF!</f>
        <v>#REF!</v>
      </c>
    </row>
    <row r="330" customFormat="false" ht="15" hidden="false" customHeight="false" outlineLevel="0" collapsed="false">
      <c r="A330" s="95" t="n">
        <v>11</v>
      </c>
      <c r="B330" s="116" t="s">
        <v>619</v>
      </c>
      <c r="C330" s="96" t="n">
        <v>416500</v>
      </c>
      <c r="D330" s="96" t="n">
        <f aca="false">416500</f>
        <v>416500</v>
      </c>
      <c r="E330" s="166" t="e">
        <f aca="false">C330-D330+#REF!</f>
        <v>#REF!</v>
      </c>
    </row>
    <row r="331" customFormat="false" ht="15" hidden="false" customHeight="true" outlineLevel="0" collapsed="false">
      <c r="A331" s="95" t="n">
        <v>12</v>
      </c>
      <c r="B331" s="116" t="s">
        <v>620</v>
      </c>
      <c r="C331" s="96" t="n">
        <v>416500</v>
      </c>
      <c r="D331" s="96" t="n">
        <f aca="false">200000</f>
        <v>200000</v>
      </c>
      <c r="E331" s="166" t="e">
        <f aca="false">C331-D331+#REF!</f>
        <v>#REF!</v>
      </c>
    </row>
    <row r="332" customFormat="false" ht="15.75" hidden="false" customHeight="true" outlineLevel="0" collapsed="false">
      <c r="A332" s="95" t="n">
        <v>13</v>
      </c>
      <c r="B332" s="116" t="s">
        <v>621</v>
      </c>
      <c r="C332" s="96" t="n">
        <v>416500</v>
      </c>
      <c r="D332" s="96" t="n">
        <f aca="false">100000+50000+70000</f>
        <v>220000</v>
      </c>
      <c r="E332" s="166" t="e">
        <f aca="false">C332-D332+#REF!</f>
        <v>#REF!</v>
      </c>
    </row>
    <row r="333" customFormat="false" ht="19.7" hidden="false" customHeight="false" outlineLevel="0" collapsed="false">
      <c r="A333" s="112"/>
      <c r="B333" s="120" t="s">
        <v>22</v>
      </c>
      <c r="C333" s="101" t="n">
        <f aca="false">SUM(C320:C332)</f>
        <v>5414550</v>
      </c>
      <c r="D333" s="102" t="n">
        <f aca="false">SUM(D320:D332)</f>
        <v>2609000</v>
      </c>
      <c r="E333" s="272"/>
    </row>
    <row r="334" customFormat="false" ht="15" hidden="false" customHeight="false" outlineLevel="0" collapsed="false">
      <c r="A334" s="104"/>
    </row>
    <row r="337" customFormat="false" ht="17.35" hidden="false" customHeight="false" outlineLevel="0" collapsed="false">
      <c r="A337" s="108"/>
    </row>
    <row r="338" customFormat="false" ht="17.35" hidden="false" customHeight="false" outlineLevel="0" collapsed="false">
      <c r="A338" s="104"/>
      <c r="B338" s="2" t="s">
        <v>0</v>
      </c>
    </row>
    <row r="339" customFormat="false" ht="15" hidden="false" customHeight="false" outlineLevel="0" collapsed="false">
      <c r="A339" s="104"/>
    </row>
    <row r="340" customFormat="false" ht="17.35" hidden="false" customHeight="false" outlineLevel="0" collapsed="false">
      <c r="A340" s="104"/>
      <c r="B340" s="91" t="s">
        <v>622</v>
      </c>
    </row>
    <row r="341" customFormat="false" ht="15" hidden="false" customHeight="false" outlineLevel="0" collapsed="false">
      <c r="A341" s="104"/>
      <c r="B341" s="4" t="s">
        <v>623</v>
      </c>
    </row>
    <row r="342" customFormat="false" ht="15" hidden="false" customHeight="false" outlineLevel="0" collapsed="false">
      <c r="A342" s="92" t="s">
        <v>4</v>
      </c>
      <c r="B342" s="93" t="s">
        <v>285</v>
      </c>
      <c r="C342" s="8" t="s">
        <v>6</v>
      </c>
      <c r="D342" s="94" t="s">
        <v>7</v>
      </c>
    </row>
    <row r="343" customFormat="false" ht="15" hidden="false" customHeight="false" outlineLevel="0" collapsed="false">
      <c r="A343" s="95" t="n">
        <v>1</v>
      </c>
      <c r="B343" s="43" t="s">
        <v>624</v>
      </c>
      <c r="C343" s="96" t="n">
        <v>416500</v>
      </c>
      <c r="D343" s="96" t="n">
        <f aca="false">220000+196500</f>
        <v>416500</v>
      </c>
    </row>
    <row r="344" customFormat="false" ht="15" hidden="false" customHeight="false" outlineLevel="0" collapsed="false">
      <c r="A344" s="95" t="n">
        <v>2</v>
      </c>
      <c r="B344" s="15" t="s">
        <v>625</v>
      </c>
      <c r="C344" s="130" t="s">
        <v>349</v>
      </c>
      <c r="D344" s="130"/>
    </row>
    <row r="345" customFormat="false" ht="15" hidden="false" customHeight="false" outlineLevel="0" collapsed="false">
      <c r="A345" s="95" t="n">
        <v>3</v>
      </c>
      <c r="B345" s="43" t="s">
        <v>626</v>
      </c>
      <c r="C345" s="96" t="n">
        <v>416500</v>
      </c>
      <c r="D345" s="96"/>
    </row>
    <row r="346" customFormat="false" ht="15" hidden="false" customHeight="false" outlineLevel="0" collapsed="false">
      <c r="A346" s="95" t="n">
        <v>4</v>
      </c>
      <c r="B346" s="43" t="s">
        <v>627</v>
      </c>
      <c r="C346" s="96" t="n">
        <v>416500</v>
      </c>
      <c r="D346" s="96" t="n">
        <f aca="false">210000</f>
        <v>210000</v>
      </c>
    </row>
    <row r="347" customFormat="false" ht="15" hidden="false" customHeight="false" outlineLevel="0" collapsed="false">
      <c r="A347" s="95" t="n">
        <v>5</v>
      </c>
      <c r="B347" s="43" t="s">
        <v>628</v>
      </c>
      <c r="C347" s="96" t="n">
        <v>416500</v>
      </c>
      <c r="D347" s="96"/>
    </row>
    <row r="348" customFormat="false" ht="15" hidden="false" customHeight="false" outlineLevel="0" collapsed="false">
      <c r="A348" s="95" t="n">
        <v>6</v>
      </c>
      <c r="B348" s="43" t="s">
        <v>629</v>
      </c>
      <c r="C348" s="96" t="n">
        <v>416500</v>
      </c>
      <c r="D348" s="96" t="n">
        <f aca="false">414500</f>
        <v>414500</v>
      </c>
    </row>
    <row r="349" customFormat="false" ht="15" hidden="false" customHeight="false" outlineLevel="0" collapsed="false">
      <c r="A349" s="95" t="n">
        <v>7</v>
      </c>
      <c r="B349" s="43" t="s">
        <v>630</v>
      </c>
      <c r="C349" s="96" t="n">
        <v>416500</v>
      </c>
      <c r="D349" s="96"/>
    </row>
    <row r="350" customFormat="false" ht="15" hidden="false" customHeight="false" outlineLevel="0" collapsed="false">
      <c r="A350" s="95" t="n">
        <v>8</v>
      </c>
      <c r="B350" s="15" t="s">
        <v>631</v>
      </c>
      <c r="C350" s="130" t="s">
        <v>349</v>
      </c>
      <c r="D350" s="130"/>
    </row>
    <row r="351" customFormat="false" ht="15" hidden="false" customHeight="false" outlineLevel="0" collapsed="false">
      <c r="A351" s="95" t="n">
        <v>9</v>
      </c>
      <c r="B351" s="43" t="s">
        <v>632</v>
      </c>
      <c r="C351" s="96" t="n">
        <v>416500</v>
      </c>
      <c r="D351" s="96" t="n">
        <f aca="false">200000</f>
        <v>200000</v>
      </c>
    </row>
    <row r="352" customFormat="false" ht="15" hidden="false" customHeight="false" outlineLevel="0" collapsed="false">
      <c r="A352" s="95" t="n">
        <v>10</v>
      </c>
      <c r="B352" s="15" t="s">
        <v>633</v>
      </c>
      <c r="C352" s="130" t="s">
        <v>349</v>
      </c>
      <c r="D352" s="130"/>
    </row>
    <row r="353" customFormat="false" ht="15" hidden="false" customHeight="false" outlineLevel="0" collapsed="false">
      <c r="A353" s="95" t="n">
        <v>11</v>
      </c>
      <c r="B353" s="15" t="s">
        <v>634</v>
      </c>
      <c r="C353" s="130" t="s">
        <v>349</v>
      </c>
      <c r="D353" s="130"/>
    </row>
    <row r="354" customFormat="false" ht="15" hidden="false" customHeight="false" outlineLevel="0" collapsed="false">
      <c r="A354" s="95" t="n">
        <v>12</v>
      </c>
      <c r="B354" s="43" t="s">
        <v>635</v>
      </c>
      <c r="C354" s="96" t="n">
        <v>416500</v>
      </c>
      <c r="D354" s="96" t="n">
        <f aca="false">216500</f>
        <v>216500</v>
      </c>
    </row>
    <row r="355" customFormat="false" ht="15" hidden="false" customHeight="false" outlineLevel="0" collapsed="false">
      <c r="A355" s="95" t="n">
        <v>13</v>
      </c>
      <c r="B355" s="43" t="s">
        <v>636</v>
      </c>
      <c r="C355" s="96" t="n">
        <v>416500</v>
      </c>
      <c r="D355" s="96"/>
    </row>
    <row r="356" customFormat="false" ht="15" hidden="false" customHeight="false" outlineLevel="0" collapsed="false">
      <c r="A356" s="95" t="n">
        <v>14</v>
      </c>
      <c r="B356" s="43" t="s">
        <v>637</v>
      </c>
      <c r="C356" s="96" t="n">
        <v>416500</v>
      </c>
      <c r="D356" s="96"/>
    </row>
    <row r="357" customFormat="false" ht="15.75" hidden="false" customHeight="true" outlineLevel="0" collapsed="false">
      <c r="A357" s="112"/>
      <c r="B357" s="100" t="s">
        <v>22</v>
      </c>
      <c r="C357" s="101" t="n">
        <f aca="false">SUM(C343:C356)</f>
        <v>4165000</v>
      </c>
      <c r="D357" s="102" t="n">
        <f aca="false">SUM(D343:D356)</f>
        <v>1457500</v>
      </c>
    </row>
    <row r="358" customFormat="false" ht="16.5" hidden="false" customHeight="true" outlineLevel="0" collapsed="false"/>
    <row r="362" customFormat="false" ht="17.35" hidden="false" customHeight="false" outlineLevel="0" collapsed="false">
      <c r="A362" s="108"/>
    </row>
    <row r="363" customFormat="false" ht="17.35" hidden="false" customHeight="false" outlineLevel="0" collapsed="false">
      <c r="A363" s="104"/>
      <c r="B363" s="2" t="s">
        <v>0</v>
      </c>
    </row>
    <row r="364" customFormat="false" ht="15" hidden="false" customHeight="false" outlineLevel="0" collapsed="false">
      <c r="A364" s="104"/>
    </row>
    <row r="365" customFormat="false" ht="17.35" hidden="false" customHeight="false" outlineLevel="0" collapsed="false">
      <c r="A365" s="104"/>
      <c r="B365" s="91" t="s">
        <v>638</v>
      </c>
    </row>
    <row r="366" customFormat="false" ht="15" hidden="false" customHeight="false" outlineLevel="0" collapsed="false">
      <c r="A366" s="104"/>
      <c r="B366" s="4" t="s">
        <v>623</v>
      </c>
    </row>
    <row r="367" customFormat="false" ht="15" hidden="false" customHeight="false" outlineLevel="0" collapsed="false">
      <c r="A367" s="92" t="s">
        <v>4</v>
      </c>
      <c r="B367" s="93" t="s">
        <v>285</v>
      </c>
      <c r="C367" s="8" t="s">
        <v>6</v>
      </c>
      <c r="D367" s="94" t="s">
        <v>7</v>
      </c>
      <c r="E367" s="10" t="s">
        <v>8</v>
      </c>
    </row>
    <row r="368" customFormat="false" ht="15" hidden="false" customHeight="false" outlineLevel="0" collapsed="false">
      <c r="A368" s="95" t="n">
        <v>1</v>
      </c>
      <c r="B368" s="73" t="s">
        <v>640</v>
      </c>
      <c r="C368" s="96" t="n">
        <v>416550</v>
      </c>
      <c r="D368" s="96" t="n">
        <f aca="false">216500</f>
        <v>216500</v>
      </c>
      <c r="E368" s="166" t="e">
        <f aca="false">C368-D368+#REF!</f>
        <v>#REF!</v>
      </c>
    </row>
    <row r="369" customFormat="false" ht="15" hidden="false" customHeight="false" outlineLevel="0" collapsed="false">
      <c r="A369" s="95" t="n">
        <v>2</v>
      </c>
      <c r="B369" s="73" t="s">
        <v>641</v>
      </c>
      <c r="C369" s="96" t="n">
        <v>416500</v>
      </c>
      <c r="D369" s="96" t="n">
        <f aca="false">126500</f>
        <v>126500</v>
      </c>
      <c r="E369" s="166" t="e">
        <f aca="false">C369-D369+#REF!</f>
        <v>#REF!</v>
      </c>
    </row>
    <row r="370" customFormat="false" ht="15" hidden="false" customHeight="false" outlineLevel="0" collapsed="false">
      <c r="A370" s="95" t="n">
        <v>3</v>
      </c>
      <c r="B370" s="73" t="s">
        <v>642</v>
      </c>
      <c r="C370" s="96" t="n">
        <v>416500</v>
      </c>
      <c r="D370" s="96" t="n">
        <f aca="false">50000+50000</f>
        <v>100000</v>
      </c>
      <c r="E370" s="166" t="e">
        <f aca="false">C370-D370+#REF!</f>
        <v>#REF!</v>
      </c>
    </row>
    <row r="371" customFormat="false" ht="15" hidden="false" customHeight="false" outlineLevel="0" collapsed="false">
      <c r="A371" s="95" t="n">
        <v>4</v>
      </c>
      <c r="B371" s="73" t="s">
        <v>643</v>
      </c>
      <c r="C371" s="96" t="n">
        <v>416500</v>
      </c>
      <c r="D371" s="96" t="n">
        <v>200000</v>
      </c>
      <c r="E371" s="166" t="e">
        <f aca="false">C371-D371+#REF!</f>
        <v>#REF!</v>
      </c>
    </row>
    <row r="372" customFormat="false" ht="15" hidden="false" customHeight="false" outlineLevel="0" collapsed="false">
      <c r="A372" s="95" t="n">
        <v>5</v>
      </c>
      <c r="B372" s="73" t="s">
        <v>644</v>
      </c>
      <c r="C372" s="96" t="n">
        <v>416500</v>
      </c>
      <c r="D372" s="96" t="n">
        <f aca="false">300000</f>
        <v>300000</v>
      </c>
      <c r="E372" s="166" t="e">
        <f aca="false">C372-D372+#REF!</f>
        <v>#REF!</v>
      </c>
    </row>
    <row r="373" customFormat="false" ht="15" hidden="false" customHeight="false" outlineLevel="0" collapsed="false">
      <c r="A373" s="95" t="n">
        <v>6</v>
      </c>
      <c r="B373" s="73" t="s">
        <v>645</v>
      </c>
      <c r="C373" s="96" t="n">
        <v>416500</v>
      </c>
      <c r="D373" s="96"/>
      <c r="E373" s="166" t="e">
        <f aca="false">C373-D373+#REF!</f>
        <v>#REF!</v>
      </c>
    </row>
    <row r="374" customFormat="false" ht="15" hidden="false" customHeight="false" outlineLevel="0" collapsed="false">
      <c r="A374" s="95" t="n">
        <v>7</v>
      </c>
      <c r="B374" s="73" t="s">
        <v>646</v>
      </c>
      <c r="C374" s="96" t="n">
        <v>416500</v>
      </c>
      <c r="D374" s="96" t="n">
        <f aca="false">50000</f>
        <v>50000</v>
      </c>
      <c r="E374" s="166" t="e">
        <f aca="false">C374-D374+#REF!</f>
        <v>#REF!</v>
      </c>
    </row>
    <row r="375" customFormat="false" ht="15" hidden="false" customHeight="false" outlineLevel="0" collapsed="false">
      <c r="A375" s="95" t="n">
        <v>8</v>
      </c>
      <c r="B375" s="140" t="s">
        <v>647</v>
      </c>
      <c r="C375" s="96" t="n">
        <v>416500</v>
      </c>
      <c r="D375" s="96" t="n">
        <f aca="false">200000+100000</f>
        <v>300000</v>
      </c>
      <c r="E375" s="166" t="e">
        <f aca="false">C375-D375+#REF!</f>
        <v>#REF!</v>
      </c>
    </row>
    <row r="376" customFormat="false" ht="15" hidden="false" customHeight="false" outlineLevel="0" collapsed="false">
      <c r="A376" s="95" t="n">
        <v>9</v>
      </c>
      <c r="B376" s="73" t="s">
        <v>648</v>
      </c>
      <c r="C376" s="96" t="n">
        <v>416500</v>
      </c>
      <c r="D376" s="96"/>
      <c r="E376" s="166" t="e">
        <f aca="false">C376-D376+#REF!</f>
        <v>#REF!</v>
      </c>
    </row>
    <row r="377" customFormat="false" ht="15" hidden="false" customHeight="false" outlineLevel="0" collapsed="false">
      <c r="A377" s="95" t="n">
        <v>10</v>
      </c>
      <c r="B377" s="73" t="s">
        <v>649</v>
      </c>
      <c r="C377" s="96" t="n">
        <v>416500</v>
      </c>
      <c r="D377" s="96" t="n">
        <f aca="false">200000</f>
        <v>200000</v>
      </c>
      <c r="E377" s="166" t="e">
        <f aca="false">C377-D377+#REF!</f>
        <v>#REF!</v>
      </c>
    </row>
    <row r="378" customFormat="false" ht="15" hidden="false" customHeight="false" outlineLevel="0" collapsed="false">
      <c r="A378" s="95" t="n">
        <v>11</v>
      </c>
      <c r="B378" s="73" t="s">
        <v>650</v>
      </c>
      <c r="C378" s="96" t="n">
        <v>416500</v>
      </c>
      <c r="D378" s="96"/>
      <c r="E378" s="166" t="e">
        <f aca="false">C378-D378+#REF!</f>
        <v>#REF!</v>
      </c>
    </row>
    <row r="379" customFormat="false" ht="19.7" hidden="false" customHeight="false" outlineLevel="0" collapsed="false">
      <c r="A379" s="95"/>
      <c r="B379" s="141" t="s">
        <v>22</v>
      </c>
      <c r="C379" s="101" t="n">
        <f aca="false">SUM(C368:C378)</f>
        <v>4581550</v>
      </c>
      <c r="D379" s="102" t="n">
        <f aca="false">SUM(D368:D378)</f>
        <v>1493000</v>
      </c>
      <c r="E379" s="103" t="e">
        <f aca="false">SUM(E368:E378)</f>
        <v>#REF!</v>
      </c>
    </row>
    <row r="381" customFormat="false" ht="17.35" hidden="false" customHeight="false" outlineLevel="0" collapsed="false">
      <c r="A381" s="108"/>
    </row>
    <row r="382" customFormat="false" ht="15" hidden="false" customHeight="true" outlineLevel="0" collapsed="false">
      <c r="A382" s="104"/>
      <c r="B382" s="2"/>
    </row>
    <row r="383" customFormat="false" ht="15.75" hidden="false" customHeight="true" outlineLevel="0" collapsed="false">
      <c r="A383" s="104"/>
    </row>
    <row r="384" customFormat="false" ht="15" hidden="false" customHeight="true" outlineLevel="0" collapsed="false">
      <c r="B384" s="91"/>
    </row>
    <row r="385" customFormat="false" ht="17.35" hidden="false" customHeight="false" outlineLevel="0" collapsed="false">
      <c r="A385" s="108"/>
    </row>
    <row r="386" customFormat="false" ht="15.75" hidden="false" customHeight="true" outlineLevel="0" collapsed="false">
      <c r="A386" s="104"/>
    </row>
    <row r="387" customFormat="false" ht="17.35" hidden="false" customHeight="false" outlineLevel="0" collapsed="false">
      <c r="B387" s="105"/>
      <c r="C387" s="106"/>
      <c r="D387" s="107"/>
    </row>
    <row r="390" customFormat="false" ht="17.35" hidden="false" customHeight="false" outlineLevel="0" collapsed="false">
      <c r="A390" s="108"/>
    </row>
    <row r="391" customFormat="false" ht="17.35" hidden="false" customHeight="false" outlineLevel="0" collapsed="false">
      <c r="A391" s="104"/>
      <c r="B391" s="2" t="s">
        <v>0</v>
      </c>
      <c r="C391" s="2"/>
    </row>
    <row r="392" customFormat="false" ht="15" hidden="false" customHeight="false" outlineLevel="0" collapsed="false">
      <c r="A392" s="104"/>
    </row>
    <row r="393" customFormat="false" ht="17.35" hidden="false" customHeight="false" outlineLevel="0" collapsed="false">
      <c r="A393" s="104"/>
      <c r="B393" s="91" t="s">
        <v>670</v>
      </c>
    </row>
    <row r="394" customFormat="false" ht="15" hidden="false" customHeight="false" outlineLevel="0" collapsed="false">
      <c r="A394" s="104"/>
      <c r="B394" s="4" t="s">
        <v>671</v>
      </c>
    </row>
    <row r="395" customFormat="false" ht="15" hidden="false" customHeight="false" outlineLevel="0" collapsed="false">
      <c r="A395" s="92" t="s">
        <v>4</v>
      </c>
      <c r="B395" s="93" t="s">
        <v>285</v>
      </c>
      <c r="C395" s="8" t="s">
        <v>6</v>
      </c>
      <c r="D395" s="94" t="s">
        <v>7</v>
      </c>
    </row>
    <row r="396" customFormat="false" ht="15" hidden="false" customHeight="false" outlineLevel="0" collapsed="false">
      <c r="A396" s="142" t="n">
        <v>1</v>
      </c>
      <c r="B396" s="41" t="s">
        <v>672</v>
      </c>
      <c r="C396" s="96" t="n">
        <v>416500</v>
      </c>
      <c r="D396" s="96"/>
    </row>
    <row r="397" customFormat="false" ht="15" hidden="false" customHeight="false" outlineLevel="0" collapsed="false">
      <c r="A397" s="95" t="n">
        <v>2</v>
      </c>
      <c r="B397" s="41" t="s">
        <v>673</v>
      </c>
      <c r="C397" s="96" t="n">
        <v>416500</v>
      </c>
      <c r="D397" s="96" t="n">
        <f aca="false">265000</f>
        <v>265000</v>
      </c>
    </row>
    <row r="398" customFormat="false" ht="15" hidden="false" customHeight="false" outlineLevel="0" collapsed="false">
      <c r="A398" s="142" t="n">
        <v>3</v>
      </c>
      <c r="B398" s="143" t="s">
        <v>674</v>
      </c>
      <c r="C398" s="96" t="n">
        <v>416500</v>
      </c>
      <c r="D398" s="96" t="n">
        <f aca="false">80000+165000</f>
        <v>245000</v>
      </c>
    </row>
    <row r="399" customFormat="false" ht="15" hidden="false" customHeight="false" outlineLevel="0" collapsed="false">
      <c r="A399" s="95" t="n">
        <v>4</v>
      </c>
      <c r="B399" s="41" t="s">
        <v>675</v>
      </c>
      <c r="C399" s="96" t="n">
        <v>416500</v>
      </c>
      <c r="D399" s="96" t="n">
        <f aca="false">250000</f>
        <v>250000</v>
      </c>
    </row>
    <row r="400" customFormat="false" ht="15" hidden="false" customHeight="false" outlineLevel="0" collapsed="false">
      <c r="A400" s="142" t="n">
        <v>5</v>
      </c>
      <c r="B400" s="56" t="s">
        <v>676</v>
      </c>
      <c r="C400" s="96" t="n">
        <v>416500</v>
      </c>
      <c r="D400" s="96"/>
    </row>
    <row r="401" customFormat="false" ht="15" hidden="false" customHeight="false" outlineLevel="0" collapsed="false">
      <c r="A401" s="142" t="n">
        <v>6</v>
      </c>
      <c r="B401" s="41" t="s">
        <v>677</v>
      </c>
      <c r="C401" s="96" t="n">
        <v>416500</v>
      </c>
      <c r="D401" s="96" t="n">
        <f aca="false">33500</f>
        <v>33500</v>
      </c>
    </row>
    <row r="402" customFormat="false" ht="15" hidden="false" customHeight="false" outlineLevel="0" collapsed="false">
      <c r="A402" s="95" t="n">
        <v>7</v>
      </c>
      <c r="B402" s="41" t="s">
        <v>678</v>
      </c>
      <c r="C402" s="96" t="n">
        <v>416500</v>
      </c>
      <c r="D402" s="96" t="n">
        <f aca="false">50000</f>
        <v>50000</v>
      </c>
    </row>
    <row r="403" customFormat="false" ht="15" hidden="false" customHeight="false" outlineLevel="0" collapsed="false">
      <c r="A403" s="144" t="n">
        <v>8</v>
      </c>
      <c r="B403" s="41" t="s">
        <v>679</v>
      </c>
      <c r="C403" s="96" t="n">
        <v>416500</v>
      </c>
      <c r="D403" s="96" t="n">
        <f aca="false">100000</f>
        <v>100000</v>
      </c>
    </row>
    <row r="404" customFormat="false" ht="15" hidden="false" customHeight="false" outlineLevel="0" collapsed="false">
      <c r="A404" s="144" t="n">
        <v>9</v>
      </c>
      <c r="B404" s="41" t="s">
        <v>680</v>
      </c>
      <c r="C404" s="96" t="n">
        <v>416500</v>
      </c>
      <c r="D404" s="96" t="n">
        <f aca="false">216000+200500</f>
        <v>416500</v>
      </c>
    </row>
    <row r="405" customFormat="false" ht="15" hidden="false" customHeight="false" outlineLevel="0" collapsed="false">
      <c r="A405" s="142" t="n">
        <v>10</v>
      </c>
      <c r="B405" s="56" t="s">
        <v>681</v>
      </c>
      <c r="C405" s="96" t="n">
        <v>416500</v>
      </c>
      <c r="D405" s="96"/>
    </row>
    <row r="406" customFormat="false" ht="19.7" hidden="false" customHeight="false" outlineLevel="0" collapsed="false">
      <c r="A406" s="112"/>
      <c r="B406" s="141" t="s">
        <v>22</v>
      </c>
      <c r="C406" s="101" t="n">
        <f aca="false">SUM(C397:C405)</f>
        <v>3748500</v>
      </c>
      <c r="D406" s="102" t="n">
        <f aca="false">SUM(D397:D405)</f>
        <v>1360000</v>
      </c>
    </row>
    <row r="411" customFormat="false" ht="17.35" hidden="false" customHeight="false" outlineLevel="0" collapsed="false">
      <c r="A411" s="108"/>
    </row>
    <row r="412" customFormat="false" ht="17.35" hidden="false" customHeight="false" outlineLevel="0" collapsed="false">
      <c r="A412" s="104"/>
      <c r="B412" s="2" t="s">
        <v>0</v>
      </c>
      <c r="C412" s="2"/>
    </row>
    <row r="413" customFormat="false" ht="15" hidden="false" customHeight="false" outlineLevel="0" collapsed="false">
      <c r="A413" s="104"/>
    </row>
    <row r="414" customFormat="false" ht="17.35" hidden="false" customHeight="false" outlineLevel="0" collapsed="false">
      <c r="A414" s="104"/>
      <c r="B414" s="91" t="s">
        <v>682</v>
      </c>
    </row>
    <row r="415" customFormat="false" ht="15" hidden="false" customHeight="false" outlineLevel="0" collapsed="false">
      <c r="A415" s="104"/>
      <c r="B415" s="4" t="s">
        <v>671</v>
      </c>
    </row>
    <row r="416" customFormat="false" ht="15" hidden="false" customHeight="false" outlineLevel="0" collapsed="false">
      <c r="A416" s="92" t="s">
        <v>4</v>
      </c>
      <c r="B416" s="93" t="s">
        <v>285</v>
      </c>
      <c r="C416" s="8" t="s">
        <v>6</v>
      </c>
      <c r="D416" s="94" t="s">
        <v>7</v>
      </c>
    </row>
    <row r="417" customFormat="false" ht="15" hidden="false" customHeight="false" outlineLevel="0" collapsed="false">
      <c r="A417" s="142" t="n">
        <v>1</v>
      </c>
      <c r="B417" s="58" t="s">
        <v>683</v>
      </c>
      <c r="C417" s="96" t="n">
        <v>416500</v>
      </c>
      <c r="D417" s="96" t="n">
        <f aca="false">39000+100000+90000</f>
        <v>229000</v>
      </c>
    </row>
    <row r="418" customFormat="false" ht="15" hidden="false" customHeight="false" outlineLevel="0" collapsed="false">
      <c r="A418" s="142" t="n">
        <v>2</v>
      </c>
      <c r="B418" s="116" t="s">
        <v>684</v>
      </c>
      <c r="C418" s="96" t="n">
        <v>416500</v>
      </c>
      <c r="D418" s="96"/>
    </row>
    <row r="419" customFormat="false" ht="15" hidden="false" customHeight="false" outlineLevel="0" collapsed="false">
      <c r="A419" s="142" t="n">
        <v>3</v>
      </c>
      <c r="B419" s="116" t="s">
        <v>685</v>
      </c>
      <c r="C419" s="96" t="n">
        <v>416500</v>
      </c>
      <c r="D419" s="96" t="n">
        <v>416500</v>
      </c>
    </row>
    <row r="420" customFormat="false" ht="15" hidden="false" customHeight="false" outlineLevel="0" collapsed="false">
      <c r="A420" s="95" t="n">
        <v>4</v>
      </c>
      <c r="B420" s="116" t="s">
        <v>686</v>
      </c>
      <c r="C420" s="96" t="n">
        <v>416500</v>
      </c>
      <c r="D420" s="96" t="n">
        <f aca="false">213500</f>
        <v>213500</v>
      </c>
    </row>
    <row r="421" customFormat="false" ht="15" hidden="false" customHeight="false" outlineLevel="0" collapsed="false">
      <c r="A421" s="95" t="n">
        <v>5</v>
      </c>
      <c r="B421" s="116" t="s">
        <v>687</v>
      </c>
      <c r="C421" s="96" t="n">
        <v>416500</v>
      </c>
      <c r="D421" s="96" t="n">
        <f aca="false">37000+100000</f>
        <v>137000</v>
      </c>
    </row>
    <row r="422" customFormat="false" ht="15" hidden="false" customHeight="false" outlineLevel="0" collapsed="false">
      <c r="A422" s="95" t="n">
        <v>6</v>
      </c>
      <c r="B422" s="116" t="s">
        <v>688</v>
      </c>
      <c r="C422" s="96" t="n">
        <v>416500</v>
      </c>
      <c r="D422" s="96"/>
    </row>
    <row r="423" customFormat="false" ht="15" hidden="false" customHeight="false" outlineLevel="0" collapsed="false">
      <c r="A423" s="95" t="n">
        <v>7</v>
      </c>
      <c r="B423" s="116" t="s">
        <v>689</v>
      </c>
      <c r="C423" s="96" t="n">
        <v>416500</v>
      </c>
      <c r="D423" s="96" t="n">
        <f aca="false">116500</f>
        <v>116500</v>
      </c>
    </row>
    <row r="424" customFormat="false" ht="15" hidden="false" customHeight="false" outlineLevel="0" collapsed="false">
      <c r="A424" s="95" t="n">
        <v>8</v>
      </c>
      <c r="B424" s="116" t="s">
        <v>690</v>
      </c>
      <c r="C424" s="96" t="n">
        <v>416500</v>
      </c>
      <c r="D424" s="96"/>
    </row>
    <row r="425" customFormat="false" ht="15" hidden="false" customHeight="false" outlineLevel="0" collapsed="false">
      <c r="A425" s="95" t="n">
        <v>9</v>
      </c>
      <c r="B425" s="116" t="s">
        <v>691</v>
      </c>
      <c r="C425" s="96" t="n">
        <v>416500</v>
      </c>
      <c r="D425" s="96"/>
    </row>
    <row r="426" customFormat="false" ht="15" hidden="false" customHeight="false" outlineLevel="0" collapsed="false">
      <c r="A426" s="95" t="n">
        <v>10</v>
      </c>
      <c r="B426" s="116" t="s">
        <v>692</v>
      </c>
      <c r="C426" s="96" t="n">
        <v>416500</v>
      </c>
      <c r="D426" s="96"/>
    </row>
    <row r="427" customFormat="false" ht="15" hidden="false" customHeight="false" outlineLevel="0" collapsed="false">
      <c r="A427" s="95" t="n">
        <v>11</v>
      </c>
      <c r="B427" s="116" t="s">
        <v>693</v>
      </c>
      <c r="C427" s="96" t="n">
        <v>416500</v>
      </c>
      <c r="D427" s="96" t="n">
        <f aca="false">500+100000</f>
        <v>100500</v>
      </c>
    </row>
    <row r="428" customFormat="false" ht="17.35" hidden="false" customHeight="false" outlineLevel="0" collapsed="false">
      <c r="A428" s="112"/>
      <c r="B428" s="100" t="s">
        <v>22</v>
      </c>
      <c r="C428" s="101" t="n">
        <f aca="false">SUM(C420:C427)</f>
        <v>3332000</v>
      </c>
      <c r="D428" s="102" t="n">
        <f aca="false">SUM(D420:D427)</f>
        <v>567500</v>
      </c>
    </row>
    <row r="432" customFormat="false" ht="17.35" hidden="false" customHeight="false" outlineLevel="0" collapsed="false">
      <c r="A432" s="108"/>
    </row>
    <row r="433" customFormat="false" ht="15" hidden="false" customHeight="false" outlineLevel="0" collapsed="false">
      <c r="A433" s="104"/>
      <c r="D433" s="113"/>
    </row>
    <row r="436" customFormat="false" ht="15" hidden="false" customHeight="false" outlineLevel="0" collapsed="false">
      <c r="A436" s="104"/>
    </row>
    <row r="437" customFormat="false" ht="17.35" hidden="false" customHeight="false" outlineLevel="0" collapsed="false">
      <c r="A437" s="108"/>
      <c r="D437" s="113"/>
    </row>
    <row r="438" customFormat="false" ht="17.35" hidden="false" customHeight="false" outlineLevel="0" collapsed="false">
      <c r="A438" s="104"/>
      <c r="B438" s="2" t="s">
        <v>0</v>
      </c>
    </row>
    <row r="439" customFormat="false" ht="15" hidden="false" customHeight="false" outlineLevel="0" collapsed="false">
      <c r="A439" s="104"/>
    </row>
    <row r="440" customFormat="false" ht="17.35" hidden="false" customHeight="false" outlineLevel="0" collapsed="false">
      <c r="A440" s="104"/>
      <c r="B440" s="91" t="s">
        <v>704</v>
      </c>
    </row>
    <row r="441" customFormat="false" ht="15" hidden="false" customHeight="false" outlineLevel="0" collapsed="false">
      <c r="A441" s="104"/>
      <c r="B441" s="4" t="s">
        <v>705</v>
      </c>
    </row>
    <row r="442" customFormat="false" ht="15" hidden="false" customHeight="false" outlineLevel="0" collapsed="false">
      <c r="A442" s="92" t="s">
        <v>4</v>
      </c>
      <c r="B442" s="93" t="s">
        <v>285</v>
      </c>
      <c r="C442" s="8" t="s">
        <v>6</v>
      </c>
      <c r="D442" s="94" t="s">
        <v>7</v>
      </c>
      <c r="E442" s="273" t="s">
        <v>8</v>
      </c>
    </row>
    <row r="443" customFormat="false" ht="15" hidden="false" customHeight="false" outlineLevel="0" collapsed="false">
      <c r="A443" s="95" t="n">
        <v>1</v>
      </c>
      <c r="B443" s="11" t="s">
        <v>706</v>
      </c>
      <c r="C443" s="96" t="n">
        <v>416500</v>
      </c>
      <c r="D443" s="96" t="n">
        <f aca="false">100000+100000</f>
        <v>200000</v>
      </c>
      <c r="E443" s="274" t="e">
        <f aca="false">C443-D443+#REF!</f>
        <v>#REF!</v>
      </c>
    </row>
    <row r="444" customFormat="false" ht="15" hidden="false" customHeight="false" outlineLevel="0" collapsed="false">
      <c r="A444" s="95" t="n">
        <v>2</v>
      </c>
      <c r="B444" s="11" t="s">
        <v>707</v>
      </c>
      <c r="C444" s="96" t="n">
        <v>416500</v>
      </c>
      <c r="D444" s="96" t="n">
        <v>149500</v>
      </c>
      <c r="E444" s="166" t="e">
        <f aca="false">C444-D444+#REF!</f>
        <v>#REF!</v>
      </c>
    </row>
    <row r="445" customFormat="false" ht="15" hidden="false" customHeight="false" outlineLevel="0" collapsed="false">
      <c r="A445" s="95" t="n">
        <v>3</v>
      </c>
      <c r="B445" s="11" t="s">
        <v>708</v>
      </c>
      <c r="C445" s="96" t="n">
        <v>416500</v>
      </c>
      <c r="D445" s="96" t="n">
        <f aca="false">220000</f>
        <v>220000</v>
      </c>
      <c r="E445" s="166" t="e">
        <f aca="false">C445-D445+#REF!</f>
        <v>#REF!</v>
      </c>
    </row>
    <row r="446" customFormat="false" ht="15" hidden="false" customHeight="false" outlineLevel="0" collapsed="false">
      <c r="A446" s="95" t="n">
        <v>4</v>
      </c>
      <c r="B446" s="11" t="s">
        <v>709</v>
      </c>
      <c r="C446" s="96" t="n">
        <v>416500</v>
      </c>
      <c r="D446" s="96"/>
      <c r="E446" s="166" t="e">
        <f aca="false">C446-D446+#REF!</f>
        <v>#REF!</v>
      </c>
    </row>
    <row r="447" customFormat="false" ht="15" hidden="false" customHeight="false" outlineLevel="0" collapsed="false">
      <c r="A447" s="95" t="n">
        <v>5</v>
      </c>
      <c r="B447" s="11" t="s">
        <v>710</v>
      </c>
      <c r="C447" s="96" t="n">
        <v>416500</v>
      </c>
      <c r="D447" s="96" t="n">
        <f aca="false">300000</f>
        <v>300000</v>
      </c>
      <c r="E447" s="166" t="e">
        <f aca="false">C447-D447+#REF!</f>
        <v>#REF!</v>
      </c>
    </row>
    <row r="448" customFormat="false" ht="15" hidden="false" customHeight="false" outlineLevel="0" collapsed="false">
      <c r="A448" s="95" t="n">
        <v>6</v>
      </c>
      <c r="B448" s="11" t="s">
        <v>711</v>
      </c>
      <c r="C448" s="96" t="n">
        <v>416500</v>
      </c>
      <c r="D448" s="96" t="n">
        <v>151000</v>
      </c>
      <c r="E448" s="166" t="e">
        <f aca="false">C448-D448+#REF!</f>
        <v>#REF!</v>
      </c>
    </row>
    <row r="449" customFormat="false" ht="15" hidden="false" customHeight="false" outlineLevel="0" collapsed="false">
      <c r="A449" s="95" t="n">
        <v>7</v>
      </c>
      <c r="B449" s="11" t="s">
        <v>712</v>
      </c>
      <c r="C449" s="96" t="n">
        <v>416500</v>
      </c>
      <c r="D449" s="96" t="n">
        <v>346500</v>
      </c>
      <c r="E449" s="166" t="e">
        <f aca="false">C449-D449+#REF!</f>
        <v>#REF!</v>
      </c>
    </row>
    <row r="450" customFormat="false" ht="15" hidden="false" customHeight="false" outlineLevel="0" collapsed="false">
      <c r="A450" s="95" t="n">
        <v>8</v>
      </c>
      <c r="B450" s="11" t="s">
        <v>713</v>
      </c>
      <c r="C450" s="96" t="n">
        <v>416500</v>
      </c>
      <c r="D450" s="96"/>
      <c r="E450" s="166" t="e">
        <f aca="false">C450-D450+#REF!</f>
        <v>#REF!</v>
      </c>
    </row>
    <row r="451" customFormat="false" ht="15" hidden="false" customHeight="false" outlineLevel="0" collapsed="false">
      <c r="A451" s="95" t="n">
        <v>9</v>
      </c>
      <c r="B451" s="11" t="s">
        <v>714</v>
      </c>
      <c r="C451" s="96" t="n">
        <v>416500</v>
      </c>
      <c r="D451" s="96"/>
      <c r="E451" s="166" t="e">
        <f aca="false">C451-D451+#REF!</f>
        <v>#REF!</v>
      </c>
    </row>
    <row r="452" customFormat="false" ht="15" hidden="false" customHeight="false" outlineLevel="0" collapsed="false">
      <c r="A452" s="95" t="n">
        <v>10</v>
      </c>
      <c r="B452" s="11" t="s">
        <v>715</v>
      </c>
      <c r="C452" s="96" t="n">
        <v>416500</v>
      </c>
      <c r="D452" s="96" t="n">
        <f aca="false">66500+195000</f>
        <v>261500</v>
      </c>
      <c r="E452" s="166" t="e">
        <f aca="false">C452-D452+#REF!</f>
        <v>#REF!</v>
      </c>
    </row>
    <row r="453" customFormat="false" ht="15" hidden="false" customHeight="false" outlineLevel="0" collapsed="false">
      <c r="A453" s="95" t="n">
        <v>11</v>
      </c>
      <c r="B453" s="11" t="s">
        <v>716</v>
      </c>
      <c r="C453" s="96" t="n">
        <v>416500</v>
      </c>
      <c r="D453" s="96" t="n">
        <v>300000</v>
      </c>
      <c r="E453" s="166" t="e">
        <f aca="false">C453-D453+#REF!</f>
        <v>#REF!</v>
      </c>
    </row>
    <row r="454" customFormat="false" ht="15" hidden="false" customHeight="false" outlineLevel="0" collapsed="false">
      <c r="A454" s="95" t="n">
        <v>12</v>
      </c>
      <c r="B454" s="11" t="s">
        <v>717</v>
      </c>
      <c r="C454" s="96" t="n">
        <v>416500</v>
      </c>
      <c r="D454" s="96" t="n">
        <v>200000</v>
      </c>
      <c r="E454" s="166" t="e">
        <f aca="false">C454-D454+#REF!</f>
        <v>#REF!</v>
      </c>
    </row>
    <row r="455" customFormat="false" ht="15" hidden="false" customHeight="false" outlineLevel="0" collapsed="false">
      <c r="A455" s="95" t="n">
        <v>13</v>
      </c>
      <c r="B455" s="11" t="s">
        <v>718</v>
      </c>
      <c r="C455" s="96" t="n">
        <v>416500</v>
      </c>
      <c r="D455" s="96" t="n">
        <v>150000</v>
      </c>
      <c r="E455" s="166" t="e">
        <f aca="false">C455-D455+#REF!</f>
        <v>#REF!</v>
      </c>
    </row>
    <row r="456" customFormat="false" ht="15" hidden="false" customHeight="false" outlineLevel="0" collapsed="false">
      <c r="A456" s="95" t="n">
        <v>14</v>
      </c>
      <c r="B456" s="54" t="s">
        <v>719</v>
      </c>
      <c r="C456" s="96" t="n">
        <v>416500</v>
      </c>
      <c r="D456" s="96" t="n">
        <v>200000</v>
      </c>
      <c r="E456" s="166" t="e">
        <f aca="false">C456-D456+#REF!</f>
        <v>#REF!</v>
      </c>
    </row>
    <row r="457" customFormat="false" ht="15" hidden="false" customHeight="false" outlineLevel="0" collapsed="false">
      <c r="A457" s="112" t="n">
        <v>15</v>
      </c>
      <c r="B457" s="54" t="s">
        <v>720</v>
      </c>
      <c r="C457" s="96" t="n">
        <v>416500</v>
      </c>
      <c r="D457" s="96"/>
      <c r="E457" s="166" t="e">
        <f aca="false">C457-D457+#REF!</f>
        <v>#REF!</v>
      </c>
    </row>
    <row r="458" customFormat="false" ht="17.35" hidden="false" customHeight="false" outlineLevel="0" collapsed="false">
      <c r="A458" s="112"/>
      <c r="B458" s="100" t="s">
        <v>22</v>
      </c>
      <c r="C458" s="101" t="n">
        <f aca="false">SUM(C443:C457)</f>
        <v>6247500</v>
      </c>
      <c r="D458" s="102" t="n">
        <f aca="false">SUM(D443:D457)</f>
        <v>2478500</v>
      </c>
      <c r="E458" s="103" t="e">
        <f aca="false">SUM(E443:E457)</f>
        <v>#REF!</v>
      </c>
    </row>
    <row r="467" customFormat="false" ht="17.35" hidden="false" customHeight="false" outlineLevel="0" collapsed="false">
      <c r="A467" s="108"/>
    </row>
    <row r="468" customFormat="false" ht="17.35" hidden="false" customHeight="false" outlineLevel="0" collapsed="false">
      <c r="A468" s="104"/>
      <c r="B468" s="2" t="s">
        <v>0</v>
      </c>
    </row>
    <row r="469" customFormat="false" ht="15" hidden="false" customHeight="false" outlineLevel="0" collapsed="false">
      <c r="A469" s="104"/>
    </row>
    <row r="470" customFormat="false" ht="17.35" hidden="false" customHeight="false" outlineLevel="0" collapsed="false">
      <c r="A470" s="104"/>
      <c r="B470" s="91" t="s">
        <v>721</v>
      </c>
    </row>
    <row r="471" customFormat="false" ht="15" hidden="false" customHeight="false" outlineLevel="0" collapsed="false">
      <c r="A471" s="104"/>
      <c r="B471" s="4" t="s">
        <v>705</v>
      </c>
    </row>
    <row r="472" customFormat="false" ht="15" hidden="false" customHeight="false" outlineLevel="0" collapsed="false">
      <c r="A472" s="92" t="s">
        <v>4</v>
      </c>
      <c r="B472" s="93" t="s">
        <v>285</v>
      </c>
      <c r="C472" s="8" t="s">
        <v>6</v>
      </c>
      <c r="D472" s="94" t="s">
        <v>7</v>
      </c>
    </row>
    <row r="473" customFormat="false" ht="15" hidden="false" customHeight="false" outlineLevel="0" collapsed="false">
      <c r="A473" s="95" t="n">
        <v>1</v>
      </c>
      <c r="B473" s="116" t="s">
        <v>722</v>
      </c>
      <c r="C473" s="96" t="n">
        <v>416500</v>
      </c>
      <c r="D473" s="96" t="n">
        <f aca="false">200000</f>
        <v>200000</v>
      </c>
    </row>
    <row r="474" customFormat="false" ht="15" hidden="false" customHeight="false" outlineLevel="0" collapsed="false">
      <c r="A474" s="95" t="n">
        <v>2</v>
      </c>
      <c r="B474" s="119" t="s">
        <v>723</v>
      </c>
      <c r="C474" s="96" t="n">
        <v>416500</v>
      </c>
      <c r="D474" s="96" t="n">
        <f aca="false">46500+120000</f>
        <v>166500</v>
      </c>
    </row>
    <row r="475" customFormat="false" ht="15" hidden="false" customHeight="false" outlineLevel="0" collapsed="false">
      <c r="A475" s="95" t="n">
        <v>3</v>
      </c>
      <c r="B475" s="116" t="s">
        <v>724</v>
      </c>
      <c r="C475" s="96" t="n">
        <v>416500</v>
      </c>
      <c r="D475" s="96" t="n">
        <f aca="false">5000+125000</f>
        <v>130000</v>
      </c>
    </row>
    <row r="476" customFormat="false" ht="15" hidden="false" customHeight="false" outlineLevel="0" collapsed="false">
      <c r="A476" s="95" t="n">
        <v>4</v>
      </c>
      <c r="B476" s="118" t="s">
        <v>725</v>
      </c>
      <c r="C476" s="96" t="n">
        <v>416500</v>
      </c>
      <c r="D476" s="96" t="n">
        <f aca="false">87000+30000+70000</f>
        <v>187000</v>
      </c>
    </row>
    <row r="477" customFormat="false" ht="15" hidden="false" customHeight="false" outlineLevel="0" collapsed="false">
      <c r="A477" s="95" t="n">
        <v>5</v>
      </c>
      <c r="B477" s="116" t="s">
        <v>726</v>
      </c>
      <c r="C477" s="96" t="n">
        <v>416500</v>
      </c>
      <c r="D477" s="96"/>
    </row>
    <row r="478" customFormat="false" ht="17.35" hidden="false" customHeight="false" outlineLevel="0" collapsed="false">
      <c r="A478" s="148"/>
      <c r="B478" s="100" t="s">
        <v>22</v>
      </c>
      <c r="C478" s="101" t="n">
        <f aca="false">SUM(C473:C477)</f>
        <v>2082500</v>
      </c>
      <c r="D478" s="102" t="n">
        <f aca="false">SUM(D473:D477)</f>
        <v>683500</v>
      </c>
    </row>
    <row r="481" customFormat="false" ht="17.35" hidden="false" customHeight="false" outlineLevel="0" collapsed="false">
      <c r="A481" s="108"/>
    </row>
    <row r="485" customFormat="false" ht="15" hidden="false" customHeight="false" outlineLevel="0" collapsed="false">
      <c r="A485" s="104"/>
    </row>
    <row r="486" customFormat="false" ht="17.35" hidden="false" customHeight="false" outlineLevel="0" collapsed="false">
      <c r="A486" s="104"/>
      <c r="B486" s="2" t="s">
        <v>0</v>
      </c>
    </row>
    <row r="487" customFormat="false" ht="15" hidden="false" customHeight="false" outlineLevel="0" collapsed="false">
      <c r="A487" s="104"/>
    </row>
    <row r="488" customFormat="false" ht="17.35" hidden="false" customHeight="false" outlineLevel="0" collapsed="false">
      <c r="A488" s="104"/>
      <c r="B488" s="91" t="s">
        <v>283</v>
      </c>
    </row>
    <row r="489" customFormat="false" ht="15" hidden="false" customHeight="false" outlineLevel="0" collapsed="false">
      <c r="A489" s="104"/>
      <c r="B489" s="4" t="s">
        <v>738</v>
      </c>
    </row>
    <row r="490" customFormat="false" ht="15" hidden="false" customHeight="false" outlineLevel="0" collapsed="false">
      <c r="A490" s="92" t="s">
        <v>4</v>
      </c>
      <c r="B490" s="93" t="s">
        <v>285</v>
      </c>
      <c r="C490" s="8" t="s">
        <v>6</v>
      </c>
      <c r="D490" s="94" t="s">
        <v>7</v>
      </c>
      <c r="E490" s="10" t="s">
        <v>8</v>
      </c>
    </row>
    <row r="491" customFormat="false" ht="15" hidden="false" customHeight="false" outlineLevel="0" collapsed="false">
      <c r="A491" s="138" t="n">
        <v>1</v>
      </c>
      <c r="B491" s="41" t="s">
        <v>739</v>
      </c>
      <c r="C491" s="96" t="n">
        <v>416500</v>
      </c>
      <c r="D491" s="275"/>
      <c r="E491" s="166" t="e">
        <f aca="false">C491-D491+#REF!</f>
        <v>#REF!</v>
      </c>
    </row>
    <row r="492" customFormat="false" ht="15" hidden="false" customHeight="false" outlineLevel="0" collapsed="false">
      <c r="A492" s="138" t="n">
        <v>2</v>
      </c>
      <c r="B492" s="41" t="s">
        <v>740</v>
      </c>
      <c r="C492" s="96" t="n">
        <v>416500</v>
      </c>
      <c r="D492" s="150" t="n">
        <f aca="false">216500+200000</f>
        <v>416500</v>
      </c>
      <c r="E492" s="166" t="e">
        <f aca="false">C492-D492+#REF!</f>
        <v>#REF!</v>
      </c>
    </row>
    <row r="493" customFormat="false" ht="15" hidden="false" customHeight="false" outlineLevel="0" collapsed="false">
      <c r="A493" s="138" t="n">
        <v>3</v>
      </c>
      <c r="B493" s="41" t="s">
        <v>741</v>
      </c>
      <c r="C493" s="96" t="n">
        <v>416500</v>
      </c>
      <c r="D493" s="150" t="n">
        <f aca="false">50000</f>
        <v>50000</v>
      </c>
      <c r="E493" s="166" t="e">
        <f aca="false">C493-D493+#REF!</f>
        <v>#REF!</v>
      </c>
    </row>
    <row r="494" customFormat="false" ht="15" hidden="false" customHeight="false" outlineLevel="0" collapsed="false">
      <c r="A494" s="138" t="n">
        <v>4</v>
      </c>
      <c r="B494" s="41" t="s">
        <v>742</v>
      </c>
      <c r="C494" s="96" t="n">
        <v>416500</v>
      </c>
      <c r="D494" s="150" t="n">
        <f aca="false">216500</f>
        <v>216500</v>
      </c>
      <c r="E494" s="166" t="e">
        <f aca="false">C494-D494+#REF!</f>
        <v>#REF!</v>
      </c>
    </row>
    <row r="495" customFormat="false" ht="15" hidden="false" customHeight="false" outlineLevel="0" collapsed="false">
      <c r="A495" s="138" t="n">
        <v>5</v>
      </c>
      <c r="B495" s="41" t="s">
        <v>743</v>
      </c>
      <c r="C495" s="96" t="n">
        <v>416500</v>
      </c>
      <c r="D495" s="150" t="n">
        <f aca="false">66500+200000</f>
        <v>266500</v>
      </c>
      <c r="E495" s="166" t="e">
        <f aca="false">C495-D495+#REF!</f>
        <v>#REF!</v>
      </c>
    </row>
    <row r="496" customFormat="false" ht="15" hidden="false" customHeight="false" outlineLevel="0" collapsed="false">
      <c r="A496" s="95" t="n">
        <v>6</v>
      </c>
      <c r="B496" s="41" t="s">
        <v>744</v>
      </c>
      <c r="C496" s="96" t="n">
        <v>416500</v>
      </c>
      <c r="D496" s="96" t="n">
        <v>133500</v>
      </c>
      <c r="E496" s="166" t="e">
        <f aca="false">C496-D496+#REF!</f>
        <v>#REF!</v>
      </c>
    </row>
    <row r="497" customFormat="false" ht="15" hidden="false" customHeight="false" outlineLevel="0" collapsed="false">
      <c r="A497" s="95" t="n">
        <v>7</v>
      </c>
      <c r="B497" s="41" t="s">
        <v>745</v>
      </c>
      <c r="C497" s="96" t="n">
        <v>416500</v>
      </c>
      <c r="D497" s="96" t="n">
        <v>50000</v>
      </c>
      <c r="E497" s="166" t="e">
        <f aca="false">C497-D497+#REF!</f>
        <v>#REF!</v>
      </c>
    </row>
    <row r="498" customFormat="false" ht="15" hidden="false" customHeight="false" outlineLevel="0" collapsed="false">
      <c r="A498" s="95" t="n">
        <v>8</v>
      </c>
      <c r="B498" s="41" t="s">
        <v>746</v>
      </c>
      <c r="C498" s="96" t="n">
        <v>416500</v>
      </c>
      <c r="D498" s="96" t="n">
        <f aca="false">151500+80000</f>
        <v>231500</v>
      </c>
      <c r="E498" s="166" t="e">
        <f aca="false">C498-D498+#REF!</f>
        <v>#REF!</v>
      </c>
    </row>
    <row r="499" customFormat="false" ht="15" hidden="false" customHeight="false" outlineLevel="0" collapsed="false">
      <c r="A499" s="95" t="n">
        <v>9</v>
      </c>
      <c r="B499" s="56" t="s">
        <v>747</v>
      </c>
      <c r="C499" s="96" t="n">
        <v>416500</v>
      </c>
      <c r="D499" s="96" t="n">
        <f aca="false">200000</f>
        <v>200000</v>
      </c>
      <c r="E499" s="166" t="e">
        <f aca="false">C499-D499+#REF!</f>
        <v>#REF!</v>
      </c>
    </row>
    <row r="500" customFormat="false" ht="15" hidden="false" customHeight="false" outlineLevel="0" collapsed="false">
      <c r="A500" s="95" t="n">
        <v>10</v>
      </c>
      <c r="B500" s="56" t="s">
        <v>748</v>
      </c>
      <c r="C500" s="96" t="n">
        <v>416500</v>
      </c>
      <c r="D500" s="96" t="n">
        <f aca="false">150000</f>
        <v>150000</v>
      </c>
      <c r="E500" s="166" t="e">
        <f aca="false">C500-D500+#REF!</f>
        <v>#REF!</v>
      </c>
    </row>
    <row r="501" customFormat="false" ht="15" hidden="false" customHeight="false" outlineLevel="0" collapsed="false">
      <c r="A501" s="95" t="n">
        <v>11</v>
      </c>
      <c r="B501" s="56" t="s">
        <v>749</v>
      </c>
      <c r="C501" s="96" t="n">
        <v>416500</v>
      </c>
      <c r="D501" s="96" t="n">
        <v>416500</v>
      </c>
      <c r="E501" s="166" t="e">
        <f aca="false">C501-D501+#REF!</f>
        <v>#REF!</v>
      </c>
    </row>
    <row r="502" customFormat="false" ht="15" hidden="false" customHeight="false" outlineLevel="0" collapsed="false">
      <c r="A502" s="95" t="n">
        <v>12</v>
      </c>
      <c r="B502" s="56" t="s">
        <v>977</v>
      </c>
      <c r="C502" s="96" t="n">
        <v>416500</v>
      </c>
      <c r="D502" s="96" t="n">
        <v>200000</v>
      </c>
      <c r="E502" s="166" t="e">
        <f aca="false">C502-D502+#REF!</f>
        <v>#REF!</v>
      </c>
    </row>
    <row r="503" customFormat="false" ht="15" hidden="false" customHeight="false" outlineLevel="0" collapsed="false">
      <c r="A503" s="95" t="n">
        <v>13</v>
      </c>
      <c r="B503" s="56" t="s">
        <v>751</v>
      </c>
      <c r="C503" s="96" t="n">
        <v>416500</v>
      </c>
      <c r="D503" s="96" t="n">
        <v>100000</v>
      </c>
      <c r="E503" s="166" t="e">
        <f aca="false">C503-D503+#REF!</f>
        <v>#REF!</v>
      </c>
    </row>
    <row r="504" customFormat="false" ht="15" hidden="false" customHeight="false" outlineLevel="0" collapsed="false">
      <c r="A504" s="95" t="n">
        <v>14</v>
      </c>
      <c r="B504" s="56" t="s">
        <v>752</v>
      </c>
      <c r="C504" s="96" t="n">
        <v>416500</v>
      </c>
      <c r="D504" s="96" t="n">
        <f aca="false">150000</f>
        <v>150000</v>
      </c>
      <c r="E504" s="166" t="e">
        <f aca="false">C504-D504+#REF!</f>
        <v>#REF!</v>
      </c>
    </row>
    <row r="505" customFormat="false" ht="15" hidden="false" customHeight="false" outlineLevel="0" collapsed="false">
      <c r="A505" s="95" t="n">
        <v>15</v>
      </c>
      <c r="B505" s="56" t="s">
        <v>753</v>
      </c>
      <c r="C505" s="96" t="n">
        <v>416500</v>
      </c>
      <c r="D505" s="96" t="n">
        <f aca="false">200000+216500</f>
        <v>416500</v>
      </c>
      <c r="E505" s="166" t="e">
        <f aca="false">C505-D505+#REF!</f>
        <v>#REF!</v>
      </c>
    </row>
    <row r="506" customFormat="false" ht="15" hidden="false" customHeight="false" outlineLevel="0" collapsed="false">
      <c r="A506" s="95" t="n">
        <v>16</v>
      </c>
      <c r="B506" s="56" t="s">
        <v>754</v>
      </c>
      <c r="C506" s="96" t="n">
        <v>416500</v>
      </c>
      <c r="D506" s="96"/>
      <c r="E506" s="166" t="e">
        <f aca="false">C506-D506+#REF!</f>
        <v>#REF!</v>
      </c>
    </row>
    <row r="507" customFormat="false" ht="15" hidden="false" customHeight="false" outlineLevel="0" collapsed="false">
      <c r="A507" s="95" t="n">
        <v>17</v>
      </c>
      <c r="B507" s="56" t="s">
        <v>755</v>
      </c>
      <c r="C507" s="96" t="n">
        <v>416500</v>
      </c>
      <c r="D507" s="96" t="n">
        <f aca="false">150000</f>
        <v>150000</v>
      </c>
      <c r="E507" s="166" t="e">
        <f aca="false">C507-D507+#REF!</f>
        <v>#REF!</v>
      </c>
    </row>
    <row r="508" customFormat="false" ht="15" hidden="false" customHeight="false" outlineLevel="0" collapsed="false">
      <c r="A508" s="95" t="n">
        <v>18</v>
      </c>
      <c r="B508" s="56" t="s">
        <v>756</v>
      </c>
      <c r="C508" s="96" t="n">
        <v>416500</v>
      </c>
      <c r="D508" s="96"/>
      <c r="E508" s="166" t="e">
        <f aca="false">C508-D508+#REF!</f>
        <v>#REF!</v>
      </c>
    </row>
    <row r="509" customFormat="false" ht="15" hidden="false" customHeight="false" outlineLevel="0" collapsed="false">
      <c r="A509" s="95" t="n">
        <v>19</v>
      </c>
      <c r="B509" s="56" t="s">
        <v>757</v>
      </c>
      <c r="C509" s="96" t="n">
        <v>416500</v>
      </c>
      <c r="D509" s="96" t="n">
        <f aca="false">250000</f>
        <v>250000</v>
      </c>
      <c r="E509" s="166" t="e">
        <f aca="false">C509-D509+#REF!</f>
        <v>#REF!</v>
      </c>
    </row>
    <row r="510" customFormat="false" ht="15" hidden="false" customHeight="false" outlineLevel="0" collapsed="false">
      <c r="A510" s="95" t="n">
        <v>20</v>
      </c>
      <c r="B510" s="56" t="s">
        <v>758</v>
      </c>
      <c r="C510" s="96" t="n">
        <v>416500</v>
      </c>
      <c r="D510" s="96" t="n">
        <v>50000</v>
      </c>
      <c r="E510" s="166" t="e">
        <f aca="false">C510-D510+#REF!</f>
        <v>#REF!</v>
      </c>
    </row>
    <row r="511" customFormat="false" ht="17.35" hidden="false" customHeight="false" outlineLevel="0" collapsed="false">
      <c r="A511" s="95"/>
      <c r="B511" s="100" t="s">
        <v>22</v>
      </c>
      <c r="C511" s="101" t="n">
        <f aca="false">SUM(C496:C510)</f>
        <v>6247500</v>
      </c>
      <c r="D511" s="102" t="n">
        <f aca="false">SUM(D496:D510)</f>
        <v>2498000</v>
      </c>
      <c r="E511" s="103" t="e">
        <f aca="false">SUM(E491:E510)</f>
        <v>#REF!</v>
      </c>
    </row>
    <row r="512" customFormat="false" ht="15" hidden="false" customHeight="false" outlineLevel="0" collapsed="false">
      <c r="A512" s="112"/>
    </row>
    <row r="514" customFormat="false" ht="15" hidden="false" customHeight="false" outlineLevel="0" collapsed="false">
      <c r="A514" s="104"/>
    </row>
    <row r="515" customFormat="false" ht="15" hidden="false" customHeight="false" outlineLevel="0" collapsed="false">
      <c r="A515" s="104"/>
    </row>
    <row r="516" customFormat="false" ht="15" hidden="false" customHeight="false" outlineLevel="0" collapsed="false">
      <c r="A516" s="104"/>
    </row>
    <row r="517" customFormat="false" ht="17.35" hidden="false" customHeight="false" outlineLevel="0" collapsed="false">
      <c r="A517" s="104"/>
      <c r="B517" s="2" t="s">
        <v>0</v>
      </c>
    </row>
    <row r="518" customFormat="false" ht="15" hidden="false" customHeight="false" outlineLevel="0" collapsed="false">
      <c r="A518" s="104"/>
    </row>
    <row r="519" customFormat="false" ht="17.35" hidden="false" customHeight="false" outlineLevel="0" collapsed="false">
      <c r="A519" s="104"/>
      <c r="B519" s="91" t="s">
        <v>314</v>
      </c>
    </row>
    <row r="520" customFormat="false" ht="15" hidden="false" customHeight="false" outlineLevel="0" collapsed="false">
      <c r="A520" s="104"/>
      <c r="B520" s="4" t="s">
        <v>738</v>
      </c>
    </row>
    <row r="521" customFormat="false" ht="15" hidden="false" customHeight="false" outlineLevel="0" collapsed="false">
      <c r="A521" s="104"/>
    </row>
    <row r="522" customFormat="false" ht="15" hidden="false" customHeight="false" outlineLevel="0" collapsed="false">
      <c r="A522" s="92" t="s">
        <v>4</v>
      </c>
      <c r="B522" s="93" t="s">
        <v>285</v>
      </c>
      <c r="C522" s="8" t="s">
        <v>6</v>
      </c>
      <c r="D522" s="94" t="s">
        <v>7</v>
      </c>
      <c r="E522" s="10" t="s">
        <v>8</v>
      </c>
    </row>
    <row r="523" customFormat="false" ht="15" hidden="false" customHeight="false" outlineLevel="0" collapsed="false">
      <c r="A523" s="95" t="n">
        <v>1</v>
      </c>
      <c r="B523" s="116" t="s">
        <v>759</v>
      </c>
      <c r="C523" s="96" t="n">
        <v>416500</v>
      </c>
      <c r="D523" s="96" t="n">
        <f aca="false">210000</f>
        <v>210000</v>
      </c>
      <c r="E523" s="166" t="e">
        <f aca="false">C523-D523+#REF!</f>
        <v>#REF!</v>
      </c>
    </row>
    <row r="524" customFormat="false" ht="15" hidden="false" customHeight="false" outlineLevel="0" collapsed="false">
      <c r="A524" s="95" t="n">
        <v>2</v>
      </c>
      <c r="B524" s="116" t="s">
        <v>760</v>
      </c>
      <c r="C524" s="96" t="n">
        <v>416500</v>
      </c>
      <c r="D524" s="96" t="n">
        <f aca="false">230000+155000</f>
        <v>385000</v>
      </c>
      <c r="E524" s="166" t="e">
        <f aca="false">C524-D524+#REF!</f>
        <v>#REF!</v>
      </c>
    </row>
    <row r="525" customFormat="false" ht="15" hidden="false" customHeight="false" outlineLevel="0" collapsed="false">
      <c r="A525" s="95" t="n">
        <v>3</v>
      </c>
      <c r="B525" s="116" t="s">
        <v>761</v>
      </c>
      <c r="C525" s="96" t="n">
        <v>416500</v>
      </c>
      <c r="D525" s="96" t="n">
        <f aca="false">200000</f>
        <v>200000</v>
      </c>
      <c r="E525" s="166" t="e">
        <f aca="false">C525-D525+#REF!</f>
        <v>#REF!</v>
      </c>
    </row>
    <row r="526" customFormat="false" ht="15" hidden="false" customHeight="false" outlineLevel="0" collapsed="false">
      <c r="A526" s="95" t="n">
        <v>4</v>
      </c>
      <c r="B526" s="116" t="s">
        <v>762</v>
      </c>
      <c r="C526" s="96" t="n">
        <v>416500</v>
      </c>
      <c r="D526" s="96" t="n">
        <f aca="false">45000</f>
        <v>45000</v>
      </c>
      <c r="E526" s="166" t="e">
        <f aca="false">C526-D526+#REF!</f>
        <v>#REF!</v>
      </c>
    </row>
    <row r="527" customFormat="false" ht="15" hidden="false" customHeight="false" outlineLevel="0" collapsed="false">
      <c r="A527" s="95" t="n">
        <v>5</v>
      </c>
      <c r="B527" s="116" t="s">
        <v>763</v>
      </c>
      <c r="C527" s="96" t="n">
        <v>416500</v>
      </c>
      <c r="D527" s="96" t="n">
        <f aca="false">216500</f>
        <v>216500</v>
      </c>
      <c r="E527" s="166" t="e">
        <f aca="false">C527-D527+#REF!</f>
        <v>#REF!</v>
      </c>
    </row>
    <row r="528" customFormat="false" ht="15" hidden="false" customHeight="false" outlineLevel="0" collapsed="false">
      <c r="A528" s="95" t="n">
        <v>6</v>
      </c>
      <c r="B528" s="116" t="s">
        <v>979</v>
      </c>
      <c r="C528" s="96" t="n">
        <v>416500</v>
      </c>
      <c r="D528" s="96"/>
      <c r="E528" s="166" t="e">
        <f aca="false">C528-D528+#REF!</f>
        <v>#REF!</v>
      </c>
    </row>
    <row r="529" customFormat="false" ht="15" hidden="false" customHeight="false" outlineLevel="0" collapsed="false">
      <c r="A529" s="95" t="n">
        <v>7</v>
      </c>
      <c r="B529" s="73" t="s">
        <v>764</v>
      </c>
      <c r="C529" s="151" t="n">
        <v>316500</v>
      </c>
      <c r="D529" s="151"/>
      <c r="E529" s="166" t="e">
        <f aca="false">C529-D529+#REF!</f>
        <v>#REF!</v>
      </c>
    </row>
    <row r="530" customFormat="false" ht="15" hidden="false" customHeight="false" outlineLevel="0" collapsed="false">
      <c r="A530" s="95" t="n">
        <v>8</v>
      </c>
      <c r="B530" s="116" t="s">
        <v>765</v>
      </c>
      <c r="C530" s="96" t="n">
        <v>416500</v>
      </c>
      <c r="D530" s="96" t="n">
        <f aca="false">416500</f>
        <v>416500</v>
      </c>
      <c r="E530" s="166" t="e">
        <f aca="false">C530-D530+#REF!</f>
        <v>#REF!</v>
      </c>
    </row>
    <row r="531" customFormat="false" ht="15" hidden="false" customHeight="false" outlineLevel="0" collapsed="false">
      <c r="A531" s="95" t="n">
        <v>9</v>
      </c>
      <c r="B531" s="116" t="s">
        <v>766</v>
      </c>
      <c r="C531" s="96" t="n">
        <v>416500</v>
      </c>
      <c r="D531" s="96"/>
      <c r="E531" s="166" t="e">
        <f aca="false">C531-D531+#REF!</f>
        <v>#REF!</v>
      </c>
    </row>
    <row r="532" customFormat="false" ht="15" hidden="false" customHeight="false" outlineLevel="0" collapsed="false">
      <c r="A532" s="95" t="n">
        <v>10</v>
      </c>
      <c r="B532" s="116" t="s">
        <v>767</v>
      </c>
      <c r="C532" s="96" t="n">
        <v>416500</v>
      </c>
      <c r="D532" s="96" t="n">
        <v>400000</v>
      </c>
      <c r="E532" s="166" t="e">
        <f aca="false">C532-D532+#REF!</f>
        <v>#REF!</v>
      </c>
    </row>
    <row r="533" customFormat="false" ht="15" hidden="false" customHeight="false" outlineLevel="0" collapsed="false">
      <c r="A533" s="95" t="n">
        <v>11</v>
      </c>
      <c r="B533" s="116" t="s">
        <v>768</v>
      </c>
      <c r="C533" s="96" t="n">
        <v>416500</v>
      </c>
      <c r="D533" s="96"/>
      <c r="E533" s="166" t="e">
        <f aca="false">C533-D533+#REF!</f>
        <v>#REF!</v>
      </c>
    </row>
    <row r="534" customFormat="false" ht="15" hidden="false" customHeight="false" outlineLevel="0" collapsed="false">
      <c r="A534" s="95" t="n">
        <v>12</v>
      </c>
      <c r="B534" s="116" t="s">
        <v>769</v>
      </c>
      <c r="C534" s="96" t="n">
        <v>416500</v>
      </c>
      <c r="D534" s="96" t="n">
        <f aca="false">100500</f>
        <v>100500</v>
      </c>
      <c r="E534" s="166" t="e">
        <f aca="false">C534-D534+#REF!</f>
        <v>#REF!</v>
      </c>
    </row>
    <row r="535" customFormat="false" ht="15" hidden="false" customHeight="false" outlineLevel="0" collapsed="false">
      <c r="A535" s="95" t="n">
        <v>13</v>
      </c>
      <c r="B535" s="116" t="s">
        <v>770</v>
      </c>
      <c r="C535" s="96" t="n">
        <v>416500</v>
      </c>
      <c r="D535" s="96" t="n">
        <f aca="false">200000</f>
        <v>200000</v>
      </c>
      <c r="E535" s="166" t="e">
        <f aca="false">C535-D535+#REF!</f>
        <v>#REF!</v>
      </c>
    </row>
    <row r="536" customFormat="false" ht="15" hidden="false" customHeight="false" outlineLevel="0" collapsed="false">
      <c r="A536" s="95" t="n">
        <v>14</v>
      </c>
      <c r="B536" s="116" t="s">
        <v>771</v>
      </c>
      <c r="C536" s="96" t="n">
        <v>416500</v>
      </c>
      <c r="D536" s="96" t="n">
        <f aca="false">34000+100000+100000</f>
        <v>234000</v>
      </c>
      <c r="E536" s="166" t="e">
        <f aca="false">C536-D536+#REF!</f>
        <v>#REF!</v>
      </c>
    </row>
    <row r="537" customFormat="false" ht="15" hidden="false" customHeight="false" outlineLevel="0" collapsed="false">
      <c r="A537" s="95" t="n">
        <v>15</v>
      </c>
      <c r="B537" s="116" t="s">
        <v>772</v>
      </c>
      <c r="C537" s="96" t="n">
        <v>416500</v>
      </c>
      <c r="D537" s="96" t="n">
        <f aca="false">70000</f>
        <v>70000</v>
      </c>
      <c r="E537" s="166" t="e">
        <f aca="false">C537-D537+#REF!</f>
        <v>#REF!</v>
      </c>
    </row>
    <row r="538" customFormat="false" ht="17.35" hidden="false" customHeight="false" outlineLevel="0" collapsed="false">
      <c r="A538" s="112"/>
      <c r="B538" s="100" t="s">
        <v>22</v>
      </c>
      <c r="C538" s="101" t="n">
        <f aca="false">SUM(C523:C537)</f>
        <v>6147500</v>
      </c>
      <c r="D538" s="102" t="n">
        <f aca="false">SUM(D523:D537)</f>
        <v>2477500</v>
      </c>
      <c r="E538" s="103" t="e">
        <f aca="false">SUM(E523:E537)</f>
        <v>#REF!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7:F82"/>
  <sheetViews>
    <sheetView showFormulas="false" showGridLines="true" showRowColHeaders="true" showZeros="true" rightToLeft="false" tabSelected="false" showOutlineSymbols="true" defaultGridColor="true" view="pageBreakPreview" topLeftCell="A29" colorId="64" zoomScale="100" zoomScaleNormal="100" zoomScalePageLayoutView="100" workbookViewId="0">
      <selection pane="topLeft" activeCell="G79" activeCellId="0" sqref="G79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42.43"/>
  </cols>
  <sheetData>
    <row r="7" customFormat="false" ht="15" hidden="false" customHeight="false" outlineLevel="0" collapsed="false">
      <c r="B7" s="276"/>
    </row>
    <row r="8" customFormat="false" ht="15" hidden="false" customHeight="false" outlineLevel="0" collapsed="false">
      <c r="B8" s="276" t="s">
        <v>980</v>
      </c>
    </row>
    <row r="9" customFormat="false" ht="15" hidden="false" customHeight="false" outlineLevel="0" collapsed="false">
      <c r="B9" s="277" t="s">
        <v>981</v>
      </c>
    </row>
    <row r="10" customFormat="false" ht="15" hidden="false" customHeight="false" outlineLevel="0" collapsed="false">
      <c r="B10" s="276"/>
    </row>
    <row r="11" customFormat="false" ht="15" hidden="false" customHeight="false" outlineLevel="0" collapsed="false">
      <c r="B11" s="276" t="s">
        <v>982</v>
      </c>
    </row>
    <row r="12" customFormat="false" ht="15" hidden="false" customHeight="false" outlineLevel="0" collapsed="false">
      <c r="B12" s="277" t="s">
        <v>981</v>
      </c>
    </row>
    <row r="13" customFormat="false" ht="15" hidden="false" customHeight="false" outlineLevel="0" collapsed="false">
      <c r="B13" s="278" t="s">
        <v>983</v>
      </c>
    </row>
    <row r="14" customFormat="false" ht="15" hidden="false" customHeight="false" outlineLevel="0" collapsed="false">
      <c r="B14" s="277" t="s">
        <v>981</v>
      </c>
    </row>
    <row r="15" customFormat="false" ht="15" hidden="false" customHeight="false" outlineLevel="0" collapsed="false">
      <c r="B15" s="279" t="s">
        <v>984</v>
      </c>
    </row>
    <row r="16" customFormat="false" ht="15" hidden="false" customHeight="false" outlineLevel="0" collapsed="false">
      <c r="B16" s="277" t="s">
        <v>985</v>
      </c>
    </row>
    <row r="17" customFormat="false" ht="15" hidden="false" customHeight="false" outlineLevel="0" collapsed="false">
      <c r="B17" s="280"/>
    </row>
    <row r="18" customFormat="false" ht="19.7" hidden="false" customHeight="false" outlineLevel="0" collapsed="false">
      <c r="B18" s="281" t="s">
        <v>986</v>
      </c>
    </row>
    <row r="19" customFormat="false" ht="15" hidden="false" customHeight="false" outlineLevel="0" collapsed="false">
      <c r="B19" s="282"/>
    </row>
    <row r="20" customFormat="false" ht="17.9" hidden="false" customHeight="false" outlineLevel="0" collapsed="false">
      <c r="B20" s="283" t="s">
        <v>987</v>
      </c>
    </row>
    <row r="21" customFormat="false" ht="15" hidden="false" customHeight="false" outlineLevel="0" collapsed="false">
      <c r="B21" s="283" t="s">
        <v>988</v>
      </c>
      <c r="C21" s="284" t="s">
        <v>989</v>
      </c>
    </row>
    <row r="22" customFormat="false" ht="17.9" hidden="false" customHeight="false" outlineLevel="0" collapsed="false">
      <c r="A22" s="2"/>
      <c r="B22" s="283" t="s">
        <v>990</v>
      </c>
    </row>
    <row r="23" customFormat="false" ht="17.9" hidden="false" customHeight="false" outlineLevel="0" collapsed="false">
      <c r="B23" s="283" t="s">
        <v>991</v>
      </c>
      <c r="D23" s="283"/>
    </row>
    <row r="24" customFormat="false" ht="15" hidden="false" customHeight="false" outlineLevel="0" collapsed="false">
      <c r="B24" s="3"/>
    </row>
    <row r="25" customFormat="false" ht="10.5" hidden="false" customHeight="true" outlineLevel="0" collapsed="false">
      <c r="F25" s="1" t="s">
        <v>992</v>
      </c>
    </row>
    <row r="26" customFormat="false" ht="23.85" hidden="false" customHeight="false" outlineLevel="0" collapsed="false">
      <c r="A26" s="285" t="s">
        <v>4</v>
      </c>
      <c r="B26" s="286" t="s">
        <v>285</v>
      </c>
      <c r="C26" s="287" t="s">
        <v>993</v>
      </c>
      <c r="D26" s="287" t="s">
        <v>993</v>
      </c>
      <c r="E26" s="287" t="s">
        <v>994</v>
      </c>
    </row>
    <row r="27" customFormat="false" ht="15" hidden="false" customHeight="false" outlineLevel="0" collapsed="false">
      <c r="A27" s="144" t="n">
        <v>1</v>
      </c>
      <c r="B27" s="288" t="s">
        <v>833</v>
      </c>
      <c r="C27" s="288"/>
      <c r="D27" s="288"/>
      <c r="E27" s="288"/>
    </row>
    <row r="28" customFormat="false" ht="15" hidden="false" customHeight="false" outlineLevel="0" collapsed="false">
      <c r="A28" s="95" t="n">
        <v>2</v>
      </c>
      <c r="B28" s="116" t="s">
        <v>834</v>
      </c>
      <c r="C28" s="116"/>
      <c r="D28" s="116"/>
      <c r="E28" s="116"/>
    </row>
    <row r="29" customFormat="false" ht="15" hidden="false" customHeight="false" outlineLevel="0" collapsed="false">
      <c r="A29" s="95" t="n">
        <v>3</v>
      </c>
      <c r="B29" s="116" t="s">
        <v>835</v>
      </c>
      <c r="C29" s="116"/>
      <c r="D29" s="116"/>
      <c r="E29" s="116"/>
    </row>
    <row r="30" customFormat="false" ht="15" hidden="false" customHeight="false" outlineLevel="0" collapsed="false">
      <c r="A30" s="95" t="n">
        <v>4</v>
      </c>
      <c r="B30" s="116" t="s">
        <v>836</v>
      </c>
      <c r="C30" s="116"/>
      <c r="D30" s="116"/>
      <c r="E30" s="116"/>
    </row>
    <row r="31" customFormat="false" ht="15" hidden="false" customHeight="false" outlineLevel="0" collapsed="false">
      <c r="A31" s="95" t="n">
        <v>5</v>
      </c>
      <c r="B31" s="116" t="s">
        <v>837</v>
      </c>
      <c r="C31" s="116"/>
      <c r="D31" s="116"/>
      <c r="E31" s="116"/>
    </row>
    <row r="32" customFormat="false" ht="15" hidden="false" customHeight="false" outlineLevel="0" collapsed="false">
      <c r="A32" s="95" t="n">
        <v>6</v>
      </c>
      <c r="B32" s="116" t="s">
        <v>838</v>
      </c>
      <c r="C32" s="116"/>
      <c r="D32" s="116"/>
      <c r="E32" s="116"/>
    </row>
    <row r="33" customFormat="false" ht="15" hidden="false" customHeight="false" outlineLevel="0" collapsed="false">
      <c r="A33" s="95" t="n">
        <v>7</v>
      </c>
      <c r="B33" s="116" t="s">
        <v>839</v>
      </c>
      <c r="C33" s="116"/>
      <c r="D33" s="116"/>
      <c r="E33" s="116"/>
    </row>
    <row r="34" customFormat="false" ht="15" hidden="false" customHeight="false" outlineLevel="0" collapsed="false">
      <c r="A34" s="95" t="n">
        <v>8</v>
      </c>
      <c r="B34" s="116" t="s">
        <v>840</v>
      </c>
      <c r="C34" s="116"/>
      <c r="D34" s="116"/>
      <c r="E34" s="116"/>
    </row>
    <row r="35" customFormat="false" ht="15" hidden="false" customHeight="false" outlineLevel="0" collapsed="false">
      <c r="A35" s="95" t="n">
        <v>9</v>
      </c>
      <c r="B35" s="116" t="s">
        <v>841</v>
      </c>
      <c r="C35" s="116"/>
      <c r="D35" s="116"/>
      <c r="E35" s="116"/>
    </row>
    <row r="36" customFormat="false" ht="15" hidden="false" customHeight="false" outlineLevel="0" collapsed="false">
      <c r="A36" s="95" t="n">
        <v>10</v>
      </c>
      <c r="B36" s="116" t="s">
        <v>842</v>
      </c>
      <c r="C36" s="116"/>
      <c r="D36" s="116"/>
      <c r="E36" s="116"/>
    </row>
    <row r="37" customFormat="false" ht="15" hidden="false" customHeight="false" outlineLevel="0" collapsed="false">
      <c r="A37" s="95" t="n">
        <v>11</v>
      </c>
      <c r="B37" s="116" t="s">
        <v>843</v>
      </c>
      <c r="C37" s="116"/>
      <c r="D37" s="116"/>
      <c r="E37" s="116"/>
    </row>
    <row r="38" customFormat="false" ht="15" hidden="false" customHeight="false" outlineLevel="0" collapsed="false">
      <c r="A38" s="95" t="n">
        <v>12</v>
      </c>
      <c r="B38" s="116" t="s">
        <v>844</v>
      </c>
      <c r="C38" s="116"/>
      <c r="D38" s="116"/>
      <c r="E38" s="116"/>
    </row>
    <row r="39" customFormat="false" ht="15" hidden="false" customHeight="false" outlineLevel="0" collapsed="false">
      <c r="A39" s="95" t="n">
        <v>13</v>
      </c>
      <c r="B39" s="116" t="s">
        <v>845</v>
      </c>
      <c r="C39" s="116"/>
      <c r="D39" s="116"/>
      <c r="E39" s="116"/>
    </row>
    <row r="40" customFormat="false" ht="15" hidden="false" customHeight="false" outlineLevel="0" collapsed="false">
      <c r="A40" s="95" t="n">
        <v>14</v>
      </c>
      <c r="B40" s="116" t="s">
        <v>846</v>
      </c>
      <c r="C40" s="116"/>
      <c r="D40" s="116"/>
      <c r="E40" s="116"/>
    </row>
    <row r="41" customFormat="false" ht="15" hidden="false" customHeight="false" outlineLevel="0" collapsed="false">
      <c r="A41" s="95" t="n">
        <v>15</v>
      </c>
      <c r="B41" s="116" t="s">
        <v>847</v>
      </c>
      <c r="C41" s="116"/>
      <c r="D41" s="116"/>
      <c r="E41" s="116"/>
    </row>
    <row r="42" customFormat="false" ht="15" hidden="false" customHeight="false" outlineLevel="0" collapsed="false">
      <c r="A42" s="95" t="n">
        <v>16</v>
      </c>
      <c r="B42" s="116" t="s">
        <v>848</v>
      </c>
      <c r="C42" s="116"/>
      <c r="D42" s="116"/>
      <c r="E42" s="116"/>
    </row>
    <row r="43" customFormat="false" ht="15" hidden="false" customHeight="false" outlineLevel="0" collapsed="false">
      <c r="A43" s="95" t="n">
        <v>17</v>
      </c>
      <c r="B43" s="116" t="s">
        <v>849</v>
      </c>
      <c r="C43" s="116"/>
      <c r="D43" s="116"/>
      <c r="E43" s="116"/>
    </row>
    <row r="44" customFormat="false" ht="15" hidden="false" customHeight="false" outlineLevel="0" collapsed="false">
      <c r="A44" s="95" t="n">
        <v>18</v>
      </c>
      <c r="B44" s="116" t="s">
        <v>850</v>
      </c>
      <c r="C44" s="116"/>
      <c r="D44" s="116"/>
      <c r="E44" s="116"/>
    </row>
    <row r="45" customFormat="false" ht="15" hidden="false" customHeight="false" outlineLevel="0" collapsed="false">
      <c r="A45" s="95" t="n">
        <v>19</v>
      </c>
      <c r="B45" s="116" t="s">
        <v>851</v>
      </c>
      <c r="C45" s="116"/>
      <c r="D45" s="116"/>
      <c r="E45" s="116"/>
    </row>
    <row r="46" customFormat="false" ht="15" hidden="false" customHeight="false" outlineLevel="0" collapsed="false">
      <c r="A46" s="95" t="n">
        <v>20</v>
      </c>
      <c r="B46" s="116" t="s">
        <v>852</v>
      </c>
      <c r="C46" s="116"/>
      <c r="D46" s="116"/>
      <c r="E46" s="116"/>
    </row>
    <row r="47" customFormat="false" ht="15" hidden="false" customHeight="false" outlineLevel="0" collapsed="false">
      <c r="A47" s="95" t="n">
        <v>21</v>
      </c>
      <c r="B47" s="116" t="s">
        <v>853</v>
      </c>
      <c r="C47" s="116"/>
      <c r="D47" s="116"/>
      <c r="E47" s="116"/>
    </row>
    <row r="48" customFormat="false" ht="15" hidden="false" customHeight="false" outlineLevel="0" collapsed="false">
      <c r="A48" s="95" t="n">
        <v>22</v>
      </c>
      <c r="B48" s="116" t="s">
        <v>854</v>
      </c>
      <c r="C48" s="116"/>
      <c r="D48" s="116"/>
      <c r="E48" s="116"/>
    </row>
    <row r="49" customFormat="false" ht="15" hidden="false" customHeight="false" outlineLevel="0" collapsed="false">
      <c r="A49" s="95" t="n">
        <v>23</v>
      </c>
      <c r="B49" s="116" t="s">
        <v>855</v>
      </c>
      <c r="C49" s="116"/>
      <c r="D49" s="116"/>
      <c r="E49" s="116"/>
    </row>
    <row r="50" customFormat="false" ht="15" hidden="false" customHeight="false" outlineLevel="0" collapsed="false">
      <c r="A50" s="95" t="n">
        <v>24</v>
      </c>
      <c r="B50" s="116" t="s">
        <v>856</v>
      </c>
      <c r="C50" s="116"/>
      <c r="D50" s="116"/>
      <c r="E50" s="116"/>
    </row>
    <row r="51" customFormat="false" ht="15" hidden="false" customHeight="false" outlineLevel="0" collapsed="false">
      <c r="A51" s="95" t="n">
        <v>25</v>
      </c>
      <c r="B51" s="116" t="s">
        <v>857</v>
      </c>
      <c r="C51" s="116"/>
      <c r="D51" s="116"/>
      <c r="E51" s="116"/>
    </row>
    <row r="52" customFormat="false" ht="15" hidden="false" customHeight="false" outlineLevel="0" collapsed="false">
      <c r="A52" s="95" t="n">
        <v>26</v>
      </c>
      <c r="B52" s="116" t="s">
        <v>858</v>
      </c>
      <c r="C52" s="116"/>
      <c r="D52" s="116"/>
      <c r="E52" s="116"/>
    </row>
    <row r="53" customFormat="false" ht="15" hidden="false" customHeight="false" outlineLevel="0" collapsed="false">
      <c r="A53" s="95" t="n">
        <v>27</v>
      </c>
      <c r="B53" s="116" t="s">
        <v>859</v>
      </c>
      <c r="C53" s="116"/>
      <c r="D53" s="116"/>
      <c r="E53" s="116"/>
    </row>
    <row r="54" customFormat="false" ht="15" hidden="false" customHeight="false" outlineLevel="0" collapsed="false">
      <c r="A54" s="95" t="n">
        <v>28</v>
      </c>
      <c r="B54" s="116" t="s">
        <v>860</v>
      </c>
      <c r="C54" s="116"/>
      <c r="D54" s="116"/>
      <c r="E54" s="116"/>
    </row>
    <row r="55" customFormat="false" ht="15" hidden="false" customHeight="false" outlineLevel="0" collapsed="false">
      <c r="A55" s="95" t="n">
        <v>29</v>
      </c>
      <c r="B55" s="116" t="s">
        <v>861</v>
      </c>
      <c r="C55" s="116"/>
      <c r="D55" s="116"/>
      <c r="E55" s="116"/>
    </row>
    <row r="56" customFormat="false" ht="15" hidden="false" customHeight="false" outlineLevel="0" collapsed="false">
      <c r="A56" s="95" t="n">
        <v>30</v>
      </c>
      <c r="B56" s="116" t="s">
        <v>995</v>
      </c>
      <c r="C56" s="116"/>
      <c r="D56" s="116"/>
      <c r="E56" s="116"/>
    </row>
    <row r="57" customFormat="false" ht="15" hidden="false" customHeight="false" outlineLevel="0" collapsed="false">
      <c r="A57" s="95" t="n">
        <v>31</v>
      </c>
      <c r="B57" s="116" t="s">
        <v>863</v>
      </c>
      <c r="C57" s="116"/>
      <c r="D57" s="116"/>
      <c r="E57" s="116"/>
    </row>
    <row r="58" customFormat="false" ht="15" hidden="false" customHeight="false" outlineLevel="0" collapsed="false">
      <c r="A58" s="95" t="n">
        <v>32</v>
      </c>
      <c r="B58" s="116" t="s">
        <v>996</v>
      </c>
      <c r="C58" s="116"/>
      <c r="D58" s="116"/>
      <c r="E58" s="116"/>
    </row>
    <row r="59" customFormat="false" ht="15" hidden="false" customHeight="false" outlineLevel="0" collapsed="false">
      <c r="A59" s="95" t="n">
        <v>33</v>
      </c>
      <c r="B59" s="116" t="s">
        <v>865</v>
      </c>
      <c r="C59" s="116"/>
      <c r="D59" s="116"/>
      <c r="E59" s="116"/>
    </row>
    <row r="60" customFormat="false" ht="15" hidden="false" customHeight="false" outlineLevel="0" collapsed="false">
      <c r="A60" s="95" t="n">
        <v>34</v>
      </c>
      <c r="B60" s="116" t="s">
        <v>866</v>
      </c>
      <c r="C60" s="116"/>
      <c r="D60" s="116"/>
      <c r="E60" s="116"/>
    </row>
    <row r="61" customFormat="false" ht="15" hidden="false" customHeight="false" outlineLevel="0" collapsed="false">
      <c r="A61" s="95" t="n">
        <v>35</v>
      </c>
      <c r="B61" s="116" t="s">
        <v>867</v>
      </c>
      <c r="C61" s="116"/>
      <c r="D61" s="116"/>
      <c r="E61" s="116"/>
    </row>
    <row r="62" customFormat="false" ht="15" hidden="false" customHeight="false" outlineLevel="0" collapsed="false">
      <c r="A62" s="95" t="n">
        <v>36</v>
      </c>
      <c r="B62" s="116" t="s">
        <v>868</v>
      </c>
      <c r="C62" s="116"/>
      <c r="D62" s="116"/>
      <c r="E62" s="116"/>
    </row>
    <row r="63" customFormat="false" ht="15" hidden="false" customHeight="false" outlineLevel="0" collapsed="false">
      <c r="A63" s="95" t="n">
        <v>37</v>
      </c>
      <c r="B63" s="116" t="s">
        <v>869</v>
      </c>
      <c r="C63" s="116"/>
      <c r="D63" s="116"/>
      <c r="E63" s="116"/>
    </row>
    <row r="64" customFormat="false" ht="15" hidden="false" customHeight="false" outlineLevel="0" collapsed="false">
      <c r="A64" s="95" t="n">
        <v>38</v>
      </c>
      <c r="B64" s="116" t="s">
        <v>870</v>
      </c>
      <c r="C64" s="116"/>
      <c r="D64" s="116"/>
      <c r="E64" s="116"/>
    </row>
    <row r="65" customFormat="false" ht="15" hidden="false" customHeight="false" outlineLevel="0" collapsed="false">
      <c r="A65" s="95" t="n">
        <v>39</v>
      </c>
      <c r="B65" s="116" t="s">
        <v>871</v>
      </c>
      <c r="C65" s="116"/>
      <c r="D65" s="116"/>
      <c r="E65" s="116"/>
    </row>
    <row r="66" customFormat="false" ht="15" hidden="false" customHeight="false" outlineLevel="0" collapsed="false">
      <c r="A66" s="95" t="n">
        <v>40</v>
      </c>
      <c r="B66" s="116" t="s">
        <v>872</v>
      </c>
      <c r="C66" s="116"/>
      <c r="D66" s="116"/>
      <c r="E66" s="116"/>
    </row>
    <row r="67" customFormat="false" ht="15" hidden="false" customHeight="false" outlineLevel="0" collapsed="false">
      <c r="A67" s="132" t="n">
        <v>41</v>
      </c>
      <c r="B67" s="116" t="s">
        <v>873</v>
      </c>
      <c r="C67" s="116"/>
      <c r="D67" s="116"/>
      <c r="E67" s="116"/>
    </row>
    <row r="68" customFormat="false" ht="15" hidden="false" customHeight="false" outlineLevel="0" collapsed="false">
      <c r="A68" s="289" t="n">
        <v>42</v>
      </c>
      <c r="B68" s="116" t="s">
        <v>874</v>
      </c>
      <c r="C68" s="116"/>
      <c r="D68" s="116"/>
      <c r="E68" s="116"/>
    </row>
    <row r="69" customFormat="false" ht="15" hidden="false" customHeight="false" outlineLevel="0" collapsed="false">
      <c r="A69" s="95" t="n">
        <v>43</v>
      </c>
      <c r="B69" s="116" t="s">
        <v>875</v>
      </c>
      <c r="C69" s="116"/>
      <c r="D69" s="116"/>
      <c r="E69" s="116"/>
    </row>
    <row r="70" customFormat="false" ht="15" hidden="false" customHeight="false" outlineLevel="0" collapsed="false">
      <c r="A70" s="95" t="n">
        <v>44</v>
      </c>
      <c r="B70" s="116" t="s">
        <v>876</v>
      </c>
      <c r="C70" s="116"/>
      <c r="D70" s="116"/>
      <c r="E70" s="116"/>
    </row>
    <row r="71" customFormat="false" ht="15" hidden="false" customHeight="false" outlineLevel="0" collapsed="false">
      <c r="A71" s="95" t="n">
        <v>45</v>
      </c>
      <c r="B71" s="116" t="s">
        <v>877</v>
      </c>
      <c r="C71" s="116"/>
      <c r="D71" s="116"/>
      <c r="E71" s="116"/>
    </row>
    <row r="72" customFormat="false" ht="15" hidden="false" customHeight="false" outlineLevel="0" collapsed="false">
      <c r="A72" s="95" t="n">
        <v>46</v>
      </c>
      <c r="B72" s="116" t="s">
        <v>878</v>
      </c>
      <c r="C72" s="116"/>
      <c r="D72" s="116"/>
      <c r="E72" s="116"/>
    </row>
    <row r="73" customFormat="false" ht="15" hidden="false" customHeight="false" outlineLevel="0" collapsed="false">
      <c r="A73" s="95" t="n">
        <v>47</v>
      </c>
      <c r="B73" s="116" t="s">
        <v>879</v>
      </c>
      <c r="C73" s="116"/>
      <c r="D73" s="116"/>
      <c r="E73" s="116"/>
    </row>
    <row r="74" customFormat="false" ht="15" hidden="false" customHeight="false" outlineLevel="0" collapsed="false">
      <c r="A74" s="95" t="n">
        <v>48</v>
      </c>
      <c r="B74" s="116" t="s">
        <v>880</v>
      </c>
      <c r="C74" s="116"/>
      <c r="D74" s="116"/>
      <c r="E74" s="116"/>
    </row>
    <row r="75" customFormat="false" ht="15" hidden="false" customHeight="false" outlineLevel="0" collapsed="false">
      <c r="A75" s="95" t="n">
        <v>49</v>
      </c>
      <c r="B75" s="116" t="s">
        <v>881</v>
      </c>
      <c r="C75" s="116"/>
      <c r="D75" s="116"/>
      <c r="E75" s="116"/>
    </row>
    <row r="76" customFormat="false" ht="15" hidden="false" customHeight="false" outlineLevel="0" collapsed="false">
      <c r="A76" s="95" t="n">
        <v>50</v>
      </c>
      <c r="B76" s="116" t="s">
        <v>882</v>
      </c>
      <c r="C76" s="116"/>
      <c r="D76" s="116"/>
      <c r="E76" s="116"/>
    </row>
    <row r="77" customFormat="false" ht="15" hidden="false" customHeight="false" outlineLevel="0" collapsed="false">
      <c r="A77" s="95" t="n">
        <v>51</v>
      </c>
      <c r="B77" s="116" t="s">
        <v>997</v>
      </c>
      <c r="C77" s="116"/>
      <c r="D77" s="116"/>
      <c r="E77" s="116"/>
    </row>
    <row r="78" customFormat="false" ht="15" hidden="false" customHeight="false" outlineLevel="0" collapsed="false">
      <c r="A78" s="95" t="n">
        <v>52</v>
      </c>
      <c r="B78" s="116" t="s">
        <v>883</v>
      </c>
      <c r="C78" s="116"/>
      <c r="D78" s="116"/>
      <c r="E78" s="116"/>
    </row>
    <row r="79" customFormat="false" ht="15" hidden="false" customHeight="false" outlineLevel="0" collapsed="false">
      <c r="A79" s="95" t="n">
        <v>53</v>
      </c>
      <c r="B79" s="116" t="s">
        <v>884</v>
      </c>
      <c r="C79" s="116"/>
      <c r="D79" s="116"/>
      <c r="E79" s="116"/>
    </row>
    <row r="80" customFormat="false" ht="15" hidden="false" customHeight="false" outlineLevel="0" collapsed="false">
      <c r="A80" s="95" t="n">
        <v>54</v>
      </c>
      <c r="B80" s="116" t="s">
        <v>885</v>
      </c>
      <c r="C80" s="116"/>
      <c r="D80" s="116"/>
      <c r="E80" s="116"/>
    </row>
    <row r="81" customFormat="false" ht="15" hidden="false" customHeight="false" outlineLevel="0" collapsed="false">
      <c r="A81" s="112" t="n">
        <v>55</v>
      </c>
      <c r="B81" s="116" t="s">
        <v>887</v>
      </c>
      <c r="C81" s="116"/>
      <c r="D81" s="116"/>
      <c r="E81" s="116"/>
    </row>
    <row r="82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2012-02-20T07:40:00Z</dcterms:created>
  <dc:creator>Mes documents</dc:creator>
  <dc:description/>
  <dc:language>fr-FR</dc:language>
  <cp:lastModifiedBy/>
  <cp:lastPrinted>2016-06-14T12:28:00Z</cp:lastPrinted>
  <dcterms:modified xsi:type="dcterms:W3CDTF">2024-12-23T06:08:44Z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0406F409E7194F4ABB03295EE64F324D_12</vt:lpwstr>
  </property>
  <property fmtid="{D5CDD505-2E9C-101B-9397-08002B2CF9AE}" pid="3" name="KSOProductBuildVer">
    <vt:lpwstr>1036-12.2.0.17119</vt:lpwstr>
  </property>
</Properties>
</file>