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mièreAn-LP" sheetId="1" state="visible" r:id="rId3"/>
    <sheet name="PREPARATOIRE" sheetId="2" state="visible" r:id="rId4"/>
    <sheet name=" BTS GC" sheetId="3" state="visible" r:id="rId5"/>
    <sheet name="ANCIENS ETUDIANTS EN PASSAG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<sst xmlns="http://schemas.openxmlformats.org/spreadsheetml/2006/main" count="1286" uniqueCount="1001">
  <si>
    <t xml:space="preserve">LICENCE PROFESSIONNELLE 2011-2012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</si>
  <si>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</si>
  <si>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GESTION DE L'ENVIRONNEMENT</t>
    </r>
  </si>
  <si>
    <t xml:space="preserve">1ère Année</t>
  </si>
  <si>
    <t xml:space="preserve">N°</t>
  </si>
  <si>
    <t xml:space="preserve">NOM ET PRENOMS</t>
  </si>
  <si>
    <t xml:space="preserve">MONTANT VERSE</t>
  </si>
  <si>
    <t xml:space="preserve">MONTANT DÛ</t>
  </si>
  <si>
    <t xml:space="preserve">TOTAL</t>
  </si>
  <si>
    <t xml:space="preserve">ADEDODJA Adéchina Prudence</t>
  </si>
  <si>
    <t xml:space="preserve">ADJANKRO Falobi Thimothé</t>
  </si>
  <si>
    <t xml:space="preserve">AGBASSOU Coffi Dominique</t>
  </si>
  <si>
    <t xml:space="preserve">AGUEMON Yélian Franck Ludovic</t>
  </si>
  <si>
    <t xml:space="preserve">AHOKIN Codjo Bertin</t>
  </si>
  <si>
    <t xml:space="preserve">AÏCHEOU Yénazé Pascal</t>
  </si>
  <si>
    <t xml:space="preserve">AKAKPOVI Agossou Jacques</t>
  </si>
  <si>
    <t xml:space="preserve">AGLINGO Comlan Cyriaque</t>
  </si>
  <si>
    <t xml:space="preserve">ALLOGNON Boniface</t>
  </si>
  <si>
    <t xml:space="preserve">ALLOHOUTADE Kinhodé Paul</t>
  </si>
  <si>
    <t xml:space="preserve">METO Cocou Frédéric</t>
  </si>
  <si>
    <t xml:space="preserve">AMLI Anselme</t>
  </si>
  <si>
    <t xml:space="preserve">AMOUSSOU Destin</t>
  </si>
  <si>
    <t xml:space="preserve">ARIGBO Ellé Raoul</t>
  </si>
  <si>
    <t xml:space="preserve">ARRE Hubert</t>
  </si>
  <si>
    <t xml:space="preserve">AZAGBA Dossou Armand Joël</t>
  </si>
  <si>
    <t xml:space="preserve">AZIAGBLO Renoeud Arcadius</t>
  </si>
  <si>
    <t xml:space="preserve">BADJAGOU Victor</t>
  </si>
  <si>
    <t xml:space="preserve">BANI SAMARI Amadou</t>
  </si>
  <si>
    <t xml:space="preserve">BIAOU Joseph Yves</t>
  </si>
  <si>
    <t xml:space="preserve">BIO ZATO Lafia</t>
  </si>
  <si>
    <t xml:space="preserve">BONI Assoumanou</t>
  </si>
  <si>
    <t xml:space="preserve">BOUYAGUI Orou Komon W. Dirick</t>
  </si>
  <si>
    <t xml:space="preserve">DAKE Victor</t>
  </si>
  <si>
    <t xml:space="preserve">DANSSOU Tanlodjou Antonin</t>
  </si>
  <si>
    <t xml:space="preserve">DEGUENON Eder Sègla</t>
  </si>
  <si>
    <t xml:space="preserve">ENDEMI-MORAT Rockyatou</t>
  </si>
  <si>
    <t xml:space="preserve">FAFOUMI Olagoké Fabionies</t>
  </si>
  <si>
    <t xml:space="preserve">HAWENON Estel</t>
  </si>
  <si>
    <t xml:space="preserve">HESSOU Coffi Albert</t>
  </si>
  <si>
    <t xml:space="preserve">HOUNDJANTO Gabin</t>
  </si>
  <si>
    <t xml:space="preserve">IBRAHIMA Moustafa</t>
  </si>
  <si>
    <t xml:space="preserve">ISSA Alassane</t>
  </si>
  <si>
    <t xml:space="preserve">KEKE Mahudo Marcel</t>
  </si>
  <si>
    <t xml:space="preserve">KOLANI NAMBIMA Archille</t>
  </si>
  <si>
    <t xml:space="preserve">LAFIA Faïçalh</t>
  </si>
  <si>
    <t xml:space="preserve">LOMPO Sanni</t>
  </si>
  <si>
    <t xml:space="preserve">MALENOU Nestor</t>
  </si>
  <si>
    <t xml:space="preserve">MEDEHOU Vigninou Gérard Mechelga</t>
  </si>
  <si>
    <t xml:space="preserve">MEGNIKPA Fréjus Sonagnon Lionel</t>
  </si>
  <si>
    <t xml:space="preserve">MONTCHO Bignon Yvette Caroline</t>
  </si>
  <si>
    <t xml:space="preserve">OBOSSOU Agniwo Eugène</t>
  </si>
  <si>
    <t xml:space="preserve">OKE Cella Mireille</t>
  </si>
  <si>
    <t xml:space="preserve">SAWE Aboudou Wassiou</t>
  </si>
  <si>
    <t xml:space="preserve">SOULE BONI Adidjatou</t>
  </si>
  <si>
    <t xml:space="preserve">VIGAN Tchègoun Goodffroy</t>
  </si>
  <si>
    <t xml:space="preserve">WANTCHEKON M. Lucresse Innocencia</t>
  </si>
  <si>
    <t xml:space="preserve">YAOVI Enagnon Arsène Euloge**</t>
  </si>
  <si>
    <t xml:space="preserve">ZENONTIN Houégnon Franck Stanislas</t>
  </si>
  <si>
    <t xml:space="preserve">ZOBLIKPO Missihoun William Romuald</t>
  </si>
  <si>
    <t xml:space="preserve">ZODIBLA Raymond</t>
  </si>
  <si>
    <t xml:space="preserve">TOTAUX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</si>
  <si>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</si>
  <si>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ABALLO  Kouassi José Vivian</t>
  </si>
  <si>
    <t xml:space="preserve">ADANDONON AGBETO Victorin</t>
  </si>
  <si>
    <t xml:space="preserve">ADIMI Oladouni Gédéon</t>
  </si>
  <si>
    <t xml:space="preserve">ADJOVI Abrove Myriel Dorodès</t>
  </si>
  <si>
    <t xml:space="preserve">AHOUDJI Marilain</t>
  </si>
  <si>
    <t xml:space="preserve">ALLOGNI Patrice Stéphane</t>
  </si>
  <si>
    <t xml:space="preserve">ATCHOHOUNDO Bernard</t>
  </si>
  <si>
    <t xml:space="preserve">BAH BOCCO GOUSSEYO Abdel Aziz</t>
  </si>
  <si>
    <t xml:space="preserve">BAKARY Ludwig Faïçal Bakiye</t>
  </si>
  <si>
    <t xml:space="preserve">BAMIGBADE Forichadé Wilfrid</t>
  </si>
  <si>
    <t xml:space="preserve">BIAO Ayowolé Akossiwa Bénédicta</t>
  </si>
  <si>
    <t xml:space="preserve">BONOUGO Akpossou Brice</t>
  </si>
  <si>
    <t xml:space="preserve">BOUKARI SEIDOU Samoussiatou</t>
  </si>
  <si>
    <t xml:space="preserve">CHAFFA Adénikè Honorine</t>
  </si>
  <si>
    <t xml:space="preserve">DAGBETO Dossa Samuel</t>
  </si>
  <si>
    <t xml:space="preserve">DANGOU Hafiz</t>
  </si>
  <si>
    <t xml:space="preserve">DANGOU Mouniratou</t>
  </si>
  <si>
    <t xml:space="preserve">DANNON Finagnon Oscar</t>
  </si>
  <si>
    <t xml:space="preserve">DJEGGA Dèmon Azaratou</t>
  </si>
  <si>
    <t xml:space="preserve">DJIKPESSE Cossi Raoul Wilfrid</t>
  </si>
  <si>
    <t xml:space="preserve">DOSSOU YOVO Sènalonhan Ange Narcisse</t>
  </si>
  <si>
    <t xml:space="preserve">EDAH Frédéric</t>
  </si>
  <si>
    <t xml:space="preserve">EZIN Anne Marie</t>
  </si>
  <si>
    <t xml:space="preserve">GANFFAN Thiery Kodjo Fructueux</t>
  </si>
  <si>
    <t xml:space="preserve">GBEMAVO Edouard</t>
  </si>
  <si>
    <t xml:space="preserve">GBEMENOU Elidja Tachégnon Romaric</t>
  </si>
  <si>
    <t xml:space="preserve">GUIDIGAN Casmir Olivier Dèfodji</t>
  </si>
  <si>
    <t xml:space="preserve">HADEKON Ascension Sèkloka</t>
  </si>
  <si>
    <t xml:space="preserve">HOUNGBEDJI Shègoun Cyr Roméo</t>
  </si>
  <si>
    <t xml:space="preserve">KORA YOROU Doué</t>
  </si>
  <si>
    <t xml:space="preserve">KOTOLI Nadjahath Mèdégnonmi</t>
  </si>
  <si>
    <t xml:space="preserve">KOUDJANGNIHOUE Judith</t>
  </si>
  <si>
    <t xml:space="preserve">KOUESSI Eddy Gead</t>
  </si>
  <si>
    <t xml:space="preserve">MAYABA Biham Richard</t>
  </si>
  <si>
    <t xml:space="preserve">MONTCHO Déhouénagnon Landry</t>
  </si>
  <si>
    <t xml:space="preserve">MOUMOUNI BELLO Magidou</t>
  </si>
  <si>
    <t xml:space="preserve">MOUSSA Salem</t>
  </si>
  <si>
    <t xml:space="preserve">MOUSSA Sanny Romain</t>
  </si>
  <si>
    <t xml:space="preserve">NOUATIN Babatundé Mènadèle fréjus Raoul</t>
  </si>
  <si>
    <t xml:space="preserve">N'TCHA Kouagou Vivien</t>
  </si>
  <si>
    <t xml:space="preserve">OROU GANI Idrissou Ali</t>
  </si>
  <si>
    <t xml:space="preserve">OUDO M. Raymond</t>
  </si>
  <si>
    <t xml:space="preserve">SAKI Lapouassa Gauthier</t>
  </si>
  <si>
    <t xml:space="preserve">SALAMI OSSENI Soulé</t>
  </si>
  <si>
    <t xml:space="preserve">SALIFOU Abdou-Kaham</t>
  </si>
  <si>
    <t xml:space="preserve">SEWANOU Jésuwamè Fifonsi Pascaline</t>
  </si>
  <si>
    <t xml:space="preserve">SIMBIA Christophe Okpati</t>
  </si>
  <si>
    <t xml:space="preserve">SOULE Mohamadou</t>
  </si>
  <si>
    <t xml:space="preserve">SOWANOU Bayi Elodie</t>
  </si>
  <si>
    <t xml:space="preserve">WAGOUSSI Cossi Serge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</si>
  <si>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ANIMALE</t>
    </r>
  </si>
  <si>
    <t xml:space="preserve">ADJAHOUHOUE Cyriaque</t>
  </si>
  <si>
    <t xml:space="preserve">AGBODJANTO Jean</t>
  </si>
  <si>
    <t xml:space="preserve">AGBODO Michel</t>
  </si>
  <si>
    <t xml:space="preserve">ALLAVO Christelle Arnaude</t>
  </si>
  <si>
    <t xml:space="preserve">AMAVI Adakou Gracienne Viviane</t>
  </si>
  <si>
    <t xml:space="preserve">AMINOU Maziath Françoise</t>
  </si>
  <si>
    <t xml:space="preserve">BOGNINOU Gilles</t>
  </si>
  <si>
    <t xml:space="preserve">BOTON Dohèto Christian</t>
  </si>
  <si>
    <t xml:space="preserve">DOGARI Mohamadou</t>
  </si>
  <si>
    <t xml:space="preserve">GOUMBALAN S. Pulchérie</t>
  </si>
  <si>
    <t xml:space="preserve">GOUNOU LAFIA Kora Boniface</t>
  </si>
  <si>
    <t xml:space="preserve">HOUNTONDJI Codjo Ignace</t>
  </si>
  <si>
    <t xml:space="preserve">KANTY Asséréhou Roland Bienvenu</t>
  </si>
  <si>
    <t xml:space="preserve">KASSA Tongambori Jérôme</t>
  </si>
  <si>
    <t xml:space="preserve">KISSIRA Orou Gani</t>
  </si>
  <si>
    <t xml:space="preserve">KORA Bona Doué</t>
  </si>
  <si>
    <t xml:space="preserve">MALADE</t>
  </si>
  <si>
    <t xml:space="preserve">KOUMAGNON Lamidi</t>
  </si>
  <si>
    <t xml:space="preserve">LOVENOU Alphonsine</t>
  </si>
  <si>
    <t xml:space="preserve">TOHOUNDJO Kpondéhou Hervé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</si>
  <si>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</si>
  <si>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ABDOU Rafiou</t>
  </si>
  <si>
    <t xml:space="preserve">ADICLES RAHPAEL Médard</t>
  </si>
  <si>
    <t xml:space="preserve">ADJAGBA Magloire</t>
  </si>
  <si>
    <t xml:space="preserve">ADJOKPO Amos</t>
  </si>
  <si>
    <t xml:space="preserve">AFIOME Armel Aurel G.S.J.</t>
  </si>
  <si>
    <t xml:space="preserve">AHONONVI Serges Vidjannagni</t>
  </si>
  <si>
    <t xml:space="preserve">AHOUANADI Sévérin Coovi</t>
  </si>
  <si>
    <t xml:space="preserve">AKOTCHEOU Sèwlan Peter David</t>
  </si>
  <si>
    <t xml:space="preserve">AKPATA Cyrille Fernand adékanlé</t>
  </si>
  <si>
    <t xml:space="preserve">AKPLOGAN Djidjoho Norbert</t>
  </si>
  <si>
    <t xml:space="preserve">ALLE Viannez Géraud Gabriel</t>
  </si>
  <si>
    <t xml:space="preserve">AMOUSSOU Sènakpon Jacob</t>
  </si>
  <si>
    <t xml:space="preserve"> </t>
  </si>
  <si>
    <t xml:space="preserve">ASSANKPON Velery Tugdual Ernest</t>
  </si>
  <si>
    <t xml:space="preserve">ASSOGBA Yves</t>
  </si>
  <si>
    <t xml:space="preserve">BIAOU Bienvenu Rodrigue Elavagnon</t>
  </si>
  <si>
    <t xml:space="preserve">BOCCO Adéléké Emilien</t>
  </si>
  <si>
    <t xml:space="preserve">CAKPO Antoine Raoul</t>
  </si>
  <si>
    <t xml:space="preserve">DANYIGBE Bruno</t>
  </si>
  <si>
    <t xml:space="preserve">DINANLON Henri</t>
  </si>
  <si>
    <t xml:space="preserve">DOSSOU A. Sèdjro Puril Guénolé </t>
  </si>
  <si>
    <t xml:space="preserve">DOSSOU Daniel</t>
  </si>
  <si>
    <t xml:space="preserve">FANOU Coovi Fortuné</t>
  </si>
  <si>
    <t xml:space="preserve">FOLY Etienne Athanase</t>
  </si>
  <si>
    <t xml:space="preserve">FOLY Mesmin</t>
  </si>
  <si>
    <t xml:space="preserve">GNANSOUNOU Finangnon Désiré</t>
  </si>
  <si>
    <t xml:space="preserve">GOUASSANGNI Cohovi Hodonou R.</t>
  </si>
  <si>
    <t xml:space="preserve">GOUN Sèlomè Israël Augias</t>
  </si>
  <si>
    <t xml:space="preserve">HESSOU Christophe Houénoudé</t>
  </si>
  <si>
    <t xml:space="preserve">HOUEDANOU Oké Bienvenu</t>
  </si>
  <si>
    <t xml:space="preserve">HOUENOU ATCHOU Zinsou François</t>
  </si>
  <si>
    <t xml:space="preserve">HOUENOUKPO Gaston Sètondji</t>
  </si>
  <si>
    <t xml:space="preserve">HOUNDAZANME Serpoz Marius</t>
  </si>
  <si>
    <t xml:space="preserve">HOUNLOME Samuel Henri</t>
  </si>
  <si>
    <t xml:space="preserve">HOUNNOU Kouéssi Vincent Wenceslas</t>
  </si>
  <si>
    <t xml:space="preserve">HOUNSINOU Babatoundé Lucien</t>
  </si>
  <si>
    <t xml:space="preserve">HOUNTONDJI Tchégnon Armel A.</t>
  </si>
  <si>
    <t xml:space="preserve">HOUNTONON Ferdinand</t>
  </si>
  <si>
    <t xml:space="preserve">HOUNZANDJI Sègbégnon D. Charles B.</t>
  </si>
  <si>
    <t xml:space="preserve">KAKANAKOU Ferdinand</t>
  </si>
  <si>
    <t xml:space="preserve">KEDE Amagbégnon Marc</t>
  </si>
  <si>
    <t xml:space="preserve">KOLE Hervé</t>
  </si>
  <si>
    <t xml:space="preserve">KOULIDJI Houénagnon Venance M.</t>
  </si>
  <si>
    <t xml:space="preserve">KPEDJO Mètogbé Mahugnon Aristide</t>
  </si>
  <si>
    <t xml:space="preserve">LIKPO Sènan Alphonse Herman</t>
  </si>
  <si>
    <t xml:space="preserve">MONSOHOUE Mathieu E. Sèmavo</t>
  </si>
  <si>
    <t xml:space="preserve">OLODO Komabani Barthélémy</t>
  </si>
  <si>
    <t xml:space="preserve">OROU BATA Florentine Ganni-Gado</t>
  </si>
  <si>
    <t xml:space="preserve">OTCHOUMARE Issimi Romuald</t>
  </si>
  <si>
    <t xml:space="preserve">SABAM IMOROU Faozi</t>
  </si>
  <si>
    <t xml:space="preserve">SOKEGBE Janvier Ulrich</t>
  </si>
  <si>
    <t xml:space="preserve">SOLAGNI Labi Tchékpé Thiérry</t>
  </si>
  <si>
    <t xml:space="preserve">TAMADAHO S. Noé Ulrich</t>
  </si>
  <si>
    <t xml:space="preserve">TAIROU Mohamed</t>
  </si>
  <si>
    <t xml:space="preserve">TOSSOU Bienvenu Janvier</t>
  </si>
  <si>
    <t xml:space="preserve">WINANNON Hervé</t>
  </si>
  <si>
    <t xml:space="preserve">ZINSOU Michel Donatien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</si>
  <si>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ELECTRIQUE</t>
    </r>
  </si>
  <si>
    <t xml:space="preserve">ADANDE Bidossèssi Hermann W.</t>
  </si>
  <si>
    <t xml:space="preserve">ADIKPETO Cossi Crespin Basile</t>
  </si>
  <si>
    <t xml:space="preserve">ADIKPETO Gauthier Thibaut</t>
  </si>
  <si>
    <t xml:space="preserve">AFFOUKOU Ayéwa Morel </t>
  </si>
  <si>
    <t xml:space="preserve">AIZANNON Francois</t>
  </si>
  <si>
    <t xml:space="preserve">AGONSANOU Houétchéou Fiacre</t>
  </si>
  <si>
    <t xml:space="preserve">BADOU Alain Roland</t>
  </si>
  <si>
    <t xml:space="preserve">BOKO Nonvilé Narcisse</t>
  </si>
  <si>
    <t xml:space="preserve">BRATHIER Richard Léonel Sènan</t>
  </si>
  <si>
    <t xml:space="preserve">COMLAN Ayao Christian</t>
  </si>
  <si>
    <t xml:space="preserve">DOHOU Gérard Bénoît Comlan</t>
  </si>
  <si>
    <t xml:space="preserve">D'OLIVEIRA Brice</t>
  </si>
  <si>
    <t xml:space="preserve">GBODJINOU Don Gédéon</t>
  </si>
  <si>
    <t xml:space="preserve">GOUMEGOU MASSANVI Edmonde</t>
  </si>
  <si>
    <t xml:space="preserve">HOUESSOU Sonagnon Joris Ivens</t>
  </si>
  <si>
    <t xml:space="preserve">HOUNDIN Amédée Jonas</t>
  </si>
  <si>
    <t xml:space="preserve">KELEHOUN Adanmado Marcellin</t>
  </si>
  <si>
    <t xml:space="preserve">KINKPE Gildas Didier Koffi</t>
  </si>
  <si>
    <t xml:space="preserve">KINMASSOUALIGBO Habib</t>
  </si>
  <si>
    <t xml:space="preserve">KOTCHOFA Seydou Arnaud</t>
  </si>
  <si>
    <t xml:space="preserve">KOUDJENOUME A. Epiphane</t>
  </si>
  <si>
    <t xml:space="preserve">KPANGON Prince Oscar</t>
  </si>
  <si>
    <t xml:space="preserve">KPEGBAHOUN Kossi Hotounou</t>
  </si>
  <si>
    <t xml:space="preserve">LALYNON Dègla Fabrice</t>
  </si>
  <si>
    <t xml:space="preserve">NAWANA Constant</t>
  </si>
  <si>
    <t xml:space="preserve">SEDAMI Codjo Jacques</t>
  </si>
  <si>
    <t xml:space="preserve">SEGNON Kossi Robo</t>
  </si>
  <si>
    <t xml:space="preserve">SESSOU Jérôme</t>
  </si>
  <si>
    <t xml:space="preserve">VIGAN Ghislain Emma Cossi</t>
  </si>
  <si>
    <t xml:space="preserve">ZONON  Wilfrid Brice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</si>
  <si>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MAINTENANCE INDUSTRIELLE</t>
    </r>
  </si>
  <si>
    <t xml:space="preserve">ABOUE Kocou Rogatien</t>
  </si>
  <si>
    <t xml:space="preserve">AÏZANNON François</t>
  </si>
  <si>
    <t xml:space="preserve">ALLOGNON Innocent Yélingnan</t>
  </si>
  <si>
    <t xml:space="preserve">ATCHA Coffi Daniel</t>
  </si>
  <si>
    <t xml:space="preserve">CAPO-CHICHI  Sètondji Hermus Gildas</t>
  </si>
  <si>
    <t xml:space="preserve">DJETO Kuami Wilfried</t>
  </si>
  <si>
    <t xml:space="preserve">FINGBE Roland</t>
  </si>
  <si>
    <t xml:space="preserve">GBEGAN Nonhouégnon Rock</t>
  </si>
  <si>
    <t xml:space="preserve">HOUNGBEDJI Habacuc Roland Vidjannagni</t>
  </si>
  <si>
    <t xml:space="preserve">IDRISSOU ROUFAYE Houzérou</t>
  </si>
  <si>
    <t xml:space="preserve">LANI-YONOU Adéolou Arthur Mûller</t>
  </si>
  <si>
    <t xml:space="preserve">MAMADOU Djibril Gildas</t>
  </si>
  <si>
    <t xml:space="preserve">OBAONRIN Anziz Ichola</t>
  </si>
  <si>
    <t xml:space="preserve">OLOUKOU Thomas</t>
  </si>
  <si>
    <t xml:space="preserve">ORE Kébo Alexandre Yao</t>
  </si>
  <si>
    <t xml:space="preserve">SEGBEDJI Kuassi Jean</t>
  </si>
  <si>
    <t xml:space="preserve">TONOUDE Comlan Marius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</si>
  <si>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RURAL</t>
    </r>
  </si>
  <si>
    <t xml:space="preserve">AHOUANADI Dètondji Olivier</t>
  </si>
  <si>
    <t xml:space="preserve">AKISSOE Emile</t>
  </si>
  <si>
    <t xml:space="preserve">AYIHANYANDJI Comlan Cyrille</t>
  </si>
  <si>
    <t xml:space="preserve">AKIYO Ichola Hubert Alain</t>
  </si>
  <si>
    <t xml:space="preserve">BALARO Tchoya Mérel-Armand</t>
  </si>
  <si>
    <t xml:space="preserve">BASSAOU Ramanatou</t>
  </si>
  <si>
    <t xml:space="preserve">CAKPO Adelor Aureliano Brice</t>
  </si>
  <si>
    <t xml:space="preserve">DAKE Dossou Romuald</t>
  </si>
  <si>
    <t xml:space="preserve">FIHOUNDE Aristide Kokou</t>
  </si>
  <si>
    <t xml:space="preserve">GANDAHO Lédotan Henri</t>
  </si>
  <si>
    <t xml:space="preserve">GODJI Zinsou Cosme</t>
  </si>
  <si>
    <t xml:space="preserve">HOUNKANRIN Zéfirin</t>
  </si>
  <si>
    <t xml:space="preserve">HOUNKPE Coffi Roger Modeste</t>
  </si>
  <si>
    <t xml:space="preserve">OGOUDINA Vianou Germain</t>
  </si>
  <si>
    <t xml:space="preserve">OROU GONGON Mamadou</t>
  </si>
  <si>
    <t xml:space="preserve">SEKPE Gbènandé Nazaire Josias</t>
  </si>
  <si>
    <t xml:space="preserve">SOSSOUKPE André</t>
  </si>
  <si>
    <t xml:space="preserve">SOTON Adjimon Aimé</t>
  </si>
  <si>
    <t xml:space="preserve">ZOUNTCHEGBE Kobilé Eliane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</si>
  <si>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HYGIENE ET CONTRÔLE DE QUALITE DES DENREES ALIMENTAIRES</t>
    </r>
  </si>
  <si>
    <t xml:space="preserve">ADJOU Abraham Hervé Thiérry</t>
  </si>
  <si>
    <t xml:space="preserve">AKPOVO Roméo Hospice Finangnon</t>
  </si>
  <si>
    <t xml:space="preserve">AMOU Brigitte Adjoavi</t>
  </si>
  <si>
    <t xml:space="preserve">AMOUZOU Christophe</t>
  </si>
  <si>
    <t xml:space="preserve">DANTONKA Fawaaze</t>
  </si>
  <si>
    <t xml:space="preserve">DODOTIN Yédéhou Hyacinthe</t>
  </si>
  <si>
    <t xml:space="preserve">DOSSA Sètondji Paul François</t>
  </si>
  <si>
    <t xml:space="preserve">DOUDJI Darius</t>
  </si>
  <si>
    <t xml:space="preserve">ERIOLA Olounto Olivier</t>
  </si>
  <si>
    <t xml:space="preserve">ESSE Damienne Zinhoué</t>
  </si>
  <si>
    <t xml:space="preserve">GBAGUIDI Sèlonhan Armel</t>
  </si>
  <si>
    <t xml:space="preserve">GNELE Baï Dodji Laurenda Carmen</t>
  </si>
  <si>
    <t xml:space="preserve">HESSA Laurent</t>
  </si>
  <si>
    <t xml:space="preserve">HOUEDJI Sagbégnon Dèwanou</t>
  </si>
  <si>
    <t xml:space="preserve">IMOROU Sani</t>
  </si>
  <si>
    <t xml:space="preserve">KAKANAKOU Orémus Christ-Marie S.</t>
  </si>
  <si>
    <t xml:space="preserve">LITCHEKON Cakpo Narcisse</t>
  </si>
  <si>
    <t xml:space="preserve">MEHOBA BENOÎT Agnès</t>
  </si>
  <si>
    <t xml:space="preserve">MOUMOUNI Nouhoum</t>
  </si>
  <si>
    <t xml:space="preserve">TAOUEMA TOUMOUDAGOU Pompo R.</t>
  </si>
  <si>
    <t xml:space="preserve">CERTIFICAT PREPARATOIRE 2011-2012</t>
  </si>
  <si>
    <t xml:space="preserve">Année Préparatoire</t>
  </si>
  <si>
    <t xml:space="preserve">ADANZOUNNON S. Maxime</t>
  </si>
  <si>
    <t xml:space="preserve">ADJAKPON Mahugnon Jeannot</t>
  </si>
  <si>
    <t xml:space="preserve">ADJANON David Rufin</t>
  </si>
  <si>
    <t xml:space="preserve">ADOHOUANNON B. Ghislain</t>
  </si>
  <si>
    <t xml:space="preserve">AGBAHEY Mireille Evelyne</t>
  </si>
  <si>
    <t xml:space="preserve">AGON Marcos Oscar</t>
  </si>
  <si>
    <t xml:space="preserve">AGOSSADOU Koffi Ghislain</t>
  </si>
  <si>
    <t xml:space="preserve">AGUIDISSOU Hermann Joël</t>
  </si>
  <si>
    <t xml:space="preserve">AKOWE SARE K. Marieta</t>
  </si>
  <si>
    <t xml:space="preserve">ALAMOU Rachidi</t>
  </si>
  <si>
    <t xml:space="preserve">ALIA Mahougnon Arnaud</t>
  </si>
  <si>
    <t xml:space="preserve">BABALIYE Olivier</t>
  </si>
  <si>
    <t xml:space="preserve">BIO NIGAN Chérifatou</t>
  </si>
  <si>
    <t xml:space="preserve">CAKPOSSE Cosjo Gilbert P,</t>
  </si>
  <si>
    <t xml:space="preserve">CHABI SOUBO Ibouraïma</t>
  </si>
  <si>
    <t xml:space="preserve">DAN Alain</t>
  </si>
  <si>
    <t xml:space="preserve">DJIMONNAN Paulin</t>
  </si>
  <si>
    <t xml:space="preserve">DJOSSOU Adjimon Fiacre</t>
  </si>
  <si>
    <t xml:space="preserve">DOSSOU Albert</t>
  </si>
  <si>
    <t xml:space="preserve">EWASSADJA ADAHA D. Angélo</t>
  </si>
  <si>
    <t xml:space="preserve">EWEDJE Faki</t>
  </si>
  <si>
    <t xml:space="preserve">FATOMON Ange  Osée</t>
  </si>
  <si>
    <t xml:space="preserve">GBEGBO Eric</t>
  </si>
  <si>
    <t xml:space="preserve">HONVOU Henri</t>
  </si>
  <si>
    <t xml:space="preserve">HOUNMASSE Kossi Lester Marion</t>
  </si>
  <si>
    <t xml:space="preserve">HOUNSOU A.Wenceslas</t>
  </si>
  <si>
    <t xml:space="preserve">HOUSSOU Sourou Bruno</t>
  </si>
  <si>
    <t xml:space="preserve">KOUDJE Basile</t>
  </si>
  <si>
    <t xml:space="preserve">KOUKOUBOU Christian Angelo</t>
  </si>
  <si>
    <t xml:space="preserve">KPODEKON Sênami Généviève</t>
  </si>
  <si>
    <t xml:space="preserve">KPOTCHEME Coffi  D. Stanislas</t>
  </si>
  <si>
    <t xml:space="preserve">LANTOKPODE Léopold</t>
  </si>
  <si>
    <t xml:space="preserve">LOGBETODE Alphonse</t>
  </si>
  <si>
    <t xml:space="preserve">MICHOZOUNNOU Dossou Samuel</t>
  </si>
  <si>
    <t xml:space="preserve">MOUSSE Samiath</t>
  </si>
  <si>
    <t xml:space="preserve">MOUSTAPHA SOULE Boladji</t>
  </si>
  <si>
    <t xml:space="preserve">SESSOU Comlan Eugène</t>
  </si>
  <si>
    <t xml:space="preserve">SOVIGUIDI A GUY Hervé</t>
  </si>
  <si>
    <t xml:space="preserve">TCHANTE SAYO Séïbou</t>
  </si>
  <si>
    <t xml:space="preserve">TOGBO Bignon Hermine</t>
  </si>
  <si>
    <t xml:space="preserve">TOSSOU Sévérin Oscar S.</t>
  </si>
  <si>
    <t xml:space="preserve">YADOULETON Kandoté Armand</t>
  </si>
  <si>
    <t xml:space="preserve">YANSEGBE Yaovi K, Raoul Serge</t>
  </si>
  <si>
    <t xml:space="preserve">                                                                 </t>
  </si>
  <si>
    <t xml:space="preserve"> LICENCE PROFESSIONNELLE EFFECTIF ( BTS ) 2011-2012</t>
  </si>
  <si>
    <r>
      <rPr>
        <b val="true"/>
        <i val="true"/>
        <sz val="14"/>
        <rFont val="Arial"/>
        <family val="0"/>
        <charset val="134"/>
      </rPr>
      <t xml:space="preserve">          </t>
    </r>
    <r>
      <rPr>
        <b val="true"/>
        <i val="true"/>
        <u val="single"/>
        <sz val="14"/>
        <rFont val="Arial"/>
        <family val="0"/>
        <charset val="134"/>
      </rPr>
      <t xml:space="preserve">GENIE CIVIL</t>
    </r>
    <r>
      <rPr>
        <b val="true"/>
        <i val="true"/>
        <sz val="14"/>
        <rFont val="Arial"/>
        <family val="0"/>
        <charset val="134"/>
      </rPr>
      <t xml:space="preserve">  Année de stage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</si>
  <si>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</si>
  <si>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</si>
  <si>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</si>
  <si>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</si>
  <si>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</si>
  <si>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</si>
  <si>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ABATHAN F. Stanislas</t>
  </si>
  <si>
    <t xml:space="preserve">n°2</t>
  </si>
  <si>
    <t xml:space="preserve">AGBOSSOUTO Hyppolite</t>
  </si>
  <si>
    <t xml:space="preserve">n°3</t>
  </si>
  <si>
    <t xml:space="preserve">AKITIKPA  Charles</t>
  </si>
  <si>
    <t xml:space="preserve">MAIRIE COT</t>
  </si>
  <si>
    <t xml:space="preserve">n°4</t>
  </si>
  <si>
    <t xml:space="preserve">AVOCE Jean Pierre</t>
  </si>
  <si>
    <t xml:space="preserve">n°5</t>
  </si>
  <si>
    <t xml:space="preserve">CODO T. Wilfried Alain</t>
  </si>
  <si>
    <t xml:space="preserve">n°6</t>
  </si>
  <si>
    <t xml:space="preserve">DJEGUI Kossi Pierre</t>
  </si>
  <si>
    <t xml:space="preserve">n°7</t>
  </si>
  <si>
    <t xml:space="preserve">DOSSOU YOVO Gabriel</t>
  </si>
  <si>
    <t xml:space="preserve">n°8</t>
  </si>
  <si>
    <t xml:space="preserve">GBAGUIDI Vulgis</t>
  </si>
  <si>
    <t xml:space="preserve">n°9</t>
  </si>
  <si>
    <t xml:space="preserve">HOUANGNI L. Pernody</t>
  </si>
  <si>
    <t xml:space="preserve">n°10</t>
  </si>
  <si>
    <t xml:space="preserve">KOUTON Adébayo Hector</t>
  </si>
  <si>
    <t xml:space="preserve">n°11</t>
  </si>
  <si>
    <t xml:space="preserve">OGOUTOLOU B. Epiphane</t>
  </si>
  <si>
    <t xml:space="preserve">n°12</t>
  </si>
  <si>
    <t xml:space="preserve">SARE KPAO Justin</t>
  </si>
  <si>
    <t xml:space="preserve">2ème Année</t>
  </si>
  <si>
    <t xml:space="preserve">ABDOU Abdel Aziz (abandon)</t>
  </si>
  <si>
    <t xml:space="preserve">ADJAGBESSI V. Gildas</t>
  </si>
  <si>
    <t xml:space="preserve">ADJINANOUKON Kocou Ernest</t>
  </si>
  <si>
    <t xml:space="preserve">AGONTINGLO Romario Rodriguez</t>
  </si>
  <si>
    <t xml:space="preserve">AGUESSY Alitondji Marius</t>
  </si>
  <si>
    <t xml:space="preserve"> AHOUDOU Faïçal</t>
  </si>
  <si>
    <t xml:space="preserve">ALLAGBE Abdou Karim</t>
  </si>
  <si>
    <t xml:space="preserve">ALLAGBE ALIMI Yao</t>
  </si>
  <si>
    <t xml:space="preserve">AOGOU AROUNA Soulémane</t>
  </si>
  <si>
    <t xml:space="preserve">ASSOUKOU Patrice</t>
  </si>
  <si>
    <t xml:space="preserve">ASSOUMA GOBOUNA Orou Mako</t>
  </si>
  <si>
    <t xml:space="preserve">ATCHI Abel</t>
  </si>
  <si>
    <t xml:space="preserve">ATEMBA Emmanuel R. Dona</t>
  </si>
  <si>
    <t xml:space="preserve">ATTI-MAMA HYACINTHE G. Shola</t>
  </si>
  <si>
    <t xml:space="preserve">AYENI YEMALIN Odilon</t>
  </si>
  <si>
    <t xml:space="preserve">BOSSOU Gbènakpon François</t>
  </si>
  <si>
    <t xml:space="preserve">DAGBETO Nestor</t>
  </si>
  <si>
    <t xml:space="preserve">DANSI Fanou Mathias</t>
  </si>
  <si>
    <t xml:space="preserve">DOHOU Séraphin</t>
  </si>
  <si>
    <t xml:space="preserve">DOKOUNDE Dossi Chimène Zita</t>
  </si>
  <si>
    <t xml:space="preserve">DOSSOU ADANLIENKLOUNON D.</t>
  </si>
  <si>
    <t xml:space="preserve">DOSSOU Gildas</t>
  </si>
  <si>
    <t xml:space="preserve">FAGLA Dominique</t>
  </si>
  <si>
    <t xml:space="preserve">FOLLY Cocou Maurice</t>
  </si>
  <si>
    <t xml:space="preserve">GODONOU Mèdékogbè Jean-Marie</t>
  </si>
  <si>
    <t xml:space="preserve">HOUNDJO Moussa</t>
  </si>
  <si>
    <t xml:space="preserve">IDRISSOU Tidjani</t>
  </si>
  <si>
    <t xml:space="preserve">KARIMOU IBRAHIMA Nassirou Bodah</t>
  </si>
  <si>
    <t xml:space="preserve">KIATTI Pinda Boniface</t>
  </si>
  <si>
    <t xml:space="preserve">KINSA  IDANI Basile Kodjo</t>
  </si>
  <si>
    <t xml:space="preserve">KOUMASSEGBO G.B. Brice</t>
  </si>
  <si>
    <t xml:space="preserve">KPADONOU Kuessiba Justine Carine</t>
  </si>
  <si>
    <t xml:space="preserve">MAFFON Assouan Constantin</t>
  </si>
  <si>
    <t xml:space="preserve">MIKINHOUESSE N. Henri-Joël</t>
  </si>
  <si>
    <t xml:space="preserve">MOUHAMAM ISSAKA Bouhani</t>
  </si>
  <si>
    <t xml:space="preserve">MOUSSA  Mouniratou</t>
  </si>
  <si>
    <t xml:space="preserve">NOANTI D. Boukali Hamidou</t>
  </si>
  <si>
    <t xml:space="preserve">NOUDEHOU Fagnon Jean-Victal</t>
  </si>
  <si>
    <t xml:space="preserve">NOUMAYI Adjimon Thiéry</t>
  </si>
  <si>
    <t xml:space="preserve">OKOUIDJO Obossi Octavie Virginie</t>
  </si>
  <si>
    <t xml:space="preserve">OMONYELE Anne-Marie</t>
  </si>
  <si>
    <t xml:space="preserve">OUOROU YERIMA S. Félix</t>
  </si>
  <si>
    <t xml:space="preserve">RAOUFOU Abdul Koudous Achamou</t>
  </si>
  <si>
    <t xml:space="preserve">SENA TIBOTARA Alvère Sidonie</t>
  </si>
  <si>
    <t xml:space="preserve">TCHOUMADO Alphonse</t>
  </si>
  <si>
    <t xml:space="preserve">TOGBE E. Sessè Ghislain</t>
  </si>
  <si>
    <t xml:space="preserve">TOSSA Ruphin</t>
  </si>
  <si>
    <t xml:space="preserve">TOSSOU Etienne</t>
  </si>
  <si>
    <t xml:space="preserve">YAROU Aïssatou</t>
  </si>
  <si>
    <t xml:space="preserve">ZAMMASSOU Yaovi Prudence</t>
  </si>
  <si>
    <t xml:space="preserve">ZANNOU Charles Nouéssèwa Yémalin</t>
  </si>
  <si>
    <t xml:space="preserve">3ème Année</t>
  </si>
  <si>
    <t xml:space="preserve">ABOU ZOUNON Mahamoud Habib A.</t>
  </si>
  <si>
    <t xml:space="preserve">AGBAOSSI O. Jérémi</t>
  </si>
  <si>
    <t xml:space="preserve">AGBEMADON Appolinaire</t>
  </si>
  <si>
    <t xml:space="preserve">AGLOSSI Koffi Aimé</t>
  </si>
  <si>
    <t xml:space="preserve">AGOMMA Noukpo Djidjoho Aimé</t>
  </si>
  <si>
    <t xml:space="preserve">AHOTON  Gilles Djidjoho</t>
  </si>
  <si>
    <t xml:space="preserve">AKOUEGNINOU B. Isaac Donald</t>
  </si>
  <si>
    <t xml:space="preserve">AKPO  I. Oméga</t>
  </si>
  <si>
    <t xml:space="preserve">ALI-OWE Kamal-Dine Adissa A.</t>
  </si>
  <si>
    <t xml:space="preserve">ALLOGNON N. Olivier</t>
  </si>
  <si>
    <t xml:space="preserve">ASSEGNISSO N. Jules</t>
  </si>
  <si>
    <t xml:space="preserve">ATINDEHOU Evékyne Valeri</t>
  </si>
  <si>
    <t xml:space="preserve">AZONPKIN Adolphe</t>
  </si>
  <si>
    <t xml:space="preserve">BAHLEMAN Ramatou</t>
  </si>
  <si>
    <t xml:space="preserve">CAPO-CHICHI Mïchaël  Eric S.</t>
  </si>
  <si>
    <t xml:space="preserve">DJINADOU Magido</t>
  </si>
  <si>
    <t xml:space="preserve">DJOUAH Enock Clovis</t>
  </si>
  <si>
    <t xml:space="preserve">DOSSA Emmanuel Gillux</t>
  </si>
  <si>
    <t xml:space="preserve">HOUENHA M. Charles</t>
  </si>
  <si>
    <t xml:space="preserve">IDRISSOU Traoré Issa</t>
  </si>
  <si>
    <t xml:space="preserve">KANGNI Raphaël François</t>
  </si>
  <si>
    <t xml:space="preserve">MAIRIE C</t>
  </si>
  <si>
    <t xml:space="preserve">KOUVEGLO Audrey Fernande T.</t>
  </si>
  <si>
    <t xml:space="preserve">KPOHOUNME Calixte</t>
  </si>
  <si>
    <t xml:space="preserve">MISSIKPODE Gouton Baudelaire</t>
  </si>
  <si>
    <t xml:space="preserve">OLAYE ADJERAN A. Freddy</t>
  </si>
  <si>
    <t xml:space="preserve">SAVASSI Armand Roméo</t>
  </si>
  <si>
    <t xml:space="preserve">SEKEDJA Mïngnak</t>
  </si>
  <si>
    <t xml:space="preserve">SIDI Abib Laye</t>
  </si>
  <si>
    <t xml:space="preserve">TOSSOU M.Victoire</t>
  </si>
  <si>
    <t xml:space="preserve">TOUDJI N. Charles Arthur</t>
  </si>
  <si>
    <t xml:space="preserve">ZANKPO K. Blaise</t>
  </si>
  <si>
    <t xml:space="preserve">ZIME CESSI Koto</t>
  </si>
  <si>
    <t xml:space="preserve">ZOSSOU Y. Amoros Carmel</t>
  </si>
  <si>
    <t xml:space="preserve">4ème Année</t>
  </si>
  <si>
    <t xml:space="preserve">ABDOULAYE Issa</t>
  </si>
  <si>
    <t xml:space="preserve">ADAM Issiako Abasse</t>
  </si>
  <si>
    <t xml:space="preserve">ADANHOUNSODE S.N. Simplice</t>
  </si>
  <si>
    <t xml:space="preserve">ADECHI Koudous Olatundji</t>
  </si>
  <si>
    <t xml:space="preserve">AGBONOUGLA Kuéchi Emile</t>
  </si>
  <si>
    <t xml:space="preserve">AGUESSI A. Zacharie</t>
  </si>
  <si>
    <t xml:space="preserve">ALLOGan Zinsou</t>
  </si>
  <si>
    <t xml:space="preserve">ALLOGNON Armand</t>
  </si>
  <si>
    <t xml:space="preserve">AROGOUN AMIDOU Tanko</t>
  </si>
  <si>
    <t xml:space="preserve">AZELOKON Mireille Charmelle</t>
  </si>
  <si>
    <t xml:space="preserve">BIAO Oniandou Aliassou</t>
  </si>
  <si>
    <t xml:space="preserve">BIAOU Souradjou Wahab</t>
  </si>
  <si>
    <t xml:space="preserve">BINAZON N. Valère</t>
  </si>
  <si>
    <t xml:space="preserve">BOGNINOU Jean Paul</t>
  </si>
  <si>
    <t xml:space="preserve">BOUKARI NARI Mamoudou</t>
  </si>
  <si>
    <t xml:space="preserve">DANSI S. Donatien</t>
  </si>
  <si>
    <t xml:space="preserve">DAVID Gbènago Eric Yémalin</t>
  </si>
  <si>
    <t xml:space="preserve">DIATEMA Bouhari</t>
  </si>
  <si>
    <t xml:space="preserve">EZIN BABA Thiéry</t>
  </si>
  <si>
    <t xml:space="preserve">FADEGNON Dagbégnikou Marc Alfred</t>
  </si>
  <si>
    <t xml:space="preserve">GABA O. Cédrick</t>
  </si>
  <si>
    <t xml:space="preserve">HOUINDO E. Eric</t>
  </si>
  <si>
    <t xml:space="preserve">HOUNYO Abey Nicolas</t>
  </si>
  <si>
    <t xml:space="preserve">KOUAGOU Yombo</t>
  </si>
  <si>
    <t xml:space="preserve">MADEGNAN Simphorien</t>
  </si>
  <si>
    <t xml:space="preserve">MAMA GAO Gaïchi</t>
  </si>
  <si>
    <t xml:space="preserve">MEHOU D. Didier Arnaud</t>
  </si>
  <si>
    <t xml:space="preserve">NONFON Charles Ghislain</t>
  </si>
  <si>
    <t xml:space="preserve">PEDANOU M. Toussaint</t>
  </si>
  <si>
    <t xml:space="preserve">POENOU Walter Ayavo</t>
  </si>
  <si>
    <t xml:space="preserve">SAMBO  Abdou</t>
  </si>
  <si>
    <t xml:space="preserve">SEGNONNA Jules Aimassè Patrick</t>
  </si>
  <si>
    <t xml:space="preserve">SIDI D. A. Rassadi</t>
  </si>
  <si>
    <t xml:space="preserve">SOGBA Wilfrid</t>
  </si>
  <si>
    <t xml:space="preserve">TCHIWANOU BLEOSSI Damase</t>
  </si>
  <si>
    <t xml:space="preserve">ZINHOUIN Candide Curie</t>
  </si>
  <si>
    <t xml:space="preserve">ADEREMOU Adinane.O. Abiola</t>
  </si>
  <si>
    <t xml:space="preserve">ADJAKALE Jean EUDE COMLAN</t>
  </si>
  <si>
    <t xml:space="preserve">AGOSSADOU Dègla Judicaël Arnaud</t>
  </si>
  <si>
    <t xml:space="preserve">AGOUNTCHEME Yédia Théodora</t>
  </si>
  <si>
    <t xml:space="preserve">AGUIR Fidèle ALEXANDRE</t>
  </si>
  <si>
    <t xml:space="preserve">AHOMADIGANHOU MoÏse</t>
  </si>
  <si>
    <t xml:space="preserve">AKONDE MOUMOUNI Karim</t>
  </si>
  <si>
    <t xml:space="preserve">APLOGAN Evèdjrè José ALBAN</t>
  </si>
  <si>
    <t xml:space="preserve">ALASSANE Aboudoul Al-Akim</t>
  </si>
  <si>
    <t xml:space="preserve">ALOKPON Jean Janvier</t>
  </si>
  <si>
    <t xml:space="preserve">BOKO Roméo Yémadjro</t>
  </si>
  <si>
    <t xml:space="preserve">BONSE  Abdel-Aziz</t>
  </si>
  <si>
    <t xml:space="preserve">BOUKARI Abdouwahabou</t>
  </si>
  <si>
    <t xml:space="preserve">DAGBA Lished-Marie Gbetunsôh Tundé</t>
  </si>
  <si>
    <t xml:space="preserve">DEDEGNON Sènami Georgette Nadège</t>
  </si>
  <si>
    <t xml:space="preserve">FAYALO Kanhonou Mélaine Vartan</t>
  </si>
  <si>
    <t xml:space="preserve">GANDONOU Sèyivè Venance</t>
  </si>
  <si>
    <t xml:space="preserve">GBEMAVO Yénangbo Scholastique O.</t>
  </si>
  <si>
    <t xml:space="preserve">GLADJA A. Euphrem</t>
  </si>
  <si>
    <t xml:space="preserve">GNAHOUI Codjo Sétondji Phébus A.</t>
  </si>
  <si>
    <t xml:space="preserve">GNIMAVO Messédé Eudoxie</t>
  </si>
  <si>
    <t xml:space="preserve">HONFFO Gérard</t>
  </si>
  <si>
    <t xml:space="preserve">HOUETCHEGNON Tognissè Alain</t>
  </si>
  <si>
    <t xml:space="preserve">HOUNKANRIN Jesutonwutu Prisca</t>
  </si>
  <si>
    <t xml:space="preserve">HOUNKPE Arnaud Ghislain Mahussi</t>
  </si>
  <si>
    <t xml:space="preserve">KARIMOU IBRAHIMA Amidou Bodah</t>
  </si>
  <si>
    <t xml:space="preserve">KOUAGOU Tchouga Agnès</t>
  </si>
  <si>
    <t xml:space="preserve">KOUMOI Tchilabalo Félix</t>
  </si>
  <si>
    <t xml:space="preserve">KONFO KINGNIDE R CHRISTIANE</t>
  </si>
  <si>
    <t xml:space="preserve">LEODE Essessi Pélagie</t>
  </si>
  <si>
    <t xml:space="preserve">LOBIYI Adédirant Narcisse</t>
  </si>
  <si>
    <t xml:space="preserve">MEHOUENOU Sévérin Codjo</t>
  </si>
  <si>
    <t xml:space="preserve">MIKO Sètondé Raphaël</t>
  </si>
  <si>
    <t xml:space="preserve">NOUKPLIGUIDI Martizl Fernand</t>
  </si>
  <si>
    <t xml:space="preserve">OLOGBADA Tayéwo Bayéfè Roufaï</t>
  </si>
  <si>
    <t xml:space="preserve">OLAREWADJOU Olaniran Djèmile</t>
  </si>
  <si>
    <t xml:space="preserve">SABI DESSIGUI Gnon Gani</t>
  </si>
  <si>
    <t xml:space="preserve">SANNI DEMON Arouna Djafarou</t>
  </si>
  <si>
    <t xml:space="preserve">SOGBOSSI Kokou Calixte</t>
  </si>
  <si>
    <t xml:space="preserve">TEKA Isac</t>
  </si>
  <si>
    <t xml:space="preserve">TIDJANI Clémence Tinikowa Moeste</t>
  </si>
  <si>
    <t xml:space="preserve">TOSSOU Colette</t>
  </si>
  <si>
    <t xml:space="preserve">TRINNOU Messanh Etienne</t>
  </si>
  <si>
    <t xml:space="preserve">VIDJOGNI Enawagnon Cossi</t>
  </si>
  <si>
    <t xml:space="preserve">ZITTI Romain Clément Agossou</t>
  </si>
  <si>
    <t xml:space="preserve">KONFFO Chritiane</t>
  </si>
  <si>
    <t xml:space="preserve">ADAMOU Zouma</t>
  </si>
  <si>
    <t xml:space="preserve">AGBOHOUTO Comlan Calixte</t>
  </si>
  <si>
    <t xml:space="preserve">AGBNIWO Victorin</t>
  </si>
  <si>
    <t xml:space="preserve">AGOHOUNDJE Claude</t>
  </si>
  <si>
    <t xml:space="preserve">AGOUNTCHEME S. Hortense</t>
  </si>
  <si>
    <t xml:space="preserve">AHLE Assiba Victoire</t>
  </si>
  <si>
    <t xml:space="preserve">AHOYO V.V. Michel</t>
  </si>
  <si>
    <t xml:space="preserve">AÏNOU Joêl Arsene V.L.F.</t>
  </si>
  <si>
    <t xml:space="preserve">AIZANNON Crespin Samuel</t>
  </si>
  <si>
    <t xml:space="preserve">AKABASSI SYMPHORIEN**</t>
  </si>
  <si>
    <t xml:space="preserve">ATCHAHA IDRISSOU Yaya</t>
  </si>
  <si>
    <t xml:space="preserve">AVINOU Samuel</t>
  </si>
  <si>
    <t xml:space="preserve">AWONTIME Maxim Ernest</t>
  </si>
  <si>
    <t xml:space="preserve">BANKOLE Albert</t>
  </si>
  <si>
    <t xml:space="preserve">BIO KPEREKE Yacoubou A.</t>
  </si>
  <si>
    <t xml:space="preserve">BOSSA Arielle Clotilde Sèdègnon</t>
  </si>
  <si>
    <t xml:space="preserve">BOUKARI Anous</t>
  </si>
  <si>
    <t xml:space="preserve">BOULOU MOUMOUNI Abdel-Fadel</t>
  </si>
  <si>
    <t xml:space="preserve">BOUNONWA D. Antoine Léonce</t>
  </si>
  <si>
    <t xml:space="preserve">BOUSSARI Adétona Faozane</t>
  </si>
  <si>
    <t xml:space="preserve">BOUSSOUNDE Machoudou</t>
  </si>
  <si>
    <t xml:space="preserve">CHITOU Raïmatou A. Ariké</t>
  </si>
  <si>
    <t xml:space="preserve">COFFI A. Adissa Nabyl</t>
  </si>
  <si>
    <t xml:space="preserve">da SILVA Modeste Crépin</t>
  </si>
  <si>
    <t xml:space="preserve">DANSI DAGA Félix</t>
  </si>
  <si>
    <t xml:space="preserve">DJEHOUE Job Oscar</t>
  </si>
  <si>
    <t xml:space="preserve">FAGNIDE T. Guy Hervé</t>
  </si>
  <si>
    <t xml:space="preserve">FAWANOU S. Hyppolyte</t>
  </si>
  <si>
    <t xml:space="preserve">GANSE Alda Violenne</t>
  </si>
  <si>
    <t xml:space="preserve">GOUROUGBEGBA Bio Guèra</t>
  </si>
  <si>
    <t xml:space="preserve">HONDI ASSAH  Clarence M.</t>
  </si>
  <si>
    <t xml:space="preserve">HOUEDOTE BernadinT.</t>
  </si>
  <si>
    <t xml:space="preserve">HOUNDEBASSO C. Jean-Pierre</t>
  </si>
  <si>
    <t xml:space="preserve">HOUNKOU Eugène K.</t>
  </si>
  <si>
    <t xml:space="preserve">HOUNSA D. Arsene Didier</t>
  </si>
  <si>
    <t xml:space="preserve">HOUNTONDJI A. YVON</t>
  </si>
  <si>
    <t xml:space="preserve">HOUNTONDJI Frésus</t>
  </si>
  <si>
    <t xml:space="preserve">KATCHON Abiodoun David</t>
  </si>
  <si>
    <t xml:space="preserve">KODOKOUI S. Arsène</t>
  </si>
  <si>
    <t xml:space="preserve">KPATINDE V. Jean Jaurès</t>
  </si>
  <si>
    <t xml:space="preserve">LOUKPE Saoudath Sabine</t>
  </si>
  <si>
    <t xml:space="preserve">MAMADOU ISSA Chams-Dine</t>
  </si>
  <si>
    <t xml:space="preserve">MAMOUNOU MASSARI Chabi K.</t>
  </si>
  <si>
    <t xml:space="preserve">MIKO GOHOUN Faustin</t>
  </si>
  <si>
    <t xml:space="preserve">MONRA MAMOUDOU Yaya</t>
  </si>
  <si>
    <t xml:space="preserve">MONTCHO Aubierge E.</t>
  </si>
  <si>
    <t xml:space="preserve">MOUVI Pauline Mèlé</t>
  </si>
  <si>
    <t xml:space="preserve">NASSAM Rosaline</t>
  </si>
  <si>
    <t xml:space="preserve">POGNON Codjo Firmin</t>
  </si>
  <si>
    <t xml:space="preserve">SABARI I. Abdoulaye</t>
  </si>
  <si>
    <t xml:space="preserve">SAÏZONOU G. Jolisse Inès</t>
  </si>
  <si>
    <t xml:space="preserve">SALIFOU Moustafa</t>
  </si>
  <si>
    <t xml:space="preserve">SEFANDE Joseph</t>
  </si>
  <si>
    <t xml:space="preserve">TCHEHO S. Josiane Olaïtan</t>
  </si>
  <si>
    <t xml:space="preserve">TEDE Marie Françoise</t>
  </si>
  <si>
    <t xml:space="preserve">TOSSOU D. Gilles Rodrigue Arnaud</t>
  </si>
  <si>
    <t xml:space="preserve">TOVIKINDE A. Carlos</t>
  </si>
  <si>
    <t xml:space="preserve">BOSSA TCHENAGNON R Ingrid</t>
  </si>
  <si>
    <t xml:space="preserve">ZINSOU S. Marc Fiacre</t>
  </si>
  <si>
    <t xml:space="preserve">ABDOULAYE Tchédé Talouth</t>
  </si>
  <si>
    <t xml:space="preserve">ABOKI E.Franck Ludovic</t>
  </si>
  <si>
    <t xml:space="preserve">ADJAOKE Abissi Marc</t>
  </si>
  <si>
    <t xml:space="preserve">AGASSOUNON N.T. Thècle</t>
  </si>
  <si>
    <t xml:space="preserve">AGBALENON Judith</t>
  </si>
  <si>
    <t xml:space="preserve">AGOSSA JOSIANE Bidossessi</t>
  </si>
  <si>
    <t xml:space="preserve">AGOUNTCHEME S.Pascal</t>
  </si>
  <si>
    <t xml:space="preserve">AHOGA H. Landry</t>
  </si>
  <si>
    <t xml:space="preserve">AHOSSI Sylvestre</t>
  </si>
  <si>
    <t xml:space="preserve">AKOTENOU Adodo Lidwine</t>
  </si>
  <si>
    <t xml:space="preserve">ALASSANE Idrissou</t>
  </si>
  <si>
    <t xml:space="preserve">ALLADAYE Sveeet Rodrigue</t>
  </si>
  <si>
    <t xml:space="preserve">ASSIHOU Gildas</t>
  </si>
  <si>
    <t xml:space="preserve">ASSONGBA Y.P. Dénis</t>
  </si>
  <si>
    <t xml:space="preserve">AWAZE Jules</t>
  </si>
  <si>
    <t xml:space="preserve">AZON A.Miguel C.</t>
  </si>
  <si>
    <t xml:space="preserve">BABIO B. Yacoubou</t>
  </si>
  <si>
    <t xml:space="preserve">BACHABI A. Kadiri</t>
  </si>
  <si>
    <t xml:space="preserve">BACHABI MAMA Fouad</t>
  </si>
  <si>
    <t xml:space="preserve">BIOKOU A. Christian</t>
  </si>
  <si>
    <t xml:space="preserve">BOHOUN Bernadette</t>
  </si>
  <si>
    <t xml:space="preserve">CODJIA Y. Euloge</t>
  </si>
  <si>
    <t xml:space="preserve">DAGASSA Cossi Roland</t>
  </si>
  <si>
    <t xml:space="preserve">DAKO Marie Rodrigue</t>
  </si>
  <si>
    <t xml:space="preserve">DATINNON Sourou Towanou Josaphal</t>
  </si>
  <si>
    <t xml:space="preserve">DJAGLO William Harold</t>
  </si>
  <si>
    <t xml:space="preserve">DJOSSIN Achille</t>
  </si>
  <si>
    <t xml:space="preserve">DJOUKLIKO Kossi KARLS</t>
  </si>
  <si>
    <t xml:space="preserve">DOGBLE Ablavi Edwige</t>
  </si>
  <si>
    <t xml:space="preserve">ESTEVE Tatiana Victoire</t>
  </si>
  <si>
    <t xml:space="preserve">FAMBO Cocouvi Oscar</t>
  </si>
  <si>
    <t xml:space="preserve">GANDAHO MIKO Robert</t>
  </si>
  <si>
    <t xml:space="preserve">GBEHO Binanzon Rouher</t>
  </si>
  <si>
    <t xml:space="preserve">GOUETE Adjoua Marie</t>
  </si>
  <si>
    <t xml:space="preserve">GOUNOU Boris Landry</t>
  </si>
  <si>
    <t xml:space="preserve">HOUESSOU Casimir</t>
  </si>
  <si>
    <t xml:space="preserve">HOUNYEME Bernard</t>
  </si>
  <si>
    <t xml:space="preserve">KINTOGANDOU Hervet</t>
  </si>
  <si>
    <t xml:space="preserve">KINTOHOU Kouessiba Chimène</t>
  </si>
  <si>
    <t xml:space="preserve">KOMBETTO Poua Robert</t>
  </si>
  <si>
    <t xml:space="preserve">KOTCHONI O.Y. Sara</t>
  </si>
  <si>
    <t xml:space="preserve">LEGBANON S. Ida</t>
  </si>
  <si>
    <t xml:space="preserve">N'DAH Alphonse</t>
  </si>
  <si>
    <t xml:space="preserve">N'DAH Tchanti</t>
  </si>
  <si>
    <t xml:space="preserve">NOUATIN Jésouton Théodore</t>
  </si>
  <si>
    <t xml:space="preserve">OTEKPO A. Aristide</t>
  </si>
  <si>
    <t xml:space="preserve">PIO Ferdinand Nasser</t>
  </si>
  <si>
    <t xml:space="preserve">SEIDOU CHABI Orou Zakari</t>
  </si>
  <si>
    <t xml:space="preserve">SODJI Barnabé</t>
  </si>
  <si>
    <t xml:space="preserve">TOSSA K. Berne Rodrigue</t>
  </si>
  <si>
    <t xml:space="preserve">ZANCLAN Karl D. Fréduce</t>
  </si>
  <si>
    <t xml:space="preserve">ZODOME Gildas</t>
  </si>
  <si>
    <t xml:space="preserve">AFFOUDA Adébissi David</t>
  </si>
  <si>
    <t xml:space="preserve">AKABASSI Sithon Baudelaire</t>
  </si>
  <si>
    <t xml:space="preserve">BIO BAGOU Guillaume</t>
  </si>
  <si>
    <t xml:space="preserve">CHABI GNINGOU Bio Rémy</t>
  </si>
  <si>
    <t xml:space="preserve">CHABI Omar Ismaël</t>
  </si>
  <si>
    <t xml:space="preserve">DAGAN Sourouy Bienvenu</t>
  </si>
  <si>
    <t xml:space="preserve">DAGBELOU Agossa Hervé</t>
  </si>
  <si>
    <t xml:space="preserve">DAGNITO Cossi JUSTIN</t>
  </si>
  <si>
    <t xml:space="preserve">DEHA ZOHOUN Prudence C. Médard</t>
  </si>
  <si>
    <t xml:space="preserve">DEKPE Ahouéfa Judith Aurore</t>
  </si>
  <si>
    <t xml:space="preserve">DELIDJI Kouamé Marcien</t>
  </si>
  <si>
    <t xml:space="preserve">do REGO Oladjouhon W. Arsène A.</t>
  </si>
  <si>
    <t xml:space="preserve">DOHOUNGBO Philippe</t>
  </si>
  <si>
    <t xml:space="preserve">EDJO Ogoussanya Odreye</t>
  </si>
  <si>
    <t xml:space="preserve">GBEGNON S. Irené</t>
  </si>
  <si>
    <t xml:space="preserve">KINGNIDE Adémonla Moïse</t>
  </si>
  <si>
    <t xml:space="preserve">KINKPE Roméo</t>
  </si>
  <si>
    <t xml:space="preserve">KINNOUDO Sessi Barrès</t>
  </si>
  <si>
    <t xml:space="preserve">OBE Ogoundélé Noël</t>
  </si>
  <si>
    <t xml:space="preserve">OROU BANRAN Dagui</t>
  </si>
  <si>
    <t xml:space="preserve">OROU KODE Farouk</t>
  </si>
  <si>
    <t xml:space="preserve">SABI MASSO Orou Barigui</t>
  </si>
  <si>
    <t xml:space="preserve">SAMADI Florent</t>
  </si>
  <si>
    <t xml:space="preserve">ZONATCHIA G. Gildas</t>
  </si>
  <si>
    <t xml:space="preserve">ZONATCHIA N. Serges</t>
  </si>
  <si>
    <t xml:space="preserve">ADE K. Valery</t>
  </si>
  <si>
    <t xml:space="preserve">ADIMI C. A. Armand</t>
  </si>
  <si>
    <t xml:space="preserve">AGBALLA B. A. R. Adjib</t>
  </si>
  <si>
    <t xml:space="preserve">AKPO O. Françis</t>
  </si>
  <si>
    <t xml:space="preserve">AZABOU H. Pamphile</t>
  </si>
  <si>
    <t xml:space="preserve">BAGUIRI Yarou Farouk</t>
  </si>
  <si>
    <t xml:space="preserve">BAWA B. Idrissou Hamidou</t>
  </si>
  <si>
    <t xml:space="preserve">CECILIO Verdal Servère</t>
  </si>
  <si>
    <t xml:space="preserve">DAVITO A. Colette</t>
  </si>
  <si>
    <t xml:space="preserve">DIDAVI Laetilia</t>
  </si>
  <si>
    <t xml:space="preserve">DINALON N. Michel</t>
  </si>
  <si>
    <t xml:space="preserve">DJOGNINOU Arnaud</t>
  </si>
  <si>
    <t xml:space="preserve">EL-Hadj A.B. MALIKI</t>
  </si>
  <si>
    <t xml:space="preserve">Fanou y. Arnaud</t>
  </si>
  <si>
    <t xml:space="preserve">HONVO Gontran Emmanuel</t>
  </si>
  <si>
    <t xml:space="preserve">LOKONON Marc AUREL</t>
  </si>
  <si>
    <t xml:space="preserve">MAMA ABDOUL Razack</t>
  </si>
  <si>
    <t xml:space="preserve">OROU WARA Issifou</t>
  </si>
  <si>
    <t xml:space="preserve">OUOROU B.Z. Karimou</t>
  </si>
  <si>
    <t xml:space="preserve">SAMSON ODOU Magloire Honoré B.</t>
  </si>
  <si>
    <t xml:space="preserve">SANNI DEMON AROUNA Abdel Razakou</t>
  </si>
  <si>
    <t xml:space="preserve">SIDI MAMA Séro Naffiou</t>
  </si>
  <si>
    <t xml:space="preserve">SOSSOU B. Abdon Achille</t>
  </si>
  <si>
    <t xml:space="preserve">SOULE SALIFOU Nouhoun</t>
  </si>
  <si>
    <t xml:space="preserve">TEKO Kouassivi Euloge</t>
  </si>
  <si>
    <t xml:space="preserve">TIAMIOU SALAOU Moussibaou</t>
  </si>
  <si>
    <t xml:space="preserve">TOHOUEGNON GOUDJO C. Romain</t>
  </si>
  <si>
    <t xml:space="preserve">TOUMOUDAGOU N'tcha</t>
  </si>
  <si>
    <t xml:space="preserve">AGBAZE J. Célentin</t>
  </si>
  <si>
    <t xml:space="preserve">AGBOHOUTO Edmond F.</t>
  </si>
  <si>
    <t xml:space="preserve">AGBOSSOU S. Romuald D.</t>
  </si>
  <si>
    <t xml:space="preserve">AHOKPOSSI Finagnon T.Rodrigue</t>
  </si>
  <si>
    <t xml:space="preserve">AIZEHOUN Sourou Julien</t>
  </si>
  <si>
    <t xml:space="preserve">ASSOGBA Téglo Augustin</t>
  </si>
  <si>
    <t xml:space="preserve">BANKOLE Justin</t>
  </si>
  <si>
    <t xml:space="preserve">BOKOSSA Dossou-Coco Modeste</t>
  </si>
  <si>
    <t xml:space="preserve">CHABI A. Childéric A.</t>
  </si>
  <si>
    <t xml:space="preserve">CHABI SIME Chérif Nourou Dine</t>
  </si>
  <si>
    <t xml:space="preserve">DANDJINOU Arnauld Jean Luc Sourou A.</t>
  </si>
  <si>
    <t xml:space="preserve">DOHOU G.N. Augustino E.</t>
  </si>
  <si>
    <t xml:space="preserve">DOHOUNZO BYLL Aldo</t>
  </si>
  <si>
    <t xml:space="preserve">DOVONOU David</t>
  </si>
  <si>
    <t xml:space="preserve">FABO Romaric Mahoungnon</t>
  </si>
  <si>
    <t xml:space="preserve">GBADO Kokou Alexandre</t>
  </si>
  <si>
    <t xml:space="preserve">GBANKOTO Joël Isdine</t>
  </si>
  <si>
    <t xml:space="preserve">GBETOGA Aristide</t>
  </si>
  <si>
    <t xml:space="preserve">GNANGLE Dossa Hébert</t>
  </si>
  <si>
    <t xml:space="preserve">GODJI Arouna Ibrahim</t>
  </si>
  <si>
    <t xml:space="preserve">HOUEDANOU Codjo Jean l'Apôtre</t>
  </si>
  <si>
    <t xml:space="preserve">HOUNDJI Vignilé Adonis</t>
  </si>
  <si>
    <t xml:space="preserve">HOUNGUIA Z. M. Serge</t>
  </si>
  <si>
    <t xml:space="preserve">HOUNSA Ghislain</t>
  </si>
  <si>
    <t xml:space="preserve">HOUNTO-ADA Ulrich William</t>
  </si>
  <si>
    <t xml:space="preserve">IBRAHIM Salyou</t>
  </si>
  <si>
    <t xml:space="preserve">KOSSOUHO Sèmako W.G.euloge</t>
  </si>
  <si>
    <t xml:space="preserve">LANDOZI Saharou</t>
  </si>
  <si>
    <t xml:space="preserve">LOKONON E. Vignonce</t>
  </si>
  <si>
    <t xml:space="preserve">MONDEGNON Amègniahoué A.F.</t>
  </si>
  <si>
    <t xml:space="preserve">ODJO Adéchina Afissou</t>
  </si>
  <si>
    <t xml:space="preserve">SOUMAILA Alilou Abdel K.</t>
  </si>
  <si>
    <t xml:space="preserve">YACOUBOU Moucharaf</t>
  </si>
  <si>
    <t xml:space="preserve">YATAKPO O.R. Comlan G.</t>
  </si>
  <si>
    <t xml:space="preserve">ZODOGANHOU Armel</t>
  </si>
  <si>
    <t xml:space="preserve">ADJINAKOU Amadji Didier</t>
  </si>
  <si>
    <t xml:space="preserve">AGONKPAHOUN Arcadius N.</t>
  </si>
  <si>
    <t xml:space="preserve">AÏNA Michel</t>
  </si>
  <si>
    <t xml:space="preserve">AKOTCHENOUDE N. Septime</t>
  </si>
  <si>
    <t xml:space="preserve">AKOWANOU D. Armelle</t>
  </si>
  <si>
    <t xml:space="preserve">APITHY Serges</t>
  </si>
  <si>
    <t xml:space="preserve">ATCHAHOUE C. Gilbert</t>
  </si>
  <si>
    <t xml:space="preserve">CHICOTO H. Rémy</t>
  </si>
  <si>
    <t xml:space="preserve">DJESSIN T. Dieu-Donné</t>
  </si>
  <si>
    <t xml:space="preserve">EZIN Nestor</t>
  </si>
  <si>
    <t xml:space="preserve">GBAGUIDI T. Sostène</t>
  </si>
  <si>
    <t xml:space="preserve">HOUEHOUNDE C. Romain</t>
  </si>
  <si>
    <t xml:space="preserve">HOUNKPE Roméo</t>
  </si>
  <si>
    <t xml:space="preserve">KAKPOVI Isidore</t>
  </si>
  <si>
    <t xml:space="preserve">KOUOLA Ahmed</t>
  </si>
  <si>
    <t xml:space="preserve">LOKO Sessinou N. Ronald Moro</t>
  </si>
  <si>
    <t xml:space="preserve">SANSAN Fabrice E.</t>
  </si>
  <si>
    <t xml:space="preserve">SEGOUN A. Aline</t>
  </si>
  <si>
    <t xml:space="preserve">SETO Codjo Henri</t>
  </si>
  <si>
    <t xml:space="preserve">SOGBOSSI Christophe</t>
  </si>
  <si>
    <t xml:space="preserve">TCHOROPA SOUROU Faustin</t>
  </si>
  <si>
    <t xml:space="preserve">TOLEGBANON Christophe</t>
  </si>
  <si>
    <t xml:space="preserve">TONON D. Sévérin</t>
  </si>
  <si>
    <t xml:space="preserve">TOSSOU B. ULRICH Thiery</t>
  </si>
  <si>
    <t xml:space="preserve">TOSSOU MESSAN Hypolite</t>
  </si>
  <si>
    <t xml:space="preserve">ADIMI Esaïe O. Sammuel</t>
  </si>
  <si>
    <t xml:space="preserve">ADJASSA Abel</t>
  </si>
  <si>
    <t xml:space="preserve">ADOKO Chritiane</t>
  </si>
  <si>
    <t xml:space="preserve">AKAKPO K. PATRICE</t>
  </si>
  <si>
    <t xml:space="preserve">AKPACA Léon Pascal</t>
  </si>
  <si>
    <t xml:space="preserve">ALAPINI Rock</t>
  </si>
  <si>
    <t xml:space="preserve">ALASSANE ALI Moussa</t>
  </si>
  <si>
    <t xml:space="preserve">ALAYE Hermann O.C.</t>
  </si>
  <si>
    <t xml:space="preserve">AMOUSSOU C. Paulin</t>
  </si>
  <si>
    <t xml:space="preserve">AZONDEKON M. Brigitte F.</t>
  </si>
  <si>
    <t xml:space="preserve">BENTO Blaise</t>
  </si>
  <si>
    <t xml:space="preserve">DJIBRIL Manzour</t>
  </si>
  <si>
    <t xml:space="preserve">DJOI Arnaud S.</t>
  </si>
  <si>
    <t xml:space="preserve">DOGBOVI  Eli</t>
  </si>
  <si>
    <t xml:space="preserve">FATIOU Abdel GAFAR</t>
  </si>
  <si>
    <t xml:space="preserve">GBAGUIDI Léonce Juste H.</t>
  </si>
  <si>
    <t xml:space="preserve">GBEDOLO Hermès G.A.</t>
  </si>
  <si>
    <t xml:space="preserve">HINVIGA Vivien Kocou</t>
  </si>
  <si>
    <t xml:space="preserve">HODONOU C. Dominique</t>
  </si>
  <si>
    <t xml:space="preserve">HOUEGBELO M. Quenette</t>
  </si>
  <si>
    <t xml:space="preserve">HOUNMASSE Cosme</t>
  </si>
  <si>
    <t xml:space="preserve">KAKANAKOU D. Théault</t>
  </si>
  <si>
    <t xml:space="preserve">KIOSSA S. Espédit</t>
  </si>
  <si>
    <t xml:space="preserve">LOKA Soumaïla</t>
  </si>
  <si>
    <t xml:space="preserve">NAHUM Coffi</t>
  </si>
  <si>
    <t xml:space="preserve">OLOU A. Eric Césaire</t>
  </si>
  <si>
    <t xml:space="preserve">SEIDOU Aboudou Riyal</t>
  </si>
  <si>
    <t xml:space="preserve">SOUMAHO Stanisla</t>
  </si>
  <si>
    <t xml:space="preserve">SYLVAIN NASSAM DJAFFO Augustin</t>
  </si>
  <si>
    <t xml:space="preserve">TONAHIN H. Anicet</t>
  </si>
  <si>
    <t xml:space="preserve">TOSSAVI Bruno D.</t>
  </si>
  <si>
    <t xml:space="preserve">YACOBI  Kouessi Michel</t>
  </si>
  <si>
    <t xml:space="preserve">VARISSOU Idriss A.</t>
  </si>
  <si>
    <t xml:space="preserve">HOUEGBEME S. Jules</t>
  </si>
  <si>
    <t xml:space="preserve">HOUESSOUVO K. Alfred</t>
  </si>
  <si>
    <t xml:space="preserve">                                </t>
  </si>
  <si>
    <t xml:space="preserve">GE 2</t>
  </si>
  <si>
    <t xml:space="preserve">ADJIBA Délé Wilfried Thiburce</t>
  </si>
  <si>
    <t xml:space="preserve">ADOUKONOU Modeste</t>
  </si>
  <si>
    <t xml:space="preserve">AGBAMAHOU Carmel</t>
  </si>
  <si>
    <t xml:space="preserve">AHOKPE Arnaud Rodrigue Joël</t>
  </si>
  <si>
    <t xml:space="preserve">AVADIN Damien Roland Z.</t>
  </si>
  <si>
    <t xml:space="preserve">AZONSI Auguste Joël A.</t>
  </si>
  <si>
    <t xml:space="preserve">ABOUBAKAR KâmIou Mora</t>
  </si>
  <si>
    <t xml:space="preserve">BOUKARI Fayçal</t>
  </si>
  <si>
    <t xml:space="preserve">BOYA Hilaire</t>
  </si>
  <si>
    <t xml:space="preserve">do REGO Madjidi</t>
  </si>
  <si>
    <t xml:space="preserve">KPOAHOUN Yaovi Antonio</t>
  </si>
  <si>
    <t xml:space="preserve">KPOGLA Yaovi Innocent</t>
  </si>
  <si>
    <t xml:space="preserve">MENSAH Ayivi Amégnizin J.</t>
  </si>
  <si>
    <t xml:space="preserve">ODOU Soumaïla</t>
  </si>
  <si>
    <t xml:space="preserve">SANDA SIDI M. Adéyèmi</t>
  </si>
  <si>
    <t xml:space="preserve">TONOUKOIN Médard A.</t>
  </si>
  <si>
    <t xml:space="preserve">TOSSOU G.W.T.Serge</t>
  </si>
  <si>
    <t xml:space="preserve">ZIBO Salim</t>
  </si>
  <si>
    <t xml:space="preserve">GE 3</t>
  </si>
  <si>
    <t xml:space="preserve">ADJOVI Marcel C. K.</t>
  </si>
  <si>
    <t xml:space="preserve">AGBANGLANON Judicaël</t>
  </si>
  <si>
    <t xml:space="preserve">AHOUMENOU Rock Péter</t>
  </si>
  <si>
    <t xml:space="preserve">AKOTOMEY SEHOU Rodrigue Frédy</t>
  </si>
  <si>
    <t xml:space="preserve">DJOGNINOU N. Crépin</t>
  </si>
  <si>
    <t xml:space="preserve">DOSSOU B. Barthélémy</t>
  </si>
  <si>
    <t xml:space="preserve">GBEDAN A. Filibert</t>
  </si>
  <si>
    <t xml:space="preserve">HOUEDANOU Rosaire Oscar</t>
  </si>
  <si>
    <t xml:space="preserve">HOUEHA K. Auguste Rodrigue</t>
  </si>
  <si>
    <t xml:space="preserve">METOGNIZO C. Martin Gilas</t>
  </si>
  <si>
    <t xml:space="preserve">SONON Sèna Ernest</t>
  </si>
  <si>
    <t xml:space="preserve">SOVI-GUIDI Wilfried S.</t>
  </si>
  <si>
    <t xml:space="preserve">TOCHENALI Jody</t>
  </si>
  <si>
    <t xml:space="preserve">TOKPASSI Donald Placide</t>
  </si>
  <si>
    <t xml:space="preserve">TOKPE Golfrid Télesphore Pierre</t>
  </si>
  <si>
    <t xml:space="preserve">YETONNOU Alain Sèdjolo</t>
  </si>
  <si>
    <t xml:space="preserve">GE 4</t>
  </si>
  <si>
    <t xml:space="preserve">ABBEY S. Marcellin</t>
  </si>
  <si>
    <t xml:space="preserve">AHOUANGONOU B.F. Rubens</t>
  </si>
  <si>
    <t xml:space="preserve">ALAPINI Angèle</t>
  </si>
  <si>
    <t xml:space="preserve">AMOUSSOU Armel Eugène S.</t>
  </si>
  <si>
    <t xml:space="preserve">GANDONOU Saturnin</t>
  </si>
  <si>
    <t xml:space="preserve">GANYE Constantin</t>
  </si>
  <si>
    <t xml:space="preserve">IDRISSOU Ismaïla</t>
  </si>
  <si>
    <t xml:space="preserve">NOUNAWA M. Pierre</t>
  </si>
  <si>
    <t xml:space="preserve">SETONDJI DEFODJI C.Alphonse</t>
  </si>
  <si>
    <t xml:space="preserve">SOGLO K. Fredy A.</t>
  </si>
  <si>
    <t xml:space="preserve">                         </t>
  </si>
  <si>
    <t xml:space="preserve">VIDEGLA Cakpo Thierry Leger</t>
  </si>
  <si>
    <t xml:space="preserve">MI 2</t>
  </si>
  <si>
    <t xml:space="preserve">AGOSSOU Désiré Honoré Y.</t>
  </si>
  <si>
    <t xml:space="preserve">AÏKPE Gbémahonmèdé Joslin</t>
  </si>
  <si>
    <t xml:space="preserve">AMOUSSOUGA Zannou Rodolphe</t>
  </si>
  <si>
    <t xml:space="preserve">AZONSI Hyppolite Kokou Macleane</t>
  </si>
  <si>
    <t xml:space="preserve">BALLE Tchègoun</t>
  </si>
  <si>
    <t xml:space="preserve">DJAHO Honoré</t>
  </si>
  <si>
    <t xml:space="preserve">DOSSOU Djidjoho David Hector</t>
  </si>
  <si>
    <t xml:space="preserve">EHAKO Sènami M. Lucrèce</t>
  </si>
  <si>
    <t xml:space="preserve">GANDAHO Christian Romuald G.S.</t>
  </si>
  <si>
    <t xml:space="preserve">GBAGUIDI Dèlongnon Maxime</t>
  </si>
  <si>
    <t xml:space="preserve">GNONLONFIN D. Hubert Guy</t>
  </si>
  <si>
    <t xml:space="preserve">HOUNGANDAN Dieu-Donné Nestor</t>
  </si>
  <si>
    <t xml:space="preserve">KOUMAPLE Olivier  Hihéloto</t>
  </si>
  <si>
    <t xml:space="preserve">MADODE N. Yvette Josette L.</t>
  </si>
  <si>
    <t xml:space="preserve">NAGBE GUY Rock Rachid O.A.</t>
  </si>
  <si>
    <t xml:space="preserve">OLLIVIER DE MONTAGUERE Joël Ronald</t>
  </si>
  <si>
    <t xml:space="preserve">TOSSOU Dénis Léonard</t>
  </si>
  <si>
    <t xml:space="preserve">MI 3</t>
  </si>
  <si>
    <t xml:space="preserve">ADJOTE Koffi Julien</t>
  </si>
  <si>
    <t xml:space="preserve">AGOSSOU A. Aristide</t>
  </si>
  <si>
    <t xml:space="preserve">AGOSSOU Y. Edgard Achille</t>
  </si>
  <si>
    <t xml:space="preserve">AHOKPOSSI D. Agbéchéley</t>
  </si>
  <si>
    <t xml:space="preserve">CHEOU T. Maxime Patient</t>
  </si>
  <si>
    <t xml:space="preserve">DANDJO Paul Dossou</t>
  </si>
  <si>
    <t xml:space="preserve">GNONLONFOUN Coffi Florent</t>
  </si>
  <si>
    <t xml:space="preserve">HOUNYOVI Z. EH. Fidèle</t>
  </si>
  <si>
    <t xml:space="preserve">MENSAH K. Jean-Baptiste</t>
  </si>
  <si>
    <t xml:space="preserve">PADONOU Jean-Paul</t>
  </si>
  <si>
    <t xml:space="preserve">SEGOUN Euloge Constantin</t>
  </si>
  <si>
    <t xml:space="preserve">SEHOUNOU Jean-Luc</t>
  </si>
  <si>
    <t xml:space="preserve">ZOUMAROU WALLIS Mariam Bôdah</t>
  </si>
  <si>
    <t xml:space="preserve">MI 4</t>
  </si>
  <si>
    <t xml:space="preserve">ADJANOHOUN Bertrand K.D.</t>
  </si>
  <si>
    <t xml:space="preserve">ADJEHOUNOU Charly</t>
  </si>
  <si>
    <t xml:space="preserve">AGBLONON HOUELOME Justhe</t>
  </si>
  <si>
    <t xml:space="preserve">ATTOLOU G. Pacôme</t>
  </si>
  <si>
    <t xml:space="preserve">CODJO G. Simon</t>
  </si>
  <si>
    <t xml:space="preserve">GOUDJANOU Baudelaire Sourou</t>
  </si>
  <si>
    <t xml:space="preserve">HOUEDANOU S. Angelo</t>
  </si>
  <si>
    <t xml:space="preserve">SOVI-GUIDI Edgard C.</t>
  </si>
  <si>
    <t xml:space="preserve">TOHOUNTA D. Alexis</t>
  </si>
  <si>
    <t xml:space="preserve">ZIMONSE Léonce Hervé</t>
  </si>
  <si>
    <t xml:space="preserve">GR 2</t>
  </si>
  <si>
    <t xml:space="preserve">ADJINDA Héri SURU</t>
  </si>
  <si>
    <t xml:space="preserve">ALLAGBE Fidègnon Appolinaire</t>
  </si>
  <si>
    <t xml:space="preserve">ATINDEHOU Tognissè Didier Don-José</t>
  </si>
  <si>
    <t xml:space="preserve">BAGUIRI GOUNOU YERIMA Sanwill</t>
  </si>
  <si>
    <t xml:space="preserve">BATCHO Thibaut</t>
  </si>
  <si>
    <t xml:space="preserve">CAKPO Bénédicte</t>
  </si>
  <si>
    <t xml:space="preserve">DASSI Finagnon Marc Arnaud Constantin</t>
  </si>
  <si>
    <t xml:space="preserve">DJEHOUNGO Patrick Rodrigue Gabin</t>
  </si>
  <si>
    <t xml:space="preserve">DOKOTO SAKA Bana Ganigui</t>
  </si>
  <si>
    <t xml:space="preserve">GANGNON René Claude</t>
  </si>
  <si>
    <t xml:space="preserve">KATA BIENVENU</t>
  </si>
  <si>
    <t xml:space="preserve">KPODONOU Hector</t>
  </si>
  <si>
    <t xml:space="preserve">OUNDJE Lambert</t>
  </si>
  <si>
    <t xml:space="preserve">TAMBOGO Sabi Warigui</t>
  </si>
  <si>
    <t xml:space="preserve">ZINHOUIN Appolinaire</t>
  </si>
  <si>
    <t xml:space="preserve">GR 3</t>
  </si>
  <si>
    <t xml:space="preserve">ANAGONOU Coffi FIRMIN</t>
  </si>
  <si>
    <t xml:space="preserve">ASSOUMA Yaya</t>
  </si>
  <si>
    <t xml:space="preserve">AWADJETINDE Amoussou André</t>
  </si>
  <si>
    <t xml:space="preserve">BALOGOUN YOLOU Ogoudjè Eric</t>
  </si>
  <si>
    <t xml:space="preserve">BARKA Sara</t>
  </si>
  <si>
    <t xml:space="preserve">BIAOU Françis</t>
  </si>
  <si>
    <t xml:space="preserve">BIO BERI IsmaÏl</t>
  </si>
  <si>
    <t xml:space="preserve">DAH MIGNONGBONON Akouégnon J.W.</t>
  </si>
  <si>
    <t xml:space="preserve">DJIDOHOUN Seyl</t>
  </si>
  <si>
    <t xml:space="preserve">GNONLONFOUN T.C. Louis</t>
  </si>
  <si>
    <t xml:space="preserve">KARIMOU Ibrahim</t>
  </si>
  <si>
    <t xml:space="preserve">OUAGOUSSOUNON Bani Baga</t>
  </si>
  <si>
    <t xml:space="preserve">ZOHOUNGBE Codjo Leroy Porrès</t>
  </si>
  <si>
    <t xml:space="preserve">ZOMAHOUN O. Diane Lydie R.</t>
  </si>
  <si>
    <t xml:space="preserve">GR 4</t>
  </si>
  <si>
    <t xml:space="preserve">AKIN Tayéwo Cosme</t>
  </si>
  <si>
    <t xml:space="preserve">ALADJI MOKO ASSOUMA Alidou</t>
  </si>
  <si>
    <t xml:space="preserve">AMADOU GUIRA K. Brice Ahmed</t>
  </si>
  <si>
    <t xml:space="preserve">BEHANZIN Eloi</t>
  </si>
  <si>
    <t xml:space="preserve">DANGNIGBE Edemond Christian</t>
  </si>
  <si>
    <t xml:space="preserve">GNAMBODE M. Amen</t>
  </si>
  <si>
    <t xml:space="preserve">GOUSSI Renaud C;</t>
  </si>
  <si>
    <t xml:space="preserve">GUELIFO Etienne</t>
  </si>
  <si>
    <t xml:space="preserve">HOUENOU Armand Joachin M.</t>
  </si>
  <si>
    <t xml:space="preserve">HOUESSOU M. Ghislain</t>
  </si>
  <si>
    <t xml:space="preserve">HOUNSOU S. Philippe</t>
  </si>
  <si>
    <t xml:space="preserve">KOBA K. B. Aristide</t>
  </si>
  <si>
    <t xml:space="preserve">LEDEDJI S. Gérard</t>
  </si>
  <si>
    <t xml:space="preserve">MAHOUTONDJI Agossou ALBERT</t>
  </si>
  <si>
    <t xml:space="preserve">OBOSSOU O.K. Marcellin Gilles</t>
  </si>
  <si>
    <t xml:space="preserve">RADJI Mouritala Mohamed Ayindé</t>
  </si>
  <si>
    <t xml:space="preserve">SOSSOU Neville Eloi</t>
  </si>
  <si>
    <t xml:space="preserve">VISSOH G. Alain</t>
  </si>
  <si>
    <t xml:space="preserve">WOUINSA Yémalin Yves</t>
  </si>
  <si>
    <t xml:space="preserve">AGBOMASSOU Akolègnon Auguste</t>
  </si>
  <si>
    <t xml:space="preserve">AGOSSOU Ernestine</t>
  </si>
  <si>
    <t xml:space="preserve">AHOKPE Jean Paul</t>
  </si>
  <si>
    <t xml:space="preserve">AINAN O. Germaine</t>
  </si>
  <si>
    <t xml:space="preserve">AMOUYEWA Adanhodé Paul Raoul</t>
  </si>
  <si>
    <t xml:space="preserve">BELLO Djèlilatou</t>
  </si>
  <si>
    <t xml:space="preserve">DJABOUTOUBOUTOU Jèmilath</t>
  </si>
  <si>
    <t xml:space="preserve">GBANON Sourou Martial</t>
  </si>
  <si>
    <t xml:space="preserve">GBOKPA BOCO Parfait Landry</t>
  </si>
  <si>
    <t xml:space="preserve">GLADJA  Ephrem</t>
  </si>
  <si>
    <t xml:space="preserve">GNIMAVO Eudoxie</t>
  </si>
  <si>
    <t xml:space="preserve">GOUNOU KORA Rachidatou</t>
  </si>
  <si>
    <t xml:space="preserve">KPELI Christiane Floriane</t>
  </si>
  <si>
    <t xml:space="preserve">KPENOU NASSI Bidossessi Clément</t>
  </si>
  <si>
    <t xml:space="preserve">MIKO S.Raphaël</t>
  </si>
  <si>
    <t xml:space="preserve">MOUSSA Mouniratou</t>
  </si>
  <si>
    <t xml:space="preserve">SOTODONOU Tobi Daniel</t>
  </si>
  <si>
    <t xml:space="preserve">SOWANOU Emmanuel</t>
  </si>
  <si>
    <t xml:space="preserve">TCHOKPONHOUE Sènagbè Saturnin</t>
  </si>
  <si>
    <t xml:space="preserve">YAYA Amadine Rékia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</si>
  <si>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HYDRAULIQUE</t>
    </r>
  </si>
  <si>
    <t xml:space="preserve">ADJANONHOUN K. Arnaud</t>
  </si>
  <si>
    <t xml:space="preserve">AHOMADIKPOHOU Sèmondji FRANCK</t>
  </si>
  <si>
    <t xml:space="preserve">AKPAKI Monréti Salomon</t>
  </si>
  <si>
    <t xml:space="preserve">AMADOU BAH Mouhaman Fayçal</t>
  </si>
  <si>
    <t xml:space="preserve">AROUNKO Cossi jérôme</t>
  </si>
  <si>
    <t xml:space="preserve">BOKODAHO Coffi Etienne</t>
  </si>
  <si>
    <t xml:space="preserve">HINNOU Roméo Oswald</t>
  </si>
  <si>
    <t xml:space="preserve">KEDJI Mègan Martial</t>
  </si>
  <si>
    <t xml:space="preserve">NOUKPOWAKOU S.G. Romaric</t>
  </si>
  <si>
    <t xml:space="preserve">SEFANDE BENJAMIN</t>
  </si>
  <si>
    <t xml:space="preserve">SODJINOU APHONSE</t>
  </si>
  <si>
    <t xml:space="preserve">SOKPE Donatien</t>
  </si>
  <si>
    <t xml:space="preserve">KPATCHIA Urbain</t>
  </si>
  <si>
    <t xml:space="preserve">SOSSOU-LOKO Ralph Nicodème Coovi</t>
  </si>
  <si>
    <t xml:space="preserve">YOVOGAN Cossi Pascal Eric</t>
  </si>
  <si>
    <t xml:space="preserve">ADINGNI Jean</t>
  </si>
  <si>
    <t xml:space="preserve">ADJANAN A. Yacoubou</t>
  </si>
  <si>
    <t xml:space="preserve">AGBAN Zinsou MARCELLIN</t>
  </si>
  <si>
    <t xml:space="preserve">AIDEKON  Gabin</t>
  </si>
  <si>
    <t xml:space="preserve">ALIGBONON Y. Clotilde</t>
  </si>
  <si>
    <t xml:space="preserve">ASSEDE Rock Joachim Gilles</t>
  </si>
  <si>
    <t xml:space="preserve">DOUAKOUTCHE Jël François</t>
  </si>
  <si>
    <t xml:space="preserve">GANDAHO Aïgba Crépin</t>
  </si>
  <si>
    <t xml:space="preserve">KODJOGBE Jean-Baptiste Epiphane</t>
  </si>
  <si>
    <t xml:space="preserve">LOKOSSOU A.Alphonse</t>
  </si>
  <si>
    <t xml:space="preserve">LOKOSSOU Giscard Brice</t>
  </si>
  <si>
    <t xml:space="preserve">MOUSSA ALASSOLE Kamarou D.</t>
  </si>
  <si>
    <t xml:space="preserve">OKE Y.Yves</t>
  </si>
  <si>
    <t xml:space="preserve">POGNON Arnaud Joël</t>
  </si>
  <si>
    <t xml:space="preserve">QUENUM Emile ConstantinC.</t>
  </si>
  <si>
    <t xml:space="preserve">SOSSOU Diane</t>
  </si>
  <si>
    <t xml:space="preserve">VITOULEY Makponsè Aristide</t>
  </si>
  <si>
    <t xml:space="preserve">AGBLO Jacques Christian</t>
  </si>
  <si>
    <t xml:space="preserve">AKETEKPE K. Hervé</t>
  </si>
  <si>
    <t xml:space="preserve">ALOMAFAN T. Euloge Prudent</t>
  </si>
  <si>
    <t xml:space="preserve">BLEOSSI C. David</t>
  </si>
  <si>
    <t xml:space="preserve">DEGBEY Daniel</t>
  </si>
  <si>
    <t xml:space="preserve">HOUNDONOUGBO C. Amour Florent</t>
  </si>
  <si>
    <t xml:space="preserve">HOUNGLA C.T. Pierrot Guy</t>
  </si>
  <si>
    <t xml:space="preserve">HOUNKANDJI  Koffi Jacques</t>
  </si>
  <si>
    <t xml:space="preserve">KOUADJA A. Syvestre Hermann</t>
  </si>
  <si>
    <t xml:space="preserve">MADJA Kokou Dieudonné</t>
  </si>
  <si>
    <t xml:space="preserve">MELE Jeannot Kamal</t>
  </si>
  <si>
    <t xml:space="preserve">N'TCHA O, Hyppolite</t>
  </si>
  <si>
    <t xml:space="preserve">SOUMANOU O.B. Issiaka</t>
  </si>
  <si>
    <t xml:space="preserve">TCHEHOUALI Y. Flavien</t>
  </si>
  <si>
    <t xml:space="preserve">TOGBE Sédalor Dominique</t>
  </si>
  <si>
    <t xml:space="preserve">ZINSOU K. S. Emile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</si>
</sst>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43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i val="true"/>
      <sz val="12"/>
      <color theme="9"/>
      <name val="Calibri"/>
      <family val="0"/>
      <charset val="134"/>
    </font>
    <font>
      <b val="true"/>
      <i val="true"/>
      <sz val="12"/>
      <color rgb="FFFF0000"/>
      <name val="Calibri"/>
      <family val="0"/>
      <charset val="134"/>
    </font>
    <font>
      <b val="true"/>
      <i val="true"/>
      <sz val="12"/>
      <color rgb="FF00B05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theme="1"/>
      <name val="Albertus"/>
      <family val="0"/>
      <charset val="134"/>
    </font>
    <font>
      <sz val="10"/>
      <color theme="1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b val="true"/>
      <sz val="14"/>
      <color theme="9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b val="true"/>
      <sz val="14"/>
      <color theme="1"/>
      <name val="Calibri"/>
      <family val="0"/>
      <charset val="134"/>
    </font>
    <font>
      <sz val="9"/>
      <color theme="1"/>
      <name val="Calibri"/>
      <family val="0"/>
      <charset val="134"/>
    </font>
    <font>
      <sz val="8.5"/>
      <color theme="1"/>
      <name val="Calibri"/>
      <family val="0"/>
      <charset val="134"/>
    </font>
    <font>
      <b val="true"/>
      <sz val="14"/>
      <color rgb="FFFFC000"/>
      <name val="Calibri"/>
      <family val="0"/>
      <charset val="134"/>
    </font>
    <font>
      <b val="true"/>
      <sz val="12"/>
      <color rgb="FFFF0000"/>
      <name val="Albertus Extra Bold"/>
      <family val="0"/>
      <charset val="134"/>
    </font>
    <font>
      <b val="true"/>
      <i val="true"/>
      <sz val="14"/>
      <color theme="1"/>
      <name val="Calibri"/>
      <family val="0"/>
      <charset val="134"/>
    </font>
    <font>
      <sz val="11"/>
      <color theme="1"/>
      <name val="Times New Roman"/>
      <family val="0"/>
      <charset val="134"/>
    </font>
    <font>
      <b val="true"/>
      <sz val="11"/>
      <color theme="1"/>
      <name val="Times New Roman"/>
      <family val="0"/>
      <charset val="134"/>
    </font>
    <font>
      <sz val="11"/>
      <name val="Times New Roman"/>
      <family val="0"/>
      <charset val="134"/>
    </font>
    <font>
      <sz val="10"/>
      <color theme="1"/>
      <name val="Times New Roman"/>
      <family val="0"/>
      <charset val="134"/>
    </font>
    <font>
      <b val="true"/>
      <sz val="16"/>
      <color theme="1"/>
      <name val="Times New Roman"/>
      <family val="0"/>
      <charset val="134"/>
    </font>
    <font>
      <b val="true"/>
      <sz val="11"/>
      <color theme="9"/>
      <name val="Times New Roman"/>
      <family val="0"/>
      <charset val="134"/>
    </font>
    <font>
      <b val="true"/>
      <sz val="11"/>
      <color rgb="FFFF0000"/>
      <name val="Times New Roman"/>
      <family val="0"/>
      <charset val="134"/>
    </font>
    <font>
      <b val="true"/>
      <sz val="11"/>
      <color rgb="FF00B050"/>
      <name val="Times New Roman"/>
      <family val="0"/>
      <charset val="134"/>
    </font>
    <font>
      <b val="true"/>
      <sz val="14"/>
      <name val="Arial"/>
      <family val="0"/>
      <charset val="134"/>
    </font>
    <font>
      <sz val="10"/>
      <name val="Arial"/>
      <family val="0"/>
      <charset val="134"/>
    </font>
    <font>
      <b val="true"/>
      <i val="true"/>
      <sz val="14"/>
      <name val="Arial"/>
      <family val="0"/>
      <charset val="134"/>
    </font>
    <font>
      <b val="true"/>
      <i val="true"/>
      <u val="single"/>
      <sz val="14"/>
      <name val="Arial"/>
      <family val="0"/>
      <charset val="134"/>
    </font>
    <font>
      <b val="true"/>
      <sz val="12"/>
      <name val="Arial"/>
      <family val="0"/>
      <charset val="134"/>
    </font>
    <font>
      <sz val="12"/>
      <name val="Arial"/>
      <family val="0"/>
      <charset val="134"/>
    </font>
    <font>
      <sz val="11"/>
      <color theme="1"/>
      <name val="Albertus"/>
      <family val="0"/>
      <charset val="134"/>
    </font>
    <font>
      <b val="true"/>
      <sz val="14"/>
      <color theme="1"/>
      <name val="Albertus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537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9646"/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315" colorId="64" zoomScale="100" zoomScaleNormal="100" zoomScalePageLayoutView="100" workbookViewId="0">
      <selection pane="topLeft" activeCell="G349" activeCellId="0" sqref="G349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32.57"/>
    <col collapsed="false" customWidth="true" hidden="false" outlineLevel="0" max="3" min="3" style="0" width="17.71"/>
    <col collapsed="false" customWidth="true" hidden="false" outlineLevel="0" max="4" min="4" style="0" width="15.29"/>
    <col collapsed="false" customWidth="true" hidden="false" outlineLevel="0" max="5" min="5" style="0" width="16.14"/>
    <col collapsed="false" customWidth="true" hidden="false" outlineLevel="0" max="16384" min="16371" style="0" width="11.53"/>
  </cols>
  <sheetData>
    <row r="2" customFormat="false" ht="17.35" hidden="false" customHeight="false" outlineLevel="0" collapsed="false">
      <c r="A2" s="1"/>
      <c r="B2" s="1" t="s">
        <v>0</v>
      </c>
    </row>
    <row r="4" customFormat="false" ht="17.25" hidden="false" customHeight="false" outlineLevel="0" collapsed="false">
      <c r="B4" s="2" t="s">
        <v>1</v>
      </c>
    </row>
    <row r="7" customFormat="false" ht="15" hidden="false" customHeight="false" outlineLevel="0" collapsed="false">
      <c r="B7" s="3" t="s">
        <v>2</v>
      </c>
      <c r="D7" s="4" t="s">
        <v>3</v>
      </c>
    </row>
    <row r="9" customFormat="false" ht="15" hidden="false" customHeight="false" outlineLevel="0" collapsed="false">
      <c r="A9" s="5" t="s">
        <v>4</v>
      </c>
      <c r="B9" s="6" t="s">
        <v>5</v>
      </c>
      <c r="C9" s="7" t="s">
        <v>6</v>
      </c>
      <c r="D9" s="8" t="s">
        <v>7</v>
      </c>
      <c r="E9" s="9" t="s">
        <v>8</v>
      </c>
    </row>
    <row r="10" customFormat="false" ht="15" hidden="false" customHeight="false" outlineLevel="0" collapsed="false">
      <c r="A10" s="10" t="n">
        <v>1</v>
      </c>
      <c r="B10" s="11" t="s">
        <v>9</v>
      </c>
      <c r="C10" s="12" t="n">
        <f aca="false">116500+30000+270000</f>
        <v>416500</v>
      </c>
      <c r="D10" s="12" t="n">
        <f aca="false">E10-C10</f>
        <v>0</v>
      </c>
      <c r="E10" s="13" t="n">
        <v>416500</v>
      </c>
    </row>
    <row r="11" customFormat="false" ht="15" hidden="false" customHeight="false" outlineLevel="0" collapsed="false">
      <c r="A11" s="10" t="n">
        <v>2</v>
      </c>
      <c r="B11" s="11" t="s">
        <v>10</v>
      </c>
      <c r="C11" s="12"/>
      <c r="D11" s="12" t="n">
        <f aca="false">E11-C11</f>
        <v>416500</v>
      </c>
      <c r="E11" s="13" t="n">
        <v>416500</v>
      </c>
    </row>
    <row r="12" customFormat="false" ht="15" hidden="false" customHeight="false" outlineLevel="0" collapsed="false">
      <c r="A12" s="10" t="n">
        <v>3</v>
      </c>
      <c r="B12" s="11" t="s">
        <v>11</v>
      </c>
      <c r="C12" s="12" t="n">
        <v>416500</v>
      </c>
      <c r="D12" s="12" t="n">
        <f aca="false">E12-C12</f>
        <v>0</v>
      </c>
      <c r="E12" s="13" t="n">
        <v>416500</v>
      </c>
    </row>
    <row r="13" customFormat="false" ht="15" hidden="false" customHeight="false" outlineLevel="0" collapsed="false">
      <c r="A13" s="10" t="n">
        <v>4</v>
      </c>
      <c r="B13" s="11" t="s">
        <v>12</v>
      </c>
      <c r="C13" s="12"/>
      <c r="D13" s="12" t="n">
        <f aca="false">E13-C13</f>
        <v>416500</v>
      </c>
      <c r="E13" s="13" t="n">
        <v>416500</v>
      </c>
    </row>
    <row r="14" customFormat="false" ht="15" hidden="false" customHeight="false" outlineLevel="0" collapsed="false">
      <c r="A14" s="10" t="n">
        <v>5</v>
      </c>
      <c r="B14" s="11" t="s">
        <v>13</v>
      </c>
      <c r="C14" s="12"/>
      <c r="D14" s="12" t="n">
        <f aca="false">E14-C14</f>
        <v>416500</v>
      </c>
      <c r="E14" s="13" t="n">
        <v>416500</v>
      </c>
    </row>
    <row r="15" customFormat="false" ht="15" hidden="false" customHeight="false" outlineLevel="0" collapsed="false">
      <c r="A15" s="10" t="n">
        <v>6</v>
      </c>
      <c r="B15" s="11" t="s">
        <v>14</v>
      </c>
      <c r="C15" s="12" t="n">
        <f aca="false">216000+201000</f>
        <v>417000</v>
      </c>
      <c r="D15" s="12" t="n">
        <f aca="false">E15-C15</f>
        <v>-500</v>
      </c>
      <c r="E15" s="13" t="n">
        <v>416500</v>
      </c>
    </row>
    <row r="16" customFormat="false" ht="15" hidden="false" customHeight="false" outlineLevel="0" collapsed="false">
      <c r="A16" s="10" t="n">
        <v>7</v>
      </c>
      <c r="B16" s="11" t="s">
        <v>15</v>
      </c>
      <c r="C16" s="12" t="n">
        <f aca="false">220000+196500</f>
        <v>416500</v>
      </c>
      <c r="D16" s="12" t="n">
        <f aca="false">E16-C16</f>
        <v>0</v>
      </c>
      <c r="E16" s="13" t="n">
        <v>416500</v>
      </c>
    </row>
    <row r="17" customFormat="false" ht="15" hidden="false" customHeight="false" outlineLevel="0" collapsed="false">
      <c r="A17" s="10" t="n">
        <v>8</v>
      </c>
      <c r="B17" s="11" t="s">
        <v>16</v>
      </c>
      <c r="C17" s="12" t="n">
        <f aca="false">206500+100000+30000+80000</f>
        <v>416500</v>
      </c>
      <c r="D17" s="12" t="n">
        <f aca="false">E17-C17</f>
        <v>0</v>
      </c>
      <c r="E17" s="13" t="n">
        <v>416500</v>
      </c>
    </row>
    <row r="18" customFormat="false" ht="15" hidden="false" customHeight="false" outlineLevel="0" collapsed="false">
      <c r="A18" s="10" t="n">
        <v>9</v>
      </c>
      <c r="B18" s="11" t="s">
        <v>17</v>
      </c>
      <c r="C18" s="12" t="n">
        <f aca="false">25000+100000+150000+25000+116500</f>
        <v>416500</v>
      </c>
      <c r="D18" s="12" t="n">
        <f aca="false">E18-C18</f>
        <v>0</v>
      </c>
      <c r="E18" s="13" t="n">
        <v>416500</v>
      </c>
    </row>
    <row r="19" customFormat="false" ht="15" hidden="false" customHeight="false" outlineLevel="0" collapsed="false">
      <c r="A19" s="10" t="n">
        <v>10</v>
      </c>
      <c r="B19" s="11" t="s">
        <v>18</v>
      </c>
      <c r="C19" s="12" t="n">
        <f aca="false">170000+180000+66500</f>
        <v>416500</v>
      </c>
      <c r="D19" s="12" t="n">
        <f aca="false">E19-C19</f>
        <v>0</v>
      </c>
      <c r="E19" s="13" t="n">
        <v>416500</v>
      </c>
    </row>
    <row r="20" customFormat="false" ht="15" hidden="false" customHeight="false" outlineLevel="0" collapsed="false">
      <c r="A20" s="10"/>
      <c r="B20" s="11" t="s">
        <v>19</v>
      </c>
      <c r="C20" s="12"/>
      <c r="D20" s="12"/>
      <c r="E20" s="13" t="n">
        <v>416500</v>
      </c>
    </row>
    <row r="21" customFormat="false" ht="15" hidden="false" customHeight="false" outlineLevel="0" collapsed="false">
      <c r="A21" s="10" t="n">
        <v>11</v>
      </c>
      <c r="B21" s="11" t="s">
        <v>20</v>
      </c>
      <c r="C21" s="12" t="n">
        <f aca="false">200000+216500</f>
        <v>416500</v>
      </c>
      <c r="D21" s="12" t="n">
        <f aca="false">E21-C21</f>
        <v>0</v>
      </c>
      <c r="E21" s="13" t="n">
        <v>416500</v>
      </c>
    </row>
    <row r="22" customFormat="false" ht="15" hidden="false" customHeight="false" outlineLevel="0" collapsed="false">
      <c r="A22" s="10" t="n">
        <v>12</v>
      </c>
      <c r="B22" s="11" t="s">
        <v>21</v>
      </c>
      <c r="C22" s="12" t="n">
        <v>216500</v>
      </c>
      <c r="D22" s="12" t="n">
        <f aca="false">E22-C22</f>
        <v>200000</v>
      </c>
      <c r="E22" s="13" t="n">
        <v>416500</v>
      </c>
    </row>
    <row r="23" customFormat="false" ht="15" hidden="false" customHeight="false" outlineLevel="0" collapsed="false">
      <c r="A23" s="10" t="n">
        <v>13</v>
      </c>
      <c r="B23" s="11" t="s">
        <v>22</v>
      </c>
      <c r="C23" s="12" t="n">
        <f aca="false">100000+80000</f>
        <v>180000</v>
      </c>
      <c r="D23" s="12" t="n">
        <f aca="false">E23-C23</f>
        <v>236500</v>
      </c>
      <c r="E23" s="13" t="n">
        <v>416500</v>
      </c>
    </row>
    <row r="24" customFormat="false" ht="15" hidden="false" customHeight="false" outlineLevel="0" collapsed="false">
      <c r="A24" s="10" t="n">
        <v>14</v>
      </c>
      <c r="B24" s="11" t="s">
        <v>23</v>
      </c>
      <c r="C24" s="12" t="n">
        <f aca="false">100000+100000+216500</f>
        <v>416500</v>
      </c>
      <c r="D24" s="12" t="n">
        <f aca="false">E24-C24</f>
        <v>0</v>
      </c>
      <c r="E24" s="13" t="n">
        <v>416500</v>
      </c>
    </row>
    <row r="25" customFormat="false" ht="15" hidden="false" customHeight="false" outlineLevel="0" collapsed="false">
      <c r="A25" s="10" t="n">
        <v>15</v>
      </c>
      <c r="B25" s="11" t="s">
        <v>24</v>
      </c>
      <c r="C25" s="12"/>
      <c r="D25" s="12" t="n">
        <f aca="false">E25-C25</f>
        <v>416500</v>
      </c>
      <c r="E25" s="13" t="n">
        <v>416500</v>
      </c>
    </row>
    <row r="26" customFormat="false" ht="15" hidden="false" customHeight="false" outlineLevel="0" collapsed="false">
      <c r="A26" s="10" t="n">
        <v>16</v>
      </c>
      <c r="B26" s="11" t="s">
        <v>25</v>
      </c>
      <c r="C26" s="12" t="n">
        <v>100000</v>
      </c>
      <c r="D26" s="12" t="n">
        <f aca="false">E26-C26</f>
        <v>316500</v>
      </c>
      <c r="E26" s="13" t="n">
        <v>416500</v>
      </c>
    </row>
    <row r="27" customFormat="false" ht="15" hidden="false" customHeight="false" outlineLevel="0" collapsed="false">
      <c r="A27" s="10" t="n">
        <v>17</v>
      </c>
      <c r="B27" s="11" t="s">
        <v>26</v>
      </c>
      <c r="C27" s="12"/>
      <c r="D27" s="12" t="n">
        <f aca="false">E27-C27</f>
        <v>416500</v>
      </c>
      <c r="E27" s="13" t="n">
        <v>416500</v>
      </c>
    </row>
    <row r="28" customFormat="false" ht="15" hidden="false" customHeight="false" outlineLevel="0" collapsed="false">
      <c r="A28" s="10" t="n">
        <v>18</v>
      </c>
      <c r="B28" s="11" t="s">
        <v>27</v>
      </c>
      <c r="C28" s="12" t="n">
        <f aca="false">200000+216500</f>
        <v>416500</v>
      </c>
      <c r="D28" s="12" t="n">
        <f aca="false">E28-C28</f>
        <v>0</v>
      </c>
      <c r="E28" s="13" t="n">
        <v>416500</v>
      </c>
    </row>
    <row r="29" customFormat="false" ht="15" hidden="false" customHeight="false" outlineLevel="0" collapsed="false">
      <c r="A29" s="10" t="n">
        <v>19</v>
      </c>
      <c r="B29" s="11" t="s">
        <v>28</v>
      </c>
      <c r="C29" s="12" t="n">
        <f aca="false">300000+116500</f>
        <v>416500</v>
      </c>
      <c r="D29" s="12" t="n">
        <f aca="false">E29-C29</f>
        <v>0</v>
      </c>
      <c r="E29" s="13" t="n">
        <v>416500</v>
      </c>
    </row>
    <row r="30" customFormat="false" ht="15" hidden="false" customHeight="false" outlineLevel="0" collapsed="false">
      <c r="A30" s="10" t="n">
        <v>20</v>
      </c>
      <c r="B30" s="11" t="s">
        <v>29</v>
      </c>
      <c r="C30" s="12"/>
      <c r="D30" s="12" t="n">
        <f aca="false">E30-C30</f>
        <v>416500</v>
      </c>
      <c r="E30" s="13" t="n">
        <v>416500</v>
      </c>
    </row>
    <row r="31" customFormat="false" ht="15" hidden="false" customHeight="false" outlineLevel="0" collapsed="false">
      <c r="A31" s="10" t="n">
        <v>21</v>
      </c>
      <c r="B31" s="11" t="s">
        <v>30</v>
      </c>
      <c r="C31" s="12" t="n">
        <v>200000</v>
      </c>
      <c r="D31" s="12" t="n">
        <f aca="false">E31-C31</f>
        <v>216500</v>
      </c>
      <c r="E31" s="13" t="n">
        <v>416500</v>
      </c>
    </row>
    <row r="32" customFormat="false" ht="15" hidden="false" customHeight="false" outlineLevel="0" collapsed="false">
      <c r="A32" s="10" t="n">
        <v>22</v>
      </c>
      <c r="B32" s="11" t="s">
        <v>31</v>
      </c>
      <c r="C32" s="12" t="n">
        <v>150000</v>
      </c>
      <c r="D32" s="12" t="n">
        <f aca="false">E32-C32</f>
        <v>266500</v>
      </c>
      <c r="E32" s="13" t="n">
        <v>416500</v>
      </c>
    </row>
    <row r="33" customFormat="false" ht="15" hidden="false" customHeight="false" outlineLevel="0" collapsed="false">
      <c r="A33" s="10" t="n">
        <v>23</v>
      </c>
      <c r="B33" s="11" t="s">
        <v>32</v>
      </c>
      <c r="C33" s="12" t="n">
        <f aca="false">220000+196500</f>
        <v>416500</v>
      </c>
      <c r="D33" s="12" t="n">
        <f aca="false">E33-C33</f>
        <v>0</v>
      </c>
      <c r="E33" s="13" t="n">
        <v>416500</v>
      </c>
    </row>
    <row r="34" customFormat="false" ht="15" hidden="false" customHeight="false" outlineLevel="0" collapsed="false">
      <c r="A34" s="10" t="n">
        <v>24</v>
      </c>
      <c r="B34" s="11" t="s">
        <v>33</v>
      </c>
      <c r="C34" s="12" t="n">
        <f aca="false">200000+100000+116500</f>
        <v>416500</v>
      </c>
      <c r="D34" s="12" t="n">
        <f aca="false">E34-C34</f>
        <v>0</v>
      </c>
      <c r="E34" s="13" t="n">
        <v>416500</v>
      </c>
    </row>
    <row r="35" customFormat="false" ht="15" hidden="false" customHeight="false" outlineLevel="0" collapsed="false">
      <c r="A35" s="10" t="n">
        <v>25</v>
      </c>
      <c r="B35" s="11" t="s">
        <v>34</v>
      </c>
      <c r="C35" s="12" t="n">
        <f aca="false">150000+180000+86500</f>
        <v>416500</v>
      </c>
      <c r="D35" s="12" t="n">
        <f aca="false">E35-C35</f>
        <v>0</v>
      </c>
      <c r="E35" s="13" t="n">
        <v>416500</v>
      </c>
    </row>
    <row r="36" customFormat="false" ht="15" hidden="false" customHeight="false" outlineLevel="0" collapsed="false">
      <c r="A36" s="10" t="n">
        <v>26</v>
      </c>
      <c r="B36" s="11" t="s">
        <v>35</v>
      </c>
      <c r="C36" s="12" t="n">
        <f aca="false">276000+100000+40500</f>
        <v>416500</v>
      </c>
      <c r="D36" s="12" t="n">
        <f aca="false">E36-C36</f>
        <v>0</v>
      </c>
      <c r="E36" s="13" t="n">
        <v>416500</v>
      </c>
    </row>
    <row r="37" customFormat="false" ht="15" hidden="false" customHeight="false" outlineLevel="0" collapsed="false">
      <c r="A37" s="10" t="n">
        <v>27</v>
      </c>
      <c r="B37" s="11" t="s">
        <v>36</v>
      </c>
      <c r="C37" s="12"/>
      <c r="D37" s="12" t="n">
        <f aca="false">E37-C37</f>
        <v>416500</v>
      </c>
      <c r="E37" s="13" t="n">
        <v>416500</v>
      </c>
    </row>
    <row r="38" customFormat="false" ht="15" hidden="false" customHeight="false" outlineLevel="0" collapsed="false">
      <c r="A38" s="10" t="n">
        <v>28</v>
      </c>
      <c r="B38" s="11" t="s">
        <v>37</v>
      </c>
      <c r="C38" s="12" t="n">
        <v>216500</v>
      </c>
      <c r="D38" s="12" t="n">
        <f aca="false">E38-C38</f>
        <v>200000</v>
      </c>
      <c r="E38" s="13" t="n">
        <v>416500</v>
      </c>
    </row>
    <row r="39" customFormat="false" ht="15" hidden="false" customHeight="false" outlineLevel="0" collapsed="false">
      <c r="A39" s="10" t="n">
        <v>29</v>
      </c>
      <c r="B39" s="11" t="s">
        <v>38</v>
      </c>
      <c r="C39" s="12" t="n">
        <f aca="false">216500+200000</f>
        <v>416500</v>
      </c>
      <c r="D39" s="12" t="n">
        <f aca="false">E39-C39</f>
        <v>0</v>
      </c>
      <c r="E39" s="13" t="n">
        <v>416500</v>
      </c>
    </row>
    <row r="40" customFormat="false" ht="15" hidden="false" customHeight="false" outlineLevel="0" collapsed="false">
      <c r="A40" s="10" t="n">
        <v>30</v>
      </c>
      <c r="B40" s="11" t="s">
        <v>39</v>
      </c>
      <c r="C40" s="12"/>
      <c r="D40" s="12" t="n">
        <f aca="false">E40-C40</f>
        <v>416500</v>
      </c>
      <c r="E40" s="13" t="n">
        <v>416500</v>
      </c>
    </row>
    <row r="41" customFormat="false" ht="15" hidden="false" customHeight="false" outlineLevel="0" collapsed="false">
      <c r="A41" s="10" t="n">
        <v>31</v>
      </c>
      <c r="B41" s="11" t="s">
        <v>40</v>
      </c>
      <c r="C41" s="12" t="n">
        <f aca="false">200000+65500+151000</f>
        <v>416500</v>
      </c>
      <c r="D41" s="12" t="n">
        <f aca="false">E41-C41</f>
        <v>0</v>
      </c>
      <c r="E41" s="13" t="n">
        <v>416500</v>
      </c>
    </row>
    <row r="42" customFormat="false" ht="15" hidden="false" customHeight="false" outlineLevel="0" collapsed="false">
      <c r="A42" s="10" t="n">
        <v>32</v>
      </c>
      <c r="B42" s="11" t="s">
        <v>41</v>
      </c>
      <c r="C42" s="12" t="n">
        <f aca="false">200000+116500+100000</f>
        <v>416500</v>
      </c>
      <c r="D42" s="12" t="n">
        <f aca="false">E42-C42</f>
        <v>0</v>
      </c>
      <c r="E42" s="13" t="n">
        <v>416500</v>
      </c>
    </row>
    <row r="43" customFormat="false" ht="15" hidden="false" customHeight="false" outlineLevel="0" collapsed="false">
      <c r="A43" s="10" t="n">
        <v>33</v>
      </c>
      <c r="B43" s="11" t="s">
        <v>42</v>
      </c>
      <c r="C43" s="12" t="n">
        <f aca="false">216500+200000</f>
        <v>416500</v>
      </c>
      <c r="D43" s="12" t="n">
        <f aca="false">E43-C43</f>
        <v>0</v>
      </c>
      <c r="E43" s="13" t="n">
        <v>416500</v>
      </c>
    </row>
    <row r="44" customFormat="false" ht="15" hidden="false" customHeight="false" outlineLevel="0" collapsed="false">
      <c r="A44" s="10" t="n">
        <v>34</v>
      </c>
      <c r="B44" s="11" t="s">
        <v>43</v>
      </c>
      <c r="C44" s="12" t="n">
        <f aca="false">200000+130000+45000+41500</f>
        <v>416500</v>
      </c>
      <c r="D44" s="12" t="n">
        <f aca="false">E44-C44</f>
        <v>0</v>
      </c>
      <c r="E44" s="13" t="n">
        <v>416500</v>
      </c>
    </row>
    <row r="45" customFormat="false" ht="15" hidden="false" customHeight="false" outlineLevel="0" collapsed="false">
      <c r="A45" s="10" t="n">
        <v>35</v>
      </c>
      <c r="B45" s="11" t="s">
        <v>44</v>
      </c>
      <c r="C45" s="12" t="n">
        <f aca="false">110000</f>
        <v>110000</v>
      </c>
      <c r="D45" s="12" t="n">
        <f aca="false">E45-C45</f>
        <v>306500</v>
      </c>
      <c r="E45" s="13" t="n">
        <v>416500</v>
      </c>
    </row>
    <row r="46" customFormat="false" ht="15" hidden="false" customHeight="false" outlineLevel="0" collapsed="false">
      <c r="A46" s="10" t="n">
        <v>36</v>
      </c>
      <c r="B46" s="11" t="s">
        <v>45</v>
      </c>
      <c r="C46" s="12" t="n">
        <f aca="false">140000+60000+216000+500</f>
        <v>416500</v>
      </c>
      <c r="D46" s="12" t="n">
        <f aca="false">E46-C46</f>
        <v>0</v>
      </c>
      <c r="E46" s="13" t="n">
        <v>416500</v>
      </c>
    </row>
    <row r="47" customFormat="false" ht="15" hidden="false" customHeight="false" outlineLevel="0" collapsed="false">
      <c r="A47" s="10" t="n">
        <v>37</v>
      </c>
      <c r="B47" s="11" t="s">
        <v>46</v>
      </c>
      <c r="C47" s="12" t="n">
        <f aca="false">216000+200000+500</f>
        <v>416500</v>
      </c>
      <c r="D47" s="12" t="n">
        <f aca="false">E47-C47</f>
        <v>0</v>
      </c>
      <c r="E47" s="13" t="n">
        <v>416500</v>
      </c>
    </row>
    <row r="48" customFormat="false" ht="15" hidden="false" customHeight="false" outlineLevel="0" collapsed="false">
      <c r="A48" s="10" t="n">
        <v>38</v>
      </c>
      <c r="B48" s="14" t="s">
        <v>47</v>
      </c>
      <c r="C48" s="12" t="n">
        <v>416500</v>
      </c>
      <c r="D48" s="12" t="n">
        <f aca="false">E48-C48</f>
        <v>0</v>
      </c>
      <c r="E48" s="13" t="n">
        <v>416500</v>
      </c>
    </row>
    <row r="49" customFormat="false" ht="15" hidden="false" customHeight="false" outlineLevel="0" collapsed="false">
      <c r="A49" s="10" t="n">
        <v>39</v>
      </c>
      <c r="B49" s="11" t="s">
        <v>48</v>
      </c>
      <c r="C49" s="12" t="n">
        <f aca="false">150000+130000+70000+70000</f>
        <v>420000</v>
      </c>
      <c r="D49" s="12" t="n">
        <f aca="false">E49-C49</f>
        <v>-3500</v>
      </c>
      <c r="E49" s="13" t="n">
        <v>416500</v>
      </c>
    </row>
    <row r="50" customFormat="false" ht="15" hidden="false" customHeight="false" outlineLevel="0" collapsed="false">
      <c r="A50" s="10" t="n">
        <v>40</v>
      </c>
      <c r="B50" s="11" t="s">
        <v>49</v>
      </c>
      <c r="C50" s="12" t="n">
        <f aca="false">100000+100000+216500</f>
        <v>416500</v>
      </c>
      <c r="D50" s="12" t="n">
        <f aca="false">E50-C50</f>
        <v>0</v>
      </c>
      <c r="E50" s="13" t="n">
        <v>416500</v>
      </c>
    </row>
    <row r="51" customFormat="false" ht="15" hidden="false" customHeight="false" outlineLevel="0" collapsed="false">
      <c r="A51" s="10" t="n">
        <v>41</v>
      </c>
      <c r="B51" s="11" t="s">
        <v>50</v>
      </c>
      <c r="C51" s="12" t="n">
        <f aca="false">216500+200000</f>
        <v>416500</v>
      </c>
      <c r="D51" s="12" t="n">
        <f aca="false">E51-C51</f>
        <v>0</v>
      </c>
      <c r="E51" s="13" t="n">
        <v>416500</v>
      </c>
    </row>
    <row r="52" customFormat="false" ht="15" hidden="false" customHeight="false" outlineLevel="0" collapsed="false">
      <c r="A52" s="10" t="n">
        <v>42</v>
      </c>
      <c r="B52" s="11" t="s">
        <v>51</v>
      </c>
      <c r="C52" s="12" t="n">
        <f aca="false">200000+216500</f>
        <v>416500</v>
      </c>
      <c r="D52" s="12" t="n">
        <f aca="false">E52-C52</f>
        <v>0</v>
      </c>
      <c r="E52" s="13" t="n">
        <v>416500</v>
      </c>
    </row>
    <row r="53" customFormat="false" ht="15" hidden="false" customHeight="false" outlineLevel="0" collapsed="false">
      <c r="A53" s="10" t="n">
        <v>43</v>
      </c>
      <c r="B53" s="11" t="s">
        <v>52</v>
      </c>
      <c r="C53" s="12" t="n">
        <f aca="false">200000+100000+116500</f>
        <v>416500</v>
      </c>
      <c r="D53" s="12" t="n">
        <f aca="false">E53-C53</f>
        <v>0</v>
      </c>
      <c r="E53" s="13" t="n">
        <v>416500</v>
      </c>
    </row>
    <row r="54" customFormat="false" ht="15" hidden="false" customHeight="false" outlineLevel="0" collapsed="false">
      <c r="A54" s="10" t="n">
        <v>44</v>
      </c>
      <c r="B54" s="11" t="s">
        <v>53</v>
      </c>
      <c r="C54" s="12" t="n">
        <f aca="false">216500</f>
        <v>216500</v>
      </c>
      <c r="D54" s="12" t="n">
        <f aca="false">E54-C54</f>
        <v>200000</v>
      </c>
      <c r="E54" s="13" t="n">
        <v>416500</v>
      </c>
    </row>
    <row r="55" customFormat="false" ht="15" hidden="false" customHeight="false" outlineLevel="0" collapsed="false">
      <c r="A55" s="10" t="n">
        <v>45</v>
      </c>
      <c r="B55" s="11" t="s">
        <v>54</v>
      </c>
      <c r="C55" s="12"/>
      <c r="D55" s="12" t="n">
        <f aca="false">E55-C55</f>
        <v>416500</v>
      </c>
      <c r="E55" s="13" t="n">
        <v>416500</v>
      </c>
    </row>
    <row r="56" customFormat="false" ht="15" hidden="false" customHeight="false" outlineLevel="0" collapsed="false">
      <c r="A56" s="10" t="n">
        <v>46</v>
      </c>
      <c r="B56" s="14" t="s">
        <v>55</v>
      </c>
      <c r="C56" s="12" t="n">
        <f aca="false">216500+200000</f>
        <v>416500</v>
      </c>
      <c r="D56" s="12" t="n">
        <f aca="false">E56-C56</f>
        <v>0</v>
      </c>
      <c r="E56" s="13" t="n">
        <v>416500</v>
      </c>
    </row>
    <row r="57" customFormat="false" ht="15" hidden="false" customHeight="false" outlineLevel="0" collapsed="false">
      <c r="A57" s="10" t="n">
        <v>47</v>
      </c>
      <c r="B57" s="11" t="s">
        <v>56</v>
      </c>
      <c r="C57" s="12" t="n">
        <f aca="false">100000+100000+146000+35000+30000+5500</f>
        <v>416500</v>
      </c>
      <c r="D57" s="12" t="n">
        <f aca="false">E57-C57</f>
        <v>0</v>
      </c>
      <c r="E57" s="13" t="n">
        <v>416500</v>
      </c>
    </row>
    <row r="58" customFormat="false" ht="15" hidden="false" customHeight="false" outlineLevel="0" collapsed="false">
      <c r="A58" s="10" t="n">
        <v>48</v>
      </c>
      <c r="B58" s="14" t="s">
        <v>57</v>
      </c>
      <c r="C58" s="12" t="n">
        <f aca="false">216000+200500</f>
        <v>416500</v>
      </c>
      <c r="D58" s="12" t="n">
        <f aca="false">E58-C58</f>
        <v>0</v>
      </c>
      <c r="E58" s="13" t="n">
        <v>416500</v>
      </c>
    </row>
    <row r="59" customFormat="false" ht="15" hidden="false" customHeight="false" outlineLevel="0" collapsed="false">
      <c r="A59" s="10" t="n">
        <v>49</v>
      </c>
      <c r="B59" s="14" t="s">
        <v>58</v>
      </c>
      <c r="C59" s="12" t="n">
        <v>416500</v>
      </c>
      <c r="D59" s="12" t="n">
        <f aca="false">E59-C59</f>
        <v>0</v>
      </c>
      <c r="E59" s="13" t="n">
        <v>416500</v>
      </c>
    </row>
    <row r="60" customFormat="false" ht="15" hidden="false" customHeight="false" outlineLevel="0" collapsed="false">
      <c r="A60" s="10" t="n">
        <v>50</v>
      </c>
      <c r="B60" s="11" t="s">
        <v>59</v>
      </c>
      <c r="C60" s="12" t="n">
        <f aca="false">200000+100000+116500</f>
        <v>416500</v>
      </c>
      <c r="D60" s="12" t="n">
        <f aca="false">E60-C60</f>
        <v>0</v>
      </c>
      <c r="E60" s="13" t="n">
        <v>416500</v>
      </c>
    </row>
    <row r="61" customFormat="false" ht="19.7" hidden="false" customHeight="false" outlineLevel="0" collapsed="false">
      <c r="A61" s="15"/>
      <c r="B61" s="16" t="s">
        <v>60</v>
      </c>
      <c r="C61" s="17" t="n">
        <f aca="false">SUM(C10:C60)</f>
        <v>15138000</v>
      </c>
      <c r="D61" s="18" t="n">
        <f aca="false">SUM(D10:D60)</f>
        <v>5687000</v>
      </c>
      <c r="E61" s="19" t="n">
        <f aca="false">SUM(E10:E60)</f>
        <v>21241500</v>
      </c>
    </row>
    <row r="62" customFormat="false" ht="15" hidden="false" customHeight="false" outlineLevel="0" collapsed="false">
      <c r="A62" s="15"/>
    </row>
    <row r="63" customFormat="false" ht="15" hidden="false" customHeight="false" outlineLevel="0" collapsed="false">
      <c r="A63" s="15"/>
    </row>
    <row r="64" customFormat="false" ht="15" hidden="false" customHeight="false" outlineLevel="0" collapsed="false">
      <c r="A64" s="15"/>
    </row>
    <row r="65" customFormat="false" ht="17.35" hidden="false" customHeight="false" outlineLevel="0" collapsed="false">
      <c r="A65" s="15"/>
      <c r="B65" s="1" t="s">
        <v>0</v>
      </c>
    </row>
    <row r="66" customFormat="false" ht="15" hidden="false" customHeight="false" outlineLevel="0" collapsed="false">
      <c r="A66" s="15"/>
    </row>
    <row r="67" customFormat="false" ht="15" hidden="false" customHeight="false" outlineLevel="0" collapsed="false">
      <c r="A67" s="15"/>
    </row>
    <row r="68" customFormat="false" ht="15" hidden="false" customHeight="false" outlineLevel="0" collapsed="false">
      <c r="A68" s="15"/>
      <c r="B68" s="3" t="s">
        <v>61</v>
      </c>
      <c r="D68" s="4" t="s">
        <v>3</v>
      </c>
    </row>
    <row r="69" customFormat="false" ht="15" hidden="false" customHeight="false" outlineLevel="0" collapsed="false">
      <c r="A69" s="15"/>
    </row>
    <row r="70" customFormat="false" ht="15" hidden="false" customHeight="false" outlineLevel="0" collapsed="false">
      <c r="A70" s="5" t="s">
        <v>4</v>
      </c>
      <c r="B70" s="6" t="s">
        <v>5</v>
      </c>
      <c r="C70" s="7" t="s">
        <v>6</v>
      </c>
      <c r="D70" s="8" t="s">
        <v>7</v>
      </c>
      <c r="E70" s="9" t="s">
        <v>8</v>
      </c>
    </row>
    <row r="71" customFormat="false" ht="15" hidden="false" customHeight="false" outlineLevel="0" collapsed="false">
      <c r="A71" s="10" t="n">
        <v>1</v>
      </c>
      <c r="B71" s="11" t="s">
        <v>62</v>
      </c>
      <c r="C71" s="12" t="n">
        <f aca="false">100000+100000+216500</f>
        <v>416500</v>
      </c>
      <c r="D71" s="12" t="n">
        <f aca="false">E71-C71</f>
        <v>0</v>
      </c>
      <c r="E71" s="13" t="n">
        <v>416500</v>
      </c>
    </row>
    <row r="72" customFormat="false" ht="15" hidden="false" customHeight="false" outlineLevel="0" collapsed="false">
      <c r="A72" s="10" t="n">
        <v>2</v>
      </c>
      <c r="B72" s="11" t="s">
        <v>63</v>
      </c>
      <c r="C72" s="12" t="n">
        <f aca="false">208000+92000+116500</f>
        <v>416500</v>
      </c>
      <c r="D72" s="12" t="n">
        <f aca="false">E72-C72</f>
        <v>0</v>
      </c>
      <c r="E72" s="13" t="n">
        <v>416500</v>
      </c>
    </row>
    <row r="73" customFormat="false" ht="15" hidden="false" customHeight="false" outlineLevel="0" collapsed="false">
      <c r="A73" s="10" t="n">
        <v>3</v>
      </c>
      <c r="B73" s="11" t="s">
        <v>64</v>
      </c>
      <c r="C73" s="12" t="n">
        <f aca="false">150000+150000+116500</f>
        <v>416500</v>
      </c>
      <c r="D73" s="12" t="n">
        <f aca="false">E73-C73</f>
        <v>0</v>
      </c>
      <c r="E73" s="13" t="n">
        <v>416500</v>
      </c>
    </row>
    <row r="74" customFormat="false" ht="15" hidden="false" customHeight="false" outlineLevel="0" collapsed="false">
      <c r="A74" s="10" t="n">
        <v>4</v>
      </c>
      <c r="B74" s="11" t="s">
        <v>65</v>
      </c>
      <c r="C74" s="12" t="n">
        <f aca="false">100000+50000</f>
        <v>150000</v>
      </c>
      <c r="D74" s="12" t="n">
        <f aca="false">E74-C74</f>
        <v>266500</v>
      </c>
      <c r="E74" s="13" t="n">
        <v>416500</v>
      </c>
    </row>
    <row r="75" customFormat="false" ht="15" hidden="false" customHeight="false" outlineLevel="0" collapsed="false">
      <c r="A75" s="10" t="n">
        <v>5</v>
      </c>
      <c r="B75" s="11" t="s">
        <v>66</v>
      </c>
      <c r="C75" s="12" t="n">
        <v>150000</v>
      </c>
      <c r="D75" s="12" t="n">
        <f aca="false">E75-C75</f>
        <v>266500</v>
      </c>
      <c r="E75" s="13" t="n">
        <v>416500</v>
      </c>
    </row>
    <row r="76" customFormat="false" ht="15" hidden="false" customHeight="false" outlineLevel="0" collapsed="false">
      <c r="A76" s="10" t="n">
        <v>6</v>
      </c>
      <c r="B76" s="11" t="s">
        <v>67</v>
      </c>
      <c r="C76" s="12" t="n">
        <f aca="false">180000+236500</f>
        <v>416500</v>
      </c>
      <c r="D76" s="12" t="n">
        <f aca="false">E76-C76</f>
        <v>0</v>
      </c>
      <c r="E76" s="13" t="n">
        <v>416500</v>
      </c>
    </row>
    <row r="77" customFormat="false" ht="15" hidden="false" customHeight="false" outlineLevel="0" collapsed="false">
      <c r="A77" s="10" t="n">
        <v>7</v>
      </c>
      <c r="B77" s="11" t="s">
        <v>68</v>
      </c>
      <c r="C77" s="12" t="n">
        <f aca="false">100000+200000+116500</f>
        <v>416500</v>
      </c>
      <c r="D77" s="12" t="n">
        <f aca="false">E77-C77</f>
        <v>0</v>
      </c>
      <c r="E77" s="13" t="n">
        <v>416500</v>
      </c>
    </row>
    <row r="78" customFormat="false" ht="15" hidden="false" customHeight="false" outlineLevel="0" collapsed="false">
      <c r="A78" s="10" t="n">
        <v>8</v>
      </c>
      <c r="B78" s="11" t="s">
        <v>69</v>
      </c>
      <c r="C78" s="12" t="n">
        <f aca="false">200000+100000+86000+30500</f>
        <v>416500</v>
      </c>
      <c r="D78" s="12" t="n">
        <f aca="false">E78-C78</f>
        <v>0</v>
      </c>
      <c r="E78" s="13" t="n">
        <v>416500</v>
      </c>
    </row>
    <row r="79" customFormat="false" ht="15" hidden="false" customHeight="false" outlineLevel="0" collapsed="false">
      <c r="A79" s="10" t="n">
        <v>9</v>
      </c>
      <c r="B79" s="11" t="s">
        <v>70</v>
      </c>
      <c r="C79" s="12" t="n">
        <f aca="false">100000+50000+50000+50000+166500</f>
        <v>416500</v>
      </c>
      <c r="D79" s="12" t="n">
        <f aca="false">E79-C79</f>
        <v>0</v>
      </c>
      <c r="E79" s="13" t="n">
        <v>416500</v>
      </c>
    </row>
    <row r="80" customFormat="false" ht="15" hidden="false" customHeight="false" outlineLevel="0" collapsed="false">
      <c r="A80" s="10" t="n">
        <v>10</v>
      </c>
      <c r="B80" s="11" t="s">
        <v>71</v>
      </c>
      <c r="C80" s="12"/>
      <c r="D80" s="12" t="n">
        <f aca="false">E80-C80</f>
        <v>416500</v>
      </c>
      <c r="E80" s="13" t="n">
        <v>416500</v>
      </c>
    </row>
    <row r="81" customFormat="false" ht="15" hidden="false" customHeight="false" outlineLevel="0" collapsed="false">
      <c r="A81" s="10" t="n">
        <v>11</v>
      </c>
      <c r="B81" s="11" t="s">
        <v>72</v>
      </c>
      <c r="C81" s="12" t="n">
        <f aca="false">217000+200000</f>
        <v>417000</v>
      </c>
      <c r="D81" s="12" t="n">
        <f aca="false">E81-C81</f>
        <v>-500</v>
      </c>
      <c r="E81" s="13" t="n">
        <v>416500</v>
      </c>
    </row>
    <row r="82" customFormat="false" ht="15" hidden="false" customHeight="false" outlineLevel="0" collapsed="false">
      <c r="A82" s="10" t="n">
        <v>12</v>
      </c>
      <c r="B82" s="11" t="s">
        <v>73</v>
      </c>
      <c r="C82" s="12"/>
      <c r="D82" s="12" t="n">
        <f aca="false">E82-C82</f>
        <v>416500</v>
      </c>
      <c r="E82" s="13" t="n">
        <v>416500</v>
      </c>
    </row>
    <row r="83" customFormat="false" ht="15" hidden="false" customHeight="false" outlineLevel="0" collapsed="false">
      <c r="A83" s="10" t="n">
        <v>13</v>
      </c>
      <c r="B83" s="11" t="s">
        <v>74</v>
      </c>
      <c r="C83" s="12"/>
      <c r="D83" s="12" t="n">
        <f aca="false">E83-C83</f>
        <v>416500</v>
      </c>
      <c r="E83" s="13" t="n">
        <v>416500</v>
      </c>
    </row>
    <row r="84" customFormat="false" ht="15" hidden="false" customHeight="false" outlineLevel="0" collapsed="false">
      <c r="A84" s="10" t="n">
        <v>14</v>
      </c>
      <c r="B84" s="11" t="s">
        <v>75</v>
      </c>
      <c r="C84" s="12" t="n">
        <f aca="false">216500+100000+100000</f>
        <v>416500</v>
      </c>
      <c r="D84" s="12" t="n">
        <f aca="false">E84-C84</f>
        <v>0</v>
      </c>
      <c r="E84" s="13" t="n">
        <v>416500</v>
      </c>
    </row>
    <row r="85" customFormat="false" ht="15" hidden="false" customHeight="false" outlineLevel="0" collapsed="false">
      <c r="A85" s="10" t="n">
        <v>15</v>
      </c>
      <c r="B85" s="11" t="s">
        <v>76</v>
      </c>
      <c r="C85" s="12" t="n">
        <f aca="false">100000+200000+116500</f>
        <v>416500</v>
      </c>
      <c r="D85" s="12" t="n">
        <f aca="false">E85-C85</f>
        <v>0</v>
      </c>
      <c r="E85" s="13" t="n">
        <v>416500</v>
      </c>
    </row>
    <row r="86" customFormat="false" ht="15" hidden="false" customHeight="false" outlineLevel="0" collapsed="false">
      <c r="A86" s="10" t="n">
        <v>16</v>
      </c>
      <c r="B86" s="11" t="s">
        <v>77</v>
      </c>
      <c r="C86" s="12" t="n">
        <f aca="false">200000+150000+66500</f>
        <v>416500</v>
      </c>
      <c r="D86" s="12" t="n">
        <f aca="false">E86-C86</f>
        <v>0</v>
      </c>
      <c r="E86" s="13" t="n">
        <v>416500</v>
      </c>
    </row>
    <row r="87" customFormat="false" ht="15" hidden="false" customHeight="false" outlineLevel="0" collapsed="false">
      <c r="A87" s="10" t="n">
        <v>17</v>
      </c>
      <c r="B87" s="11" t="s">
        <v>78</v>
      </c>
      <c r="C87" s="12"/>
      <c r="D87" s="12" t="n">
        <f aca="false">E87-C87</f>
        <v>416500</v>
      </c>
      <c r="E87" s="13" t="n">
        <v>416500</v>
      </c>
    </row>
    <row r="88" customFormat="false" ht="15" hidden="false" customHeight="false" outlineLevel="0" collapsed="false">
      <c r="A88" s="10" t="n">
        <v>18</v>
      </c>
      <c r="B88" s="11" t="s">
        <v>79</v>
      </c>
      <c r="C88" s="12" t="n">
        <f aca="false">100000+50000+100000+60000+106500</f>
        <v>416500</v>
      </c>
      <c r="D88" s="12" t="n">
        <f aca="false">E88-C88</f>
        <v>0</v>
      </c>
      <c r="E88" s="13" t="n">
        <v>416500</v>
      </c>
    </row>
    <row r="89" customFormat="false" ht="15" hidden="false" customHeight="false" outlineLevel="0" collapsed="false">
      <c r="A89" s="10" t="n">
        <v>19</v>
      </c>
      <c r="B89" s="11" t="s">
        <v>80</v>
      </c>
      <c r="C89" s="12" t="n">
        <v>100000</v>
      </c>
      <c r="D89" s="12" t="n">
        <f aca="false">E89-C89</f>
        <v>316500</v>
      </c>
      <c r="E89" s="13" t="n">
        <v>416500</v>
      </c>
    </row>
    <row r="90" customFormat="false" ht="15" hidden="false" customHeight="false" outlineLevel="0" collapsed="false">
      <c r="A90" s="10" t="n">
        <v>20</v>
      </c>
      <c r="B90" s="11" t="s">
        <v>81</v>
      </c>
      <c r="C90" s="12" t="n">
        <f aca="false">216000+100000+50000+50000</f>
        <v>416000</v>
      </c>
      <c r="D90" s="12" t="n">
        <f aca="false">E90-C90</f>
        <v>500</v>
      </c>
      <c r="E90" s="13" t="n">
        <v>416500</v>
      </c>
    </row>
    <row r="91" customFormat="false" ht="15" hidden="false" customHeight="false" outlineLevel="0" collapsed="false">
      <c r="A91" s="10" t="n">
        <v>21</v>
      </c>
      <c r="B91" s="20" t="s">
        <v>82</v>
      </c>
      <c r="C91" s="12"/>
      <c r="D91" s="12" t="n">
        <f aca="false">E91-C91</f>
        <v>416500</v>
      </c>
      <c r="E91" s="13" t="n">
        <v>416500</v>
      </c>
    </row>
    <row r="92" customFormat="false" ht="15" hidden="false" customHeight="false" outlineLevel="0" collapsed="false">
      <c r="A92" s="10" t="n">
        <v>22</v>
      </c>
      <c r="B92" s="11" t="s">
        <v>83</v>
      </c>
      <c r="C92" s="12" t="n">
        <v>200000</v>
      </c>
      <c r="D92" s="12" t="n">
        <f aca="false">E92-C92</f>
        <v>216500</v>
      </c>
      <c r="E92" s="13" t="n">
        <v>416500</v>
      </c>
    </row>
    <row r="93" customFormat="false" ht="15" hidden="false" customHeight="false" outlineLevel="0" collapsed="false">
      <c r="A93" s="10" t="n">
        <v>23</v>
      </c>
      <c r="B93" s="11" t="s">
        <v>84</v>
      </c>
      <c r="C93" s="12" t="n">
        <f aca="false">25000+100000+150000+25000+116500</f>
        <v>416500</v>
      </c>
      <c r="D93" s="12" t="n">
        <f aca="false">E93-C93</f>
        <v>0</v>
      </c>
      <c r="E93" s="13" t="n">
        <v>416500</v>
      </c>
    </row>
    <row r="94" customFormat="false" ht="15" hidden="false" customHeight="false" outlineLevel="0" collapsed="false">
      <c r="A94" s="10" t="n">
        <v>24</v>
      </c>
      <c r="B94" s="11" t="s">
        <v>85</v>
      </c>
      <c r="C94" s="12"/>
      <c r="D94" s="12" t="n">
        <f aca="false">E94-C94</f>
        <v>416500</v>
      </c>
      <c r="E94" s="13" t="n">
        <v>416500</v>
      </c>
    </row>
    <row r="95" customFormat="false" ht="15" hidden="false" customHeight="false" outlineLevel="0" collapsed="false">
      <c r="A95" s="10" t="n">
        <v>25</v>
      </c>
      <c r="B95" s="11" t="s">
        <v>86</v>
      </c>
      <c r="C95" s="12" t="n">
        <f aca="false">50000+50000+100000</f>
        <v>200000</v>
      </c>
      <c r="D95" s="12" t="n">
        <f aca="false">E95-C95</f>
        <v>216500</v>
      </c>
      <c r="E95" s="13" t="n">
        <v>416500</v>
      </c>
    </row>
    <row r="96" customFormat="false" ht="15" hidden="false" customHeight="false" outlineLevel="0" collapsed="false">
      <c r="A96" s="10" t="n">
        <v>26</v>
      </c>
      <c r="B96" s="14" t="s">
        <v>87</v>
      </c>
      <c r="C96" s="12" t="n">
        <f aca="false">180000+16500+80000+75000+65000</f>
        <v>416500</v>
      </c>
      <c r="D96" s="12" t="n">
        <f aca="false">E96-C96</f>
        <v>0</v>
      </c>
      <c r="E96" s="13" t="n">
        <v>416500</v>
      </c>
    </row>
    <row r="97" customFormat="false" ht="15" hidden="false" customHeight="false" outlineLevel="0" collapsed="false">
      <c r="A97" s="10" t="n">
        <v>27</v>
      </c>
      <c r="B97" s="11" t="s">
        <v>88</v>
      </c>
      <c r="C97" s="12" t="n">
        <f aca="false">150000+266000</f>
        <v>416000</v>
      </c>
      <c r="D97" s="12" t="n">
        <f aca="false">E97-C97</f>
        <v>500</v>
      </c>
      <c r="E97" s="13" t="n">
        <v>416500</v>
      </c>
    </row>
    <row r="98" customFormat="false" ht="15" hidden="false" customHeight="false" outlineLevel="0" collapsed="false">
      <c r="A98" s="10" t="n">
        <v>28</v>
      </c>
      <c r="B98" s="11" t="s">
        <v>89</v>
      </c>
      <c r="C98" s="12" t="n">
        <f aca="false">150000+266500</f>
        <v>416500</v>
      </c>
      <c r="D98" s="12" t="n">
        <f aca="false">E98-C98</f>
        <v>0</v>
      </c>
      <c r="E98" s="13" t="n">
        <v>416500</v>
      </c>
    </row>
    <row r="99" customFormat="false" ht="15" hidden="false" customHeight="false" outlineLevel="0" collapsed="false">
      <c r="A99" s="10" t="n">
        <v>29</v>
      </c>
      <c r="B99" s="11" t="s">
        <v>90</v>
      </c>
      <c r="C99" s="12" t="n">
        <v>100000</v>
      </c>
      <c r="D99" s="12" t="n">
        <f aca="false">E99-C99</f>
        <v>316500</v>
      </c>
      <c r="E99" s="13" t="n">
        <v>416500</v>
      </c>
    </row>
    <row r="100" customFormat="false" ht="15" hidden="false" customHeight="false" outlineLevel="0" collapsed="false">
      <c r="A100" s="10" t="n">
        <v>30</v>
      </c>
      <c r="B100" s="11" t="s">
        <v>91</v>
      </c>
      <c r="C100" s="12" t="n">
        <v>216500</v>
      </c>
      <c r="D100" s="12" t="n">
        <f aca="false">E100-C100</f>
        <v>200000</v>
      </c>
      <c r="E100" s="13" t="n">
        <v>416500</v>
      </c>
    </row>
    <row r="101" customFormat="false" ht="15" hidden="false" customHeight="false" outlineLevel="0" collapsed="false">
      <c r="A101" s="10" t="n">
        <v>31</v>
      </c>
      <c r="B101" s="11" t="s">
        <v>92</v>
      </c>
      <c r="C101" s="12" t="n">
        <f aca="false">150000+266500</f>
        <v>416500</v>
      </c>
      <c r="D101" s="12" t="n">
        <f aca="false">E101-C101</f>
        <v>0</v>
      </c>
      <c r="E101" s="13" t="n">
        <v>416500</v>
      </c>
    </row>
    <row r="102" customFormat="false" ht="15" hidden="false" customHeight="false" outlineLevel="0" collapsed="false">
      <c r="A102" s="10" t="n">
        <v>32</v>
      </c>
      <c r="B102" s="11" t="s">
        <v>93</v>
      </c>
      <c r="C102" s="12" t="n">
        <f aca="false">216500+200000</f>
        <v>416500</v>
      </c>
      <c r="D102" s="12" t="n">
        <f aca="false">E102-C102</f>
        <v>0</v>
      </c>
      <c r="E102" s="13" t="n">
        <v>416500</v>
      </c>
    </row>
    <row r="103" customFormat="false" ht="15" hidden="false" customHeight="false" outlineLevel="0" collapsed="false">
      <c r="A103" s="10" t="n">
        <v>33</v>
      </c>
      <c r="B103" s="11" t="s">
        <v>94</v>
      </c>
      <c r="C103" s="12" t="n">
        <f aca="false">116500+85000</f>
        <v>201500</v>
      </c>
      <c r="D103" s="12" t="n">
        <f aca="false">E103-C103</f>
        <v>215000</v>
      </c>
      <c r="E103" s="13" t="n">
        <v>416500</v>
      </c>
    </row>
    <row r="104" customFormat="false" ht="15" hidden="false" customHeight="false" outlineLevel="0" collapsed="false">
      <c r="A104" s="10" t="n">
        <v>34</v>
      </c>
      <c r="B104" s="11" t="s">
        <v>95</v>
      </c>
      <c r="C104" s="12" t="n">
        <f aca="false">200000+50000+150000+16500</f>
        <v>416500</v>
      </c>
      <c r="D104" s="12" t="n">
        <f aca="false">E104-C104</f>
        <v>0</v>
      </c>
      <c r="E104" s="13" t="n">
        <v>416500</v>
      </c>
    </row>
    <row r="105" customFormat="false" ht="15" hidden="false" customHeight="false" outlineLevel="0" collapsed="false">
      <c r="A105" s="10" t="n">
        <v>35</v>
      </c>
      <c r="B105" s="11" t="s">
        <v>96</v>
      </c>
      <c r="C105" s="12" t="n">
        <f aca="false">150000+100000</f>
        <v>250000</v>
      </c>
      <c r="D105" s="12" t="n">
        <f aca="false">E105-C105</f>
        <v>166500</v>
      </c>
      <c r="E105" s="13" t="n">
        <v>416500</v>
      </c>
    </row>
    <row r="106" customFormat="false" ht="15" hidden="false" customHeight="false" outlineLevel="0" collapsed="false">
      <c r="A106" s="10" t="n">
        <v>36</v>
      </c>
      <c r="B106" s="11" t="s">
        <v>97</v>
      </c>
      <c r="C106" s="12" t="n">
        <f aca="false">166500+50000+200000</f>
        <v>416500</v>
      </c>
      <c r="D106" s="12" t="n">
        <f aca="false">E106-C106</f>
        <v>0</v>
      </c>
      <c r="E106" s="13" t="n">
        <v>416500</v>
      </c>
    </row>
    <row r="107" customFormat="false" ht="15" hidden="false" customHeight="false" outlineLevel="0" collapsed="false">
      <c r="A107" s="10" t="n">
        <v>37</v>
      </c>
      <c r="B107" s="11" t="s">
        <v>98</v>
      </c>
      <c r="C107" s="12" t="n">
        <f aca="false">100000+100000+30000+40000+20500+26000+100000</f>
        <v>416500</v>
      </c>
      <c r="D107" s="12" t="n">
        <f aca="false">E107-C107</f>
        <v>0</v>
      </c>
      <c r="E107" s="13" t="n">
        <v>416500</v>
      </c>
    </row>
    <row r="108" customFormat="false" ht="15" hidden="false" customHeight="false" outlineLevel="0" collapsed="false">
      <c r="A108" s="10" t="n">
        <v>38</v>
      </c>
      <c r="B108" s="11" t="s">
        <v>99</v>
      </c>
      <c r="C108" s="12" t="n">
        <f aca="false">250000+140000+26500</f>
        <v>416500</v>
      </c>
      <c r="D108" s="12" t="n">
        <f aca="false">E108-C108</f>
        <v>0</v>
      </c>
      <c r="E108" s="13" t="n">
        <v>416500</v>
      </c>
    </row>
    <row r="109" customFormat="false" ht="15" hidden="false" customHeight="false" outlineLevel="0" collapsed="false">
      <c r="A109" s="10" t="n">
        <v>39</v>
      </c>
      <c r="B109" s="21" t="s">
        <v>100</v>
      </c>
      <c r="C109" s="12" t="n">
        <f aca="false">106500+60000+130000+120000</f>
        <v>416500</v>
      </c>
      <c r="D109" s="12" t="n">
        <f aca="false">E109-C109</f>
        <v>0</v>
      </c>
      <c r="E109" s="13" t="n">
        <v>416500</v>
      </c>
    </row>
    <row r="110" customFormat="false" ht="15" hidden="false" customHeight="false" outlineLevel="0" collapsed="false">
      <c r="A110" s="10" t="n">
        <v>40</v>
      </c>
      <c r="B110" s="11" t="s">
        <v>101</v>
      </c>
      <c r="C110" s="12" t="n">
        <f aca="false">150000+150000+110000+6500</f>
        <v>416500</v>
      </c>
      <c r="D110" s="12" t="n">
        <f aca="false">E110-C110</f>
        <v>0</v>
      </c>
      <c r="E110" s="13" t="n">
        <v>416500</v>
      </c>
    </row>
    <row r="111" customFormat="false" ht="15" hidden="false" customHeight="false" outlineLevel="0" collapsed="false">
      <c r="A111" s="10" t="n">
        <v>41</v>
      </c>
      <c r="B111" s="11" t="s">
        <v>102</v>
      </c>
      <c r="C111" s="12"/>
      <c r="D111" s="12" t="n">
        <f aca="false">E111-C111</f>
        <v>416500</v>
      </c>
      <c r="E111" s="13" t="n">
        <v>416500</v>
      </c>
    </row>
    <row r="112" customFormat="false" ht="15" hidden="false" customHeight="false" outlineLevel="0" collapsed="false">
      <c r="A112" s="10" t="n">
        <v>42</v>
      </c>
      <c r="B112" s="11" t="s">
        <v>103</v>
      </c>
      <c r="C112" s="12" t="n">
        <f aca="false">200000+30000+66500+60000+60000</f>
        <v>416500</v>
      </c>
      <c r="D112" s="12" t="n">
        <f aca="false">E112-C112</f>
        <v>0</v>
      </c>
      <c r="E112" s="13" t="n">
        <v>416500</v>
      </c>
    </row>
    <row r="113" customFormat="false" ht="15" hidden="false" customHeight="false" outlineLevel="0" collapsed="false">
      <c r="A113" s="10" t="n">
        <v>43</v>
      </c>
      <c r="B113" s="11" t="s">
        <v>104</v>
      </c>
      <c r="C113" s="12" t="n">
        <f aca="false">150000+50000+100000+116500</f>
        <v>416500</v>
      </c>
      <c r="D113" s="12" t="n">
        <f aca="false">E113-C113</f>
        <v>0</v>
      </c>
      <c r="E113" s="13" t="n">
        <v>416500</v>
      </c>
    </row>
    <row r="114" customFormat="false" ht="15" hidden="false" customHeight="false" outlineLevel="0" collapsed="false">
      <c r="A114" s="10" t="n">
        <v>44</v>
      </c>
      <c r="B114" s="11" t="s">
        <v>105</v>
      </c>
      <c r="C114" s="12" t="n">
        <f aca="false">100000+316500</f>
        <v>416500</v>
      </c>
      <c r="D114" s="12" t="n">
        <f aca="false">E114-C114</f>
        <v>0</v>
      </c>
      <c r="E114" s="13" t="n">
        <v>416500</v>
      </c>
    </row>
    <row r="115" customFormat="false" ht="15" hidden="false" customHeight="false" outlineLevel="0" collapsed="false">
      <c r="A115" s="10" t="n">
        <v>45</v>
      </c>
      <c r="B115" s="11" t="s">
        <v>106</v>
      </c>
      <c r="C115" s="12" t="n">
        <f aca="false">150000+100000</f>
        <v>250000</v>
      </c>
      <c r="D115" s="12" t="n">
        <f aca="false">E115-C115</f>
        <v>166500</v>
      </c>
      <c r="E115" s="13" t="n">
        <v>416500</v>
      </c>
    </row>
    <row r="116" customFormat="false" ht="15" hidden="false" customHeight="false" outlineLevel="0" collapsed="false">
      <c r="A116" s="10" t="n">
        <v>46</v>
      </c>
      <c r="B116" s="14" t="s">
        <v>107</v>
      </c>
      <c r="C116" s="12" t="n">
        <f aca="false">216500+100000+100000</f>
        <v>416500</v>
      </c>
      <c r="D116" s="12" t="n">
        <f aca="false">E116-C116</f>
        <v>0</v>
      </c>
      <c r="E116" s="13" t="n">
        <v>416500</v>
      </c>
    </row>
    <row r="117" customFormat="false" ht="15" hidden="false" customHeight="false" outlineLevel="0" collapsed="false">
      <c r="A117" s="10" t="n">
        <v>47</v>
      </c>
      <c r="B117" s="11" t="s">
        <v>108</v>
      </c>
      <c r="C117" s="12" t="n">
        <f aca="false">316000+100000+500</f>
        <v>416500</v>
      </c>
      <c r="D117" s="12" t="n">
        <f aca="false">E117-C117</f>
        <v>0</v>
      </c>
      <c r="E117" s="13" t="n">
        <v>416500</v>
      </c>
    </row>
    <row r="118" customFormat="false" ht="15" hidden="false" customHeight="false" outlineLevel="0" collapsed="false">
      <c r="A118" s="10" t="n">
        <v>48</v>
      </c>
      <c r="B118" s="11" t="s">
        <v>109</v>
      </c>
      <c r="C118" s="12" t="n">
        <f aca="false">150000+216000+50500</f>
        <v>416500</v>
      </c>
      <c r="D118" s="12" t="n">
        <f aca="false">E118-C118</f>
        <v>0</v>
      </c>
      <c r="E118" s="13" t="n">
        <v>416500</v>
      </c>
    </row>
    <row r="119" customFormat="false" ht="15" hidden="false" customHeight="false" outlineLevel="0" collapsed="false">
      <c r="A119" s="10" t="n">
        <v>49</v>
      </c>
      <c r="B119" s="11" t="s">
        <v>110</v>
      </c>
      <c r="C119" s="12"/>
      <c r="D119" s="12" t="n">
        <f aca="false">E119-C119</f>
        <v>416500</v>
      </c>
      <c r="E119" s="13" t="n">
        <v>416500</v>
      </c>
    </row>
    <row r="120" customFormat="false" ht="15" hidden="false" customHeight="false" outlineLevel="0" collapsed="false">
      <c r="A120" s="10" t="n">
        <v>50</v>
      </c>
      <c r="B120" s="11" t="s">
        <v>111</v>
      </c>
      <c r="C120" s="12"/>
      <c r="D120" s="12" t="n">
        <f aca="false">E120-C120</f>
        <v>416500</v>
      </c>
      <c r="E120" s="13" t="n">
        <v>416500</v>
      </c>
    </row>
    <row r="121" customFormat="false" ht="19.7" hidden="false" customHeight="false" outlineLevel="0" collapsed="false">
      <c r="A121" s="15"/>
      <c r="B121" s="16" t="s">
        <v>60</v>
      </c>
      <c r="C121" s="17" t="n">
        <f aca="false">SUM(C71:C120)</f>
        <v>14729000</v>
      </c>
      <c r="D121" s="18" t="n">
        <f aca="false">SUM(D71:D120)</f>
        <v>6096000</v>
      </c>
      <c r="E121" s="19" t="n">
        <f aca="false">SUM(E71:E120)</f>
        <v>20825000</v>
      </c>
    </row>
    <row r="123" customFormat="false" ht="15" hidden="false" customHeight="false" outlineLevel="0" collapsed="false">
      <c r="A123" s="15"/>
    </row>
    <row r="124" customFormat="false" ht="15" hidden="false" customHeight="false" outlineLevel="0" collapsed="false">
      <c r="A124" s="15"/>
    </row>
    <row r="125" customFormat="false" ht="15" hidden="false" customHeight="false" outlineLevel="0" collapsed="false">
      <c r="A125" s="15"/>
    </row>
    <row r="126" customFormat="false" ht="17.35" hidden="false" customHeight="false" outlineLevel="0" collapsed="false">
      <c r="A126" s="22"/>
      <c r="B126" s="1" t="s">
        <v>0</v>
      </c>
    </row>
    <row r="127" customFormat="false" ht="15" hidden="false" customHeight="false" outlineLevel="0" collapsed="false">
      <c r="A127" s="15"/>
    </row>
    <row r="128" customFormat="false" ht="15" hidden="false" customHeight="false" outlineLevel="0" collapsed="false">
      <c r="A128" s="15"/>
    </row>
    <row r="129" customFormat="false" ht="15" hidden="false" customHeight="false" outlineLevel="0" collapsed="false">
      <c r="A129" s="15"/>
      <c r="B129" s="3" t="s">
        <v>112</v>
      </c>
      <c r="D129" s="4" t="s">
        <v>3</v>
      </c>
    </row>
    <row r="130" customFormat="false" ht="15" hidden="false" customHeight="false" outlineLevel="0" collapsed="false">
      <c r="A130" s="15"/>
    </row>
    <row r="131" customFormat="false" ht="15" hidden="false" customHeight="false" outlineLevel="0" collapsed="false">
      <c r="A131" s="5" t="s">
        <v>4</v>
      </c>
      <c r="B131" s="6" t="s">
        <v>5</v>
      </c>
      <c r="C131" s="7" t="s">
        <v>6</v>
      </c>
      <c r="D131" s="8" t="s">
        <v>7</v>
      </c>
      <c r="E131" s="9" t="s">
        <v>8</v>
      </c>
    </row>
    <row r="132" customFormat="false" ht="15" hidden="false" customHeight="false" outlineLevel="0" collapsed="false">
      <c r="A132" s="10" t="n">
        <v>1</v>
      </c>
      <c r="B132" s="11" t="s">
        <v>113</v>
      </c>
      <c r="C132" s="12" t="n">
        <f aca="false">300000+116500</f>
        <v>416500</v>
      </c>
      <c r="D132" s="12" t="n">
        <f aca="false">E132-C132</f>
        <v>0</v>
      </c>
      <c r="E132" s="13" t="n">
        <v>416500</v>
      </c>
    </row>
    <row r="133" customFormat="false" ht="15" hidden="false" customHeight="false" outlineLevel="0" collapsed="false">
      <c r="A133" s="10" t="n">
        <v>2</v>
      </c>
      <c r="B133" s="11" t="s">
        <v>114</v>
      </c>
      <c r="C133" s="12" t="n">
        <f aca="false">150000+220000+46500</f>
        <v>416500</v>
      </c>
      <c r="D133" s="12" t="n">
        <f aca="false">E133-C133</f>
        <v>0</v>
      </c>
      <c r="E133" s="13" t="n">
        <v>416500</v>
      </c>
    </row>
    <row r="134" customFormat="false" ht="15" hidden="false" customHeight="false" outlineLevel="0" collapsed="false">
      <c r="A134" s="10" t="n">
        <v>3</v>
      </c>
      <c r="B134" s="11" t="s">
        <v>115</v>
      </c>
      <c r="C134" s="12" t="n">
        <v>416500</v>
      </c>
      <c r="D134" s="12" t="n">
        <v>0</v>
      </c>
      <c r="E134" s="13" t="n">
        <v>416500</v>
      </c>
    </row>
    <row r="135" customFormat="false" ht="15" hidden="false" customHeight="false" outlineLevel="0" collapsed="false">
      <c r="A135" s="10" t="n">
        <v>4</v>
      </c>
      <c r="B135" s="11" t="s">
        <v>116</v>
      </c>
      <c r="C135" s="12" t="n">
        <f aca="false">216000+67000+133500</f>
        <v>416500</v>
      </c>
      <c r="D135" s="12" t="n">
        <f aca="false">E135-C135</f>
        <v>0</v>
      </c>
      <c r="E135" s="13" t="n">
        <v>416500</v>
      </c>
    </row>
    <row r="136" customFormat="false" ht="15" hidden="false" customHeight="false" outlineLevel="0" collapsed="false">
      <c r="A136" s="10" t="n">
        <v>5</v>
      </c>
      <c r="B136" s="11" t="s">
        <v>117</v>
      </c>
      <c r="C136" s="12" t="n">
        <f aca="false">100000+200000+117000</f>
        <v>417000</v>
      </c>
      <c r="D136" s="12" t="n">
        <f aca="false">E136-C136</f>
        <v>-500</v>
      </c>
      <c r="E136" s="13" t="n">
        <v>416500</v>
      </c>
    </row>
    <row r="137" customFormat="false" ht="15" hidden="false" customHeight="false" outlineLevel="0" collapsed="false">
      <c r="A137" s="10" t="n">
        <v>6</v>
      </c>
      <c r="B137" s="11" t="s">
        <v>118</v>
      </c>
      <c r="C137" s="12" t="n">
        <f aca="false">200000+216000</f>
        <v>416000</v>
      </c>
      <c r="D137" s="12" t="n">
        <f aca="false">E137-C137</f>
        <v>500</v>
      </c>
      <c r="E137" s="13" t="n">
        <v>416500</v>
      </c>
    </row>
    <row r="138" customFormat="false" ht="15" hidden="false" customHeight="false" outlineLevel="0" collapsed="false">
      <c r="A138" s="10" t="n">
        <v>7</v>
      </c>
      <c r="B138" s="11" t="s">
        <v>119</v>
      </c>
      <c r="C138" s="12" t="n">
        <f aca="false">416000+500</f>
        <v>416500</v>
      </c>
      <c r="D138" s="12" t="n">
        <f aca="false">E138-C138</f>
        <v>0</v>
      </c>
      <c r="E138" s="13" t="n">
        <v>416500</v>
      </c>
    </row>
    <row r="139" customFormat="false" ht="15" hidden="false" customHeight="false" outlineLevel="0" collapsed="false">
      <c r="A139" s="10" t="n">
        <v>8</v>
      </c>
      <c r="B139" s="11" t="s">
        <v>120</v>
      </c>
      <c r="C139" s="12" t="n">
        <f aca="false">210000+206500</f>
        <v>416500</v>
      </c>
      <c r="D139" s="12" t="n">
        <f aca="false">E139-C139</f>
        <v>0</v>
      </c>
      <c r="E139" s="13" t="n">
        <v>416500</v>
      </c>
    </row>
    <row r="140" customFormat="false" ht="15" hidden="false" customHeight="false" outlineLevel="0" collapsed="false">
      <c r="A140" s="10" t="n">
        <v>9</v>
      </c>
      <c r="B140" s="11" t="s">
        <v>121</v>
      </c>
      <c r="C140" s="12" t="n">
        <v>200000</v>
      </c>
      <c r="D140" s="12" t="n">
        <f aca="false">E140-C140</f>
        <v>216500</v>
      </c>
      <c r="E140" s="13" t="n">
        <v>416500</v>
      </c>
    </row>
    <row r="141" customFormat="false" ht="15" hidden="false" customHeight="false" outlineLevel="0" collapsed="false">
      <c r="A141" s="10" t="n">
        <v>10</v>
      </c>
      <c r="B141" s="11" t="s">
        <v>122</v>
      </c>
      <c r="C141" s="12"/>
      <c r="D141" s="12" t="n">
        <f aca="false">E141-C141</f>
        <v>416500</v>
      </c>
      <c r="E141" s="13" t="n">
        <v>416500</v>
      </c>
    </row>
    <row r="142" customFormat="false" ht="15" hidden="false" customHeight="false" outlineLevel="0" collapsed="false">
      <c r="A142" s="10" t="n">
        <v>11</v>
      </c>
      <c r="B142" s="11" t="s">
        <v>123</v>
      </c>
      <c r="C142" s="12" t="n">
        <f aca="false">200000+100000+90000+26500</f>
        <v>416500</v>
      </c>
      <c r="D142" s="12" t="n">
        <f aca="false">E142-C142</f>
        <v>0</v>
      </c>
      <c r="E142" s="13" t="n">
        <v>416500</v>
      </c>
    </row>
    <row r="143" customFormat="false" ht="15" hidden="false" customHeight="false" outlineLevel="0" collapsed="false">
      <c r="A143" s="10" t="n">
        <v>12</v>
      </c>
      <c r="B143" s="11" t="s">
        <v>124</v>
      </c>
      <c r="C143" s="12" t="n">
        <f aca="false">100000+240000+55000+21500</f>
        <v>416500</v>
      </c>
      <c r="D143" s="12" t="n">
        <f aca="false">E143-C143</f>
        <v>0</v>
      </c>
      <c r="E143" s="13" t="n">
        <v>416500</v>
      </c>
    </row>
    <row r="144" customFormat="false" ht="15" hidden="false" customHeight="false" outlineLevel="0" collapsed="false">
      <c r="A144" s="10" t="n">
        <v>13</v>
      </c>
      <c r="B144" s="11" t="s">
        <v>125</v>
      </c>
      <c r="C144" s="12" t="n">
        <f aca="false">200000+216500</f>
        <v>416500</v>
      </c>
      <c r="D144" s="12" t="n">
        <f aca="false">E144-C144</f>
        <v>0</v>
      </c>
      <c r="E144" s="13" t="n">
        <v>416500</v>
      </c>
    </row>
    <row r="145" customFormat="false" ht="15" hidden="false" customHeight="false" outlineLevel="0" collapsed="false">
      <c r="A145" s="10" t="n">
        <v>14</v>
      </c>
      <c r="B145" s="11" t="s">
        <v>126</v>
      </c>
      <c r="C145" s="12" t="n">
        <f aca="false">216500+200000</f>
        <v>416500</v>
      </c>
      <c r="D145" s="12" t="n">
        <f aca="false">E145-C145</f>
        <v>0</v>
      </c>
      <c r="E145" s="13" t="n">
        <v>416500</v>
      </c>
    </row>
    <row r="146" customFormat="false" ht="15" hidden="false" customHeight="false" outlineLevel="0" collapsed="false">
      <c r="A146" s="10" t="n">
        <v>15</v>
      </c>
      <c r="B146" s="11" t="s">
        <v>127</v>
      </c>
      <c r="C146" s="12"/>
      <c r="D146" s="12" t="n">
        <f aca="false">E146-C146</f>
        <v>416500</v>
      </c>
      <c r="E146" s="13" t="n">
        <v>416500</v>
      </c>
    </row>
    <row r="147" customFormat="false" ht="15" hidden="false" customHeight="false" outlineLevel="0" collapsed="false">
      <c r="A147" s="10" t="n">
        <v>16</v>
      </c>
      <c r="B147" s="11" t="s">
        <v>128</v>
      </c>
      <c r="C147" s="23" t="s">
        <v>129</v>
      </c>
      <c r="D147" s="23" t="s">
        <v>129</v>
      </c>
      <c r="E147" s="13" t="n">
        <v>416500</v>
      </c>
    </row>
    <row r="148" customFormat="false" ht="15" hidden="false" customHeight="false" outlineLevel="0" collapsed="false">
      <c r="A148" s="10" t="n">
        <v>17</v>
      </c>
      <c r="B148" s="11" t="s">
        <v>130</v>
      </c>
      <c r="C148" s="12" t="n">
        <f aca="false">200000+20000+100000+40000+50500+6000</f>
        <v>416500</v>
      </c>
      <c r="D148" s="12" t="n">
        <f aca="false">E148-C148</f>
        <v>0</v>
      </c>
      <c r="E148" s="13" t="n">
        <v>416500</v>
      </c>
    </row>
    <row r="149" customFormat="false" ht="15" hidden="false" customHeight="false" outlineLevel="0" collapsed="false">
      <c r="A149" s="10" t="n">
        <v>18</v>
      </c>
      <c r="B149" s="11" t="s">
        <v>131</v>
      </c>
      <c r="C149" s="12" t="n">
        <f aca="false">210000+206500</f>
        <v>416500</v>
      </c>
      <c r="D149" s="12" t="n">
        <f aca="false">E149-C149</f>
        <v>0</v>
      </c>
      <c r="E149" s="13" t="n">
        <v>416500</v>
      </c>
    </row>
    <row r="150" customFormat="false" ht="15" hidden="false" customHeight="false" outlineLevel="0" collapsed="false">
      <c r="A150" s="10" t="n">
        <v>19</v>
      </c>
      <c r="B150" s="11" t="s">
        <v>132</v>
      </c>
      <c r="C150" s="12"/>
      <c r="D150" s="12" t="n">
        <f aca="false">E150-C150</f>
        <v>416500</v>
      </c>
      <c r="E150" s="13" t="n">
        <v>416500</v>
      </c>
    </row>
    <row r="151" customFormat="false" ht="19.7" hidden="false" customHeight="false" outlineLevel="0" collapsed="false">
      <c r="A151" s="15"/>
      <c r="B151" s="16" t="s">
        <v>60</v>
      </c>
      <c r="C151" s="24" t="n">
        <f aca="false">SUM(C132:C150)</f>
        <v>6031000</v>
      </c>
      <c r="D151" s="18" t="n">
        <f aca="false">SUM(D132:D150)</f>
        <v>1466000</v>
      </c>
      <c r="E151" s="19" t="n">
        <f aca="false">SUM(E132:E150)</f>
        <v>7913500</v>
      </c>
    </row>
    <row r="153" customFormat="false" ht="15" hidden="false" customHeight="false" outlineLevel="0" collapsed="false">
      <c r="A153" s="15"/>
    </row>
    <row r="154" customFormat="false" ht="17.35" hidden="false" customHeight="false" outlineLevel="0" collapsed="false">
      <c r="A154" s="22"/>
      <c r="B154" s="1" t="s">
        <v>0</v>
      </c>
    </row>
    <row r="155" customFormat="false" ht="15" hidden="false" customHeight="false" outlineLevel="0" collapsed="false">
      <c r="A155" s="15"/>
    </row>
    <row r="156" customFormat="false" ht="15" hidden="false" customHeight="false" outlineLevel="0" collapsed="false">
      <c r="A156" s="15"/>
    </row>
    <row r="157" customFormat="false" ht="15" hidden="false" customHeight="false" outlineLevel="0" collapsed="false">
      <c r="A157" s="15"/>
      <c r="B157" s="3" t="s">
        <v>133</v>
      </c>
      <c r="D157" s="4" t="s">
        <v>3</v>
      </c>
    </row>
    <row r="158" customFormat="false" ht="15" hidden="false" customHeight="false" outlineLevel="0" collapsed="false">
      <c r="A158" s="15"/>
    </row>
    <row r="159" customFormat="false" ht="15" hidden="false" customHeight="false" outlineLevel="0" collapsed="false">
      <c r="A159" s="5" t="s">
        <v>4</v>
      </c>
      <c r="B159" s="6" t="s">
        <v>5</v>
      </c>
      <c r="C159" s="7" t="s">
        <v>6</v>
      </c>
      <c r="D159" s="8" t="s">
        <v>7</v>
      </c>
      <c r="E159" s="9" t="s">
        <v>8</v>
      </c>
    </row>
    <row r="160" customFormat="false" ht="15" hidden="false" customHeight="false" outlineLevel="0" collapsed="false">
      <c r="A160" s="10" t="n">
        <v>1</v>
      </c>
      <c r="B160" s="11" t="s">
        <v>134</v>
      </c>
      <c r="C160" s="12" t="n">
        <v>130000</v>
      </c>
      <c r="D160" s="12" t="n">
        <f aca="false">E160-C160</f>
        <v>286500</v>
      </c>
      <c r="E160" s="13" t="n">
        <v>416500</v>
      </c>
    </row>
    <row r="161" customFormat="false" ht="15" hidden="false" customHeight="false" outlineLevel="0" collapsed="false">
      <c r="A161" s="10" t="n">
        <v>2</v>
      </c>
      <c r="B161" s="11" t="s">
        <v>135</v>
      </c>
      <c r="C161" s="12"/>
      <c r="D161" s="12" t="n">
        <f aca="false">E161-C161</f>
        <v>416500</v>
      </c>
      <c r="E161" s="13" t="n">
        <v>416500</v>
      </c>
    </row>
    <row r="162" customFormat="false" ht="15" hidden="false" customHeight="false" outlineLevel="0" collapsed="false">
      <c r="A162" s="10" t="n">
        <v>3</v>
      </c>
      <c r="B162" s="11" t="s">
        <v>136</v>
      </c>
      <c r="C162" s="12" t="n">
        <f aca="false">200000+120000+96000+500</f>
        <v>416500</v>
      </c>
      <c r="D162" s="12" t="n">
        <f aca="false">E162-C162</f>
        <v>0</v>
      </c>
      <c r="E162" s="13" t="n">
        <v>416500</v>
      </c>
    </row>
    <row r="163" customFormat="false" ht="15" hidden="false" customHeight="false" outlineLevel="0" collapsed="false">
      <c r="A163" s="10" t="n">
        <v>4</v>
      </c>
      <c r="B163" s="11" t="s">
        <v>137</v>
      </c>
      <c r="C163" s="12" t="n">
        <f aca="false">150000+226500+40000</f>
        <v>416500</v>
      </c>
      <c r="D163" s="12" t="n">
        <f aca="false">E163-C163</f>
        <v>0</v>
      </c>
      <c r="E163" s="13" t="n">
        <v>416500</v>
      </c>
    </row>
    <row r="164" customFormat="false" ht="15" hidden="false" customHeight="false" outlineLevel="0" collapsed="false">
      <c r="A164" s="10"/>
      <c r="B164" s="11" t="s">
        <v>138</v>
      </c>
      <c r="C164" s="12" t="n">
        <f aca="false">400000+16500</f>
        <v>416500</v>
      </c>
      <c r="D164" s="12" t="n">
        <f aca="false">E164-C164</f>
        <v>0</v>
      </c>
      <c r="E164" s="13" t="n">
        <v>416500</v>
      </c>
    </row>
    <row r="165" customFormat="false" ht="15" hidden="false" customHeight="false" outlineLevel="0" collapsed="false">
      <c r="A165" s="10" t="n">
        <v>5</v>
      </c>
      <c r="B165" s="11" t="s">
        <v>139</v>
      </c>
      <c r="C165" s="12"/>
      <c r="D165" s="12" t="n">
        <f aca="false">E165-C165</f>
        <v>416500</v>
      </c>
      <c r="E165" s="13" t="n">
        <v>416500</v>
      </c>
    </row>
    <row r="166" customFormat="false" ht="15" hidden="false" customHeight="false" outlineLevel="0" collapsed="false">
      <c r="A166" s="10" t="n">
        <v>6</v>
      </c>
      <c r="B166" s="11" t="s">
        <v>140</v>
      </c>
      <c r="C166" s="12"/>
      <c r="D166" s="12" t="n">
        <f aca="false">E166-C166</f>
        <v>416500</v>
      </c>
      <c r="E166" s="13" t="n">
        <v>416500</v>
      </c>
    </row>
    <row r="167" customFormat="false" ht="15" hidden="false" customHeight="false" outlineLevel="0" collapsed="false">
      <c r="A167" s="10" t="n">
        <v>7</v>
      </c>
      <c r="B167" s="11" t="s">
        <v>141</v>
      </c>
      <c r="C167" s="12" t="n">
        <f aca="false">100000+150000+36000+50000+80500</f>
        <v>416500</v>
      </c>
      <c r="D167" s="12" t="n">
        <f aca="false">E167-C167</f>
        <v>0</v>
      </c>
      <c r="E167" s="13" t="n">
        <v>416500</v>
      </c>
    </row>
    <row r="168" customFormat="false" ht="15" hidden="false" customHeight="false" outlineLevel="0" collapsed="false">
      <c r="A168" s="10" t="n">
        <v>8</v>
      </c>
      <c r="B168" s="11" t="s">
        <v>142</v>
      </c>
      <c r="C168" s="12" t="n">
        <f aca="false">120000+30000+66000+120000+60000+20500</f>
        <v>416500</v>
      </c>
      <c r="D168" s="12" t="n">
        <f aca="false">E168-C168</f>
        <v>0</v>
      </c>
      <c r="E168" s="13" t="n">
        <v>416500</v>
      </c>
    </row>
    <row r="169" customFormat="false" ht="15" hidden="false" customHeight="false" outlineLevel="0" collapsed="false">
      <c r="A169" s="10" t="n">
        <v>9</v>
      </c>
      <c r="B169" s="11" t="s">
        <v>143</v>
      </c>
      <c r="C169" s="12"/>
      <c r="D169" s="12" t="n">
        <f aca="false">E169-C169</f>
        <v>416500</v>
      </c>
      <c r="E169" s="13" t="n">
        <v>416500</v>
      </c>
    </row>
    <row r="170" customFormat="false" ht="15" hidden="false" customHeight="false" outlineLevel="0" collapsed="false">
      <c r="A170" s="10" t="n">
        <v>10</v>
      </c>
      <c r="B170" s="11" t="s">
        <v>144</v>
      </c>
      <c r="C170" s="12" t="n">
        <f aca="false">100000+100000+216500</f>
        <v>416500</v>
      </c>
      <c r="D170" s="12" t="n">
        <f aca="false">E170-C170</f>
        <v>0</v>
      </c>
      <c r="E170" s="13" t="n">
        <v>416500</v>
      </c>
    </row>
    <row r="171" customFormat="false" ht="15" hidden="false" customHeight="false" outlineLevel="0" collapsed="false">
      <c r="A171" s="10" t="n">
        <v>11</v>
      </c>
      <c r="B171" s="11" t="s">
        <v>145</v>
      </c>
      <c r="C171" s="12" t="s">
        <v>146</v>
      </c>
      <c r="D171" s="12" t="e">
        <f aca="false">E171-C171</f>
        <v>#VALUE!</v>
      </c>
      <c r="E171" s="13" t="n">
        <v>416500</v>
      </c>
    </row>
    <row r="172" customFormat="false" ht="15" hidden="false" customHeight="false" outlineLevel="0" collapsed="false">
      <c r="A172" s="10" t="n">
        <v>12</v>
      </c>
      <c r="B172" s="11" t="s">
        <v>147</v>
      </c>
      <c r="C172" s="12" t="n">
        <f aca="false">200000+150000+66500</f>
        <v>416500</v>
      </c>
      <c r="D172" s="12" t="n">
        <f aca="false">E172-C172</f>
        <v>0</v>
      </c>
      <c r="E172" s="13" t="n">
        <v>416500</v>
      </c>
    </row>
    <row r="173" customFormat="false" ht="15" hidden="false" customHeight="false" outlineLevel="0" collapsed="false">
      <c r="A173" s="10" t="n">
        <v>13</v>
      </c>
      <c r="B173" s="11" t="s">
        <v>148</v>
      </c>
      <c r="C173" s="12" t="n">
        <f aca="false">210000+170000+36500</f>
        <v>416500</v>
      </c>
      <c r="D173" s="12" t="n">
        <f aca="false">E173-C173</f>
        <v>0</v>
      </c>
      <c r="E173" s="13" t="n">
        <v>416500</v>
      </c>
    </row>
    <row r="174" customFormat="false" ht="15" hidden="false" customHeight="false" outlineLevel="0" collapsed="false">
      <c r="A174" s="10" t="n">
        <v>14</v>
      </c>
      <c r="B174" s="14" t="s">
        <v>149</v>
      </c>
      <c r="C174" s="12"/>
      <c r="D174" s="12" t="n">
        <f aca="false">E174-C174</f>
        <v>416500</v>
      </c>
      <c r="E174" s="13" t="n">
        <v>416500</v>
      </c>
    </row>
    <row r="175" customFormat="false" ht="15" hidden="false" customHeight="false" outlineLevel="0" collapsed="false">
      <c r="A175" s="10" t="n">
        <v>15</v>
      </c>
      <c r="B175" s="11" t="s">
        <v>150</v>
      </c>
      <c r="C175" s="12"/>
      <c r="D175" s="12" t="n">
        <f aca="false">E175-C175</f>
        <v>416500</v>
      </c>
      <c r="E175" s="13" t="n">
        <v>416500</v>
      </c>
    </row>
    <row r="176" customFormat="false" ht="15" hidden="false" customHeight="false" outlineLevel="0" collapsed="false">
      <c r="A176" s="10" t="n">
        <v>16</v>
      </c>
      <c r="B176" s="11" t="s">
        <v>151</v>
      </c>
      <c r="C176" s="12" t="n">
        <v>100000</v>
      </c>
      <c r="D176" s="12" t="n">
        <f aca="false">E176-C176</f>
        <v>316500</v>
      </c>
      <c r="E176" s="13" t="n">
        <v>416500</v>
      </c>
    </row>
    <row r="177" customFormat="false" ht="15" hidden="false" customHeight="false" outlineLevel="0" collapsed="false">
      <c r="A177" s="10" t="n">
        <v>17</v>
      </c>
      <c r="B177" s="11" t="s">
        <v>152</v>
      </c>
      <c r="C177" s="12" t="n">
        <f aca="false">220000+150000+46500</f>
        <v>416500</v>
      </c>
      <c r="D177" s="12" t="n">
        <f aca="false">E177-C177</f>
        <v>0</v>
      </c>
      <c r="E177" s="13" t="n">
        <v>416500</v>
      </c>
    </row>
    <row r="178" customFormat="false" ht="15" hidden="false" customHeight="false" outlineLevel="0" collapsed="false">
      <c r="A178" s="10" t="n">
        <v>18</v>
      </c>
      <c r="B178" s="11" t="s">
        <v>153</v>
      </c>
      <c r="C178" s="12" t="n">
        <f aca="false">200000+216500</f>
        <v>416500</v>
      </c>
      <c r="D178" s="12" t="n">
        <f aca="false">E178-C178</f>
        <v>0</v>
      </c>
      <c r="E178" s="13" t="n">
        <v>416500</v>
      </c>
    </row>
    <row r="179" customFormat="false" ht="15" hidden="false" customHeight="false" outlineLevel="0" collapsed="false">
      <c r="A179" s="10" t="n">
        <v>19</v>
      </c>
      <c r="B179" s="11" t="s">
        <v>154</v>
      </c>
      <c r="C179" s="12" t="n">
        <v>416500</v>
      </c>
      <c r="D179" s="12" t="n">
        <f aca="false">E179-C179</f>
        <v>0</v>
      </c>
      <c r="E179" s="13" t="n">
        <v>416500</v>
      </c>
    </row>
    <row r="180" customFormat="false" ht="15" hidden="false" customHeight="false" outlineLevel="0" collapsed="false">
      <c r="A180" s="10" t="n">
        <v>20</v>
      </c>
      <c r="B180" s="11" t="s">
        <v>155</v>
      </c>
      <c r="C180" s="12" t="n">
        <f aca="false">250000+166500</f>
        <v>416500</v>
      </c>
      <c r="D180" s="12" t="n">
        <f aca="false">E180-C180</f>
        <v>0</v>
      </c>
      <c r="E180" s="13" t="n">
        <v>416500</v>
      </c>
    </row>
    <row r="181" customFormat="false" ht="15" hidden="false" customHeight="false" outlineLevel="0" collapsed="false">
      <c r="A181" s="10" t="n">
        <v>21</v>
      </c>
      <c r="B181" s="11" t="s">
        <v>156</v>
      </c>
      <c r="C181" s="12" t="n">
        <f aca="false">416500</f>
        <v>416500</v>
      </c>
      <c r="D181" s="12" t="n">
        <f aca="false">E181-C181</f>
        <v>0</v>
      </c>
      <c r="E181" s="13" t="n">
        <v>416500</v>
      </c>
    </row>
    <row r="182" customFormat="false" ht="15" hidden="false" customHeight="false" outlineLevel="0" collapsed="false">
      <c r="A182" s="10" t="n">
        <v>22</v>
      </c>
      <c r="B182" s="11" t="s">
        <v>157</v>
      </c>
      <c r="C182" s="12" t="n">
        <f aca="false">200000+150000+66500</f>
        <v>416500</v>
      </c>
      <c r="D182" s="12" t="n">
        <f aca="false">E182-C182</f>
        <v>0</v>
      </c>
      <c r="E182" s="13" t="n">
        <v>416500</v>
      </c>
    </row>
    <row r="183" customFormat="false" ht="15" hidden="false" customHeight="false" outlineLevel="0" collapsed="false">
      <c r="A183" s="10" t="n">
        <v>23</v>
      </c>
      <c r="B183" s="11" t="s">
        <v>158</v>
      </c>
      <c r="C183" s="12" t="n">
        <f aca="false">200000+50000+100000+66500</f>
        <v>416500</v>
      </c>
      <c r="D183" s="12" t="n">
        <f aca="false">E183-C183</f>
        <v>0</v>
      </c>
      <c r="E183" s="13" t="n">
        <v>416500</v>
      </c>
    </row>
    <row r="184" customFormat="false" ht="15" hidden="false" customHeight="false" outlineLevel="0" collapsed="false">
      <c r="A184" s="10" t="n">
        <v>24</v>
      </c>
      <c r="B184" s="11" t="s">
        <v>159</v>
      </c>
      <c r="C184" s="12" t="n">
        <f aca="false">100000+200000+116500</f>
        <v>416500</v>
      </c>
      <c r="D184" s="12" t="n">
        <f aca="false">E184-C184</f>
        <v>0</v>
      </c>
      <c r="E184" s="13" t="n">
        <v>416500</v>
      </c>
    </row>
    <row r="185" customFormat="false" ht="15" hidden="false" customHeight="false" outlineLevel="0" collapsed="false">
      <c r="A185" s="10" t="n">
        <v>25</v>
      </c>
      <c r="B185" s="11" t="s">
        <v>160</v>
      </c>
      <c r="C185" s="12"/>
      <c r="D185" s="12" t="n">
        <f aca="false">E185-C185</f>
        <v>416500</v>
      </c>
      <c r="E185" s="13" t="n">
        <v>416500</v>
      </c>
    </row>
    <row r="186" customFormat="false" ht="15" hidden="false" customHeight="false" outlineLevel="0" collapsed="false">
      <c r="A186" s="10" t="n">
        <v>26</v>
      </c>
      <c r="B186" s="11" t="s">
        <v>161</v>
      </c>
      <c r="C186" s="12"/>
      <c r="D186" s="12" t="n">
        <f aca="false">E186-C186</f>
        <v>416500</v>
      </c>
      <c r="E186" s="13" t="n">
        <v>416500</v>
      </c>
    </row>
    <row r="187" customFormat="false" ht="15" hidden="false" customHeight="false" outlineLevel="0" collapsed="false">
      <c r="A187" s="10" t="n">
        <v>27</v>
      </c>
      <c r="B187" s="11" t="s">
        <v>162</v>
      </c>
      <c r="C187" s="12"/>
      <c r="D187" s="12" t="n">
        <f aca="false">E187-C187</f>
        <v>416500</v>
      </c>
      <c r="E187" s="13" t="n">
        <v>416500</v>
      </c>
    </row>
    <row r="188" customFormat="false" ht="15" hidden="false" customHeight="false" outlineLevel="0" collapsed="false">
      <c r="A188" s="10" t="n">
        <v>28</v>
      </c>
      <c r="B188" s="11" t="s">
        <v>163</v>
      </c>
      <c r="C188" s="12"/>
      <c r="D188" s="12" t="n">
        <f aca="false">E188-C188</f>
        <v>416500</v>
      </c>
      <c r="E188" s="13" t="n">
        <v>416500</v>
      </c>
    </row>
    <row r="189" customFormat="false" ht="15" hidden="false" customHeight="false" outlineLevel="0" collapsed="false">
      <c r="A189" s="10" t="n">
        <v>29</v>
      </c>
      <c r="B189" s="11" t="s">
        <v>164</v>
      </c>
      <c r="C189" s="12"/>
      <c r="D189" s="12" t="n">
        <f aca="false">E189-C189</f>
        <v>416500</v>
      </c>
      <c r="E189" s="13" t="n">
        <v>416500</v>
      </c>
    </row>
    <row r="190" customFormat="false" ht="15" hidden="false" customHeight="false" outlineLevel="0" collapsed="false">
      <c r="A190" s="10" t="n">
        <v>30</v>
      </c>
      <c r="B190" s="11" t="s">
        <v>165</v>
      </c>
      <c r="C190" s="12" t="n">
        <v>100000</v>
      </c>
      <c r="D190" s="12" t="n">
        <f aca="false">E190-C190</f>
        <v>316500</v>
      </c>
      <c r="E190" s="13" t="n">
        <v>416500</v>
      </c>
    </row>
    <row r="191" customFormat="false" ht="15" hidden="false" customHeight="false" outlineLevel="0" collapsed="false">
      <c r="A191" s="10" t="n">
        <v>31</v>
      </c>
      <c r="B191" s="11" t="s">
        <v>166</v>
      </c>
      <c r="C191" s="12"/>
      <c r="D191" s="12" t="n">
        <f aca="false">E191-C191</f>
        <v>416500</v>
      </c>
      <c r="E191" s="13" t="n">
        <v>416500</v>
      </c>
    </row>
    <row r="192" customFormat="false" ht="15" hidden="false" customHeight="false" outlineLevel="0" collapsed="false">
      <c r="A192" s="10" t="n">
        <v>32</v>
      </c>
      <c r="B192" s="11" t="s">
        <v>167</v>
      </c>
      <c r="C192" s="12"/>
      <c r="D192" s="12" t="n">
        <f aca="false">E192-C192</f>
        <v>416500</v>
      </c>
      <c r="E192" s="13" t="n">
        <v>416500</v>
      </c>
    </row>
    <row r="193" customFormat="false" ht="15" hidden="false" customHeight="false" outlineLevel="0" collapsed="false">
      <c r="A193" s="10" t="n">
        <v>33</v>
      </c>
      <c r="B193" s="11" t="s">
        <v>168</v>
      </c>
      <c r="C193" s="12" t="n">
        <f aca="false">150000+50000+216500</f>
        <v>416500</v>
      </c>
      <c r="D193" s="12" t="n">
        <f aca="false">E193-C193</f>
        <v>0</v>
      </c>
      <c r="E193" s="13" t="n">
        <v>416500</v>
      </c>
    </row>
    <row r="194" customFormat="false" ht="15" hidden="false" customHeight="false" outlineLevel="0" collapsed="false">
      <c r="A194" s="10" t="n">
        <v>34</v>
      </c>
      <c r="B194" s="11" t="s">
        <v>169</v>
      </c>
      <c r="C194" s="12" t="n">
        <v>200000</v>
      </c>
      <c r="D194" s="12" t="n">
        <f aca="false">E194-C194</f>
        <v>216500</v>
      </c>
      <c r="E194" s="13" t="n">
        <v>416500</v>
      </c>
    </row>
    <row r="195" customFormat="false" ht="15" hidden="false" customHeight="false" outlineLevel="0" collapsed="false">
      <c r="A195" s="10" t="n">
        <v>35</v>
      </c>
      <c r="B195" s="11" t="s">
        <v>170</v>
      </c>
      <c r="C195" s="12" t="n">
        <f aca="false">100000+100000+216000+500</f>
        <v>416500</v>
      </c>
      <c r="D195" s="12" t="n">
        <f aca="false">E195-C195</f>
        <v>0</v>
      </c>
      <c r="E195" s="13" t="n">
        <v>416500</v>
      </c>
    </row>
    <row r="196" customFormat="false" ht="15" hidden="false" customHeight="false" outlineLevel="0" collapsed="false">
      <c r="A196" s="10" t="n">
        <v>36</v>
      </c>
      <c r="B196" s="11" t="s">
        <v>171</v>
      </c>
      <c r="C196" s="12" t="n">
        <f aca="false">200000+200000+16500</f>
        <v>416500</v>
      </c>
      <c r="D196" s="12" t="n">
        <f aca="false">E196-C196</f>
        <v>0</v>
      </c>
      <c r="E196" s="13" t="n">
        <v>416500</v>
      </c>
    </row>
    <row r="197" customFormat="false" ht="15" hidden="false" customHeight="false" outlineLevel="0" collapsed="false">
      <c r="A197" s="10" t="n">
        <v>37</v>
      </c>
      <c r="B197" s="11" t="s">
        <v>172</v>
      </c>
      <c r="C197" s="12" t="n">
        <f aca="false">220000+96000+100000+500</f>
        <v>416500</v>
      </c>
      <c r="D197" s="12" t="n">
        <f aca="false">E197-C197</f>
        <v>0</v>
      </c>
      <c r="E197" s="13" t="n">
        <v>416500</v>
      </c>
    </row>
    <row r="198" customFormat="false" ht="15" hidden="false" customHeight="false" outlineLevel="0" collapsed="false">
      <c r="A198" s="10" t="n">
        <v>38</v>
      </c>
      <c r="B198" s="11" t="s">
        <v>173</v>
      </c>
      <c r="C198" s="12" t="n">
        <v>416500</v>
      </c>
      <c r="D198" s="12" t="n">
        <f aca="false">E198-C198</f>
        <v>0</v>
      </c>
      <c r="E198" s="13" t="n">
        <v>416500</v>
      </c>
    </row>
    <row r="199" customFormat="false" ht="15" hidden="false" customHeight="false" outlineLevel="0" collapsed="false">
      <c r="A199" s="10" t="n">
        <v>39</v>
      </c>
      <c r="B199" s="11" t="s">
        <v>174</v>
      </c>
      <c r="C199" s="12" t="n">
        <f aca="false">100000+80000+50000+186500</f>
        <v>416500</v>
      </c>
      <c r="D199" s="12" t="n">
        <f aca="false">E199-C199</f>
        <v>0</v>
      </c>
      <c r="E199" s="13" t="n">
        <v>416500</v>
      </c>
    </row>
    <row r="200" customFormat="false" ht="15" hidden="false" customHeight="false" outlineLevel="0" collapsed="false">
      <c r="A200" s="10" t="n">
        <v>40</v>
      </c>
      <c r="B200" s="11" t="s">
        <v>175</v>
      </c>
      <c r="C200" s="12"/>
      <c r="D200" s="12" t="n">
        <f aca="false">E200-C200</f>
        <v>416500</v>
      </c>
      <c r="E200" s="13" t="n">
        <v>416500</v>
      </c>
    </row>
    <row r="201" customFormat="false" ht="15" hidden="false" customHeight="false" outlineLevel="0" collapsed="false">
      <c r="A201" s="10" t="n">
        <v>41</v>
      </c>
      <c r="B201" s="11" t="s">
        <v>176</v>
      </c>
      <c r="C201" s="12" t="n">
        <f aca="false">150000+50000</f>
        <v>200000</v>
      </c>
      <c r="D201" s="12" t="n">
        <f aca="false">E201-C201</f>
        <v>216500</v>
      </c>
      <c r="E201" s="13" t="n">
        <v>416500</v>
      </c>
    </row>
    <row r="202" customFormat="false" ht="15" hidden="false" customHeight="false" outlineLevel="0" collapsed="false">
      <c r="A202" s="10" t="n">
        <v>42</v>
      </c>
      <c r="B202" s="11" t="s">
        <v>177</v>
      </c>
      <c r="C202" s="12" t="n">
        <f aca="false">100000+116500+200000</f>
        <v>416500</v>
      </c>
      <c r="D202" s="12" t="n">
        <f aca="false">E202-C202</f>
        <v>0</v>
      </c>
      <c r="E202" s="13" t="n">
        <v>416500</v>
      </c>
    </row>
    <row r="203" customFormat="false" ht="15" hidden="false" customHeight="false" outlineLevel="0" collapsed="false">
      <c r="A203" s="10" t="n">
        <v>43</v>
      </c>
      <c r="B203" s="11" t="s">
        <v>178</v>
      </c>
      <c r="C203" s="12" t="n">
        <f aca="false">216500+200000</f>
        <v>416500</v>
      </c>
      <c r="D203" s="12" t="n">
        <f aca="false">E203-C203</f>
        <v>0</v>
      </c>
      <c r="E203" s="13" t="n">
        <v>416500</v>
      </c>
    </row>
    <row r="204" customFormat="false" ht="15" hidden="false" customHeight="false" outlineLevel="0" collapsed="false">
      <c r="A204" s="10" t="n">
        <v>44</v>
      </c>
      <c r="B204" s="11" t="s">
        <v>179</v>
      </c>
      <c r="C204" s="12" t="n">
        <v>100000</v>
      </c>
      <c r="D204" s="12" t="n">
        <f aca="false">E204-C204</f>
        <v>316500</v>
      </c>
      <c r="E204" s="13" t="n">
        <v>416500</v>
      </c>
    </row>
    <row r="205" customFormat="false" ht="15" hidden="false" customHeight="false" outlineLevel="0" collapsed="false">
      <c r="A205" s="10" t="n">
        <v>45</v>
      </c>
      <c r="B205" s="11" t="s">
        <v>180</v>
      </c>
      <c r="C205" s="12"/>
      <c r="D205" s="12" t="n">
        <f aca="false">E205-C205</f>
        <v>416500</v>
      </c>
      <c r="E205" s="13" t="n">
        <v>416500</v>
      </c>
    </row>
    <row r="206" customFormat="false" ht="15" hidden="false" customHeight="false" outlineLevel="0" collapsed="false">
      <c r="A206" s="10" t="n">
        <v>46</v>
      </c>
      <c r="B206" s="11" t="s">
        <v>181</v>
      </c>
      <c r="C206" s="12" t="n">
        <f aca="false">130000+85000</f>
        <v>215000</v>
      </c>
      <c r="D206" s="12" t="n">
        <f aca="false">E206-C206</f>
        <v>201500</v>
      </c>
      <c r="E206" s="13" t="n">
        <v>416500</v>
      </c>
    </row>
    <row r="207" customFormat="false" ht="15" hidden="false" customHeight="false" outlineLevel="0" collapsed="false">
      <c r="A207" s="10" t="n">
        <v>47</v>
      </c>
      <c r="B207" s="11" t="s">
        <v>182</v>
      </c>
      <c r="C207" s="12" t="n">
        <v>100000</v>
      </c>
      <c r="D207" s="12" t="n">
        <f aca="false">E207-C207</f>
        <v>316500</v>
      </c>
      <c r="E207" s="13" t="n">
        <v>416500</v>
      </c>
    </row>
    <row r="208" customFormat="false" ht="15" hidden="false" customHeight="false" outlineLevel="0" collapsed="false">
      <c r="A208" s="10" t="n">
        <v>48</v>
      </c>
      <c r="B208" s="11" t="s">
        <v>183</v>
      </c>
      <c r="C208" s="12" t="n">
        <f aca="false">216500+50000+100000+50000</f>
        <v>416500</v>
      </c>
      <c r="D208" s="12" t="n">
        <f aca="false">E208-C208</f>
        <v>0</v>
      </c>
      <c r="E208" s="13" t="n">
        <v>416500</v>
      </c>
    </row>
    <row r="209" customFormat="false" ht="15" hidden="false" customHeight="false" outlineLevel="0" collapsed="false">
      <c r="A209" s="10" t="n">
        <v>49</v>
      </c>
      <c r="B209" s="11" t="s">
        <v>184</v>
      </c>
      <c r="C209" s="12" t="n">
        <f aca="false">150000+60000+206500</f>
        <v>416500</v>
      </c>
      <c r="D209" s="12" t="n">
        <f aca="false">E209-C209</f>
        <v>0</v>
      </c>
      <c r="E209" s="13" t="n">
        <v>416500</v>
      </c>
    </row>
    <row r="210" customFormat="false" ht="15" hidden="false" customHeight="false" outlineLevel="0" collapsed="false">
      <c r="A210" s="10" t="n">
        <v>50</v>
      </c>
      <c r="B210" s="11" t="s">
        <v>185</v>
      </c>
      <c r="C210" s="12" t="n">
        <f aca="false">50000+180000+110000+76500</f>
        <v>416500</v>
      </c>
      <c r="D210" s="12" t="n">
        <f aca="false">E210-C210</f>
        <v>0</v>
      </c>
      <c r="E210" s="13" t="n">
        <v>416500</v>
      </c>
    </row>
    <row r="211" customFormat="false" ht="15" hidden="false" customHeight="false" outlineLevel="0" collapsed="false">
      <c r="A211" s="10" t="n">
        <v>51</v>
      </c>
      <c r="B211" s="11" t="s">
        <v>186</v>
      </c>
      <c r="C211" s="12" t="n">
        <f aca="false">200000+216500</f>
        <v>416500</v>
      </c>
      <c r="D211" s="12" t="n">
        <f aca="false">E211-C211</f>
        <v>0</v>
      </c>
      <c r="E211" s="13" t="n">
        <v>416500</v>
      </c>
    </row>
    <row r="212" customFormat="false" ht="15" hidden="false" customHeight="false" outlineLevel="0" collapsed="false">
      <c r="A212" s="10" t="n">
        <v>52</v>
      </c>
      <c r="B212" s="11" t="s">
        <v>187</v>
      </c>
      <c r="C212" s="12"/>
      <c r="D212" s="12" t="n">
        <f aca="false">E212-C212</f>
        <v>416500</v>
      </c>
      <c r="E212" s="13" t="n">
        <v>416500</v>
      </c>
    </row>
    <row r="213" customFormat="false" ht="15" hidden="false" customHeight="false" outlineLevel="0" collapsed="false">
      <c r="A213" s="10" t="n">
        <v>53</v>
      </c>
      <c r="B213" s="11" t="s">
        <v>188</v>
      </c>
      <c r="C213" s="12"/>
      <c r="D213" s="12" t="n">
        <f aca="false">E213-C213</f>
        <v>416500</v>
      </c>
      <c r="E213" s="13" t="n">
        <v>416500</v>
      </c>
    </row>
    <row r="214" customFormat="false" ht="15" hidden="false" customHeight="false" outlineLevel="0" collapsed="false">
      <c r="A214" s="10" t="n">
        <v>54</v>
      </c>
      <c r="B214" s="11" t="s">
        <v>189</v>
      </c>
      <c r="C214" s="12" t="n">
        <v>216500</v>
      </c>
      <c r="D214" s="12" t="n">
        <f aca="false">E214-C214</f>
        <v>200000</v>
      </c>
      <c r="E214" s="13" t="n">
        <v>416500</v>
      </c>
    </row>
    <row r="215" customFormat="false" ht="15" hidden="false" customHeight="false" outlineLevel="0" collapsed="false">
      <c r="A215" s="10" t="n">
        <v>54</v>
      </c>
      <c r="B215" s="11" t="s">
        <v>190</v>
      </c>
      <c r="C215" s="12"/>
      <c r="D215" s="12" t="n">
        <f aca="false">E215-C215</f>
        <v>416500</v>
      </c>
      <c r="E215" s="13" t="n">
        <v>416500</v>
      </c>
    </row>
    <row r="216" customFormat="false" ht="19.7" hidden="false" customHeight="false" outlineLevel="0" collapsed="false">
      <c r="A216" s="15"/>
      <c r="B216" s="16" t="s">
        <v>60</v>
      </c>
      <c r="C216" s="17" t="n">
        <f aca="false">SUM(C160:C215)</f>
        <v>13023500</v>
      </c>
      <c r="D216" s="18" t="e">
        <f aca="false">SUM(D160:D215)</f>
        <v>#VALUE!</v>
      </c>
      <c r="E216" s="19" t="n">
        <f aca="false">SUM(E160:E215)</f>
        <v>23324000</v>
      </c>
    </row>
    <row r="218" customFormat="false" ht="15" hidden="false" customHeight="false" outlineLevel="0" collapsed="false">
      <c r="A218" s="15"/>
    </row>
    <row r="219" customFormat="false" ht="15" hidden="false" customHeight="false" outlineLevel="0" collapsed="false">
      <c r="A219" s="15"/>
    </row>
    <row r="220" customFormat="false" ht="17.35" hidden="false" customHeight="false" outlineLevel="0" collapsed="false">
      <c r="A220" s="22"/>
      <c r="B220" s="1" t="s">
        <v>0</v>
      </c>
    </row>
    <row r="221" customFormat="false" ht="15" hidden="false" customHeight="false" outlineLevel="0" collapsed="false">
      <c r="A221" s="15"/>
    </row>
    <row r="222" customFormat="false" ht="15" hidden="false" customHeight="false" outlineLevel="0" collapsed="false">
      <c r="A222" s="15"/>
    </row>
    <row r="223" customFormat="false" ht="15" hidden="false" customHeight="false" outlineLevel="0" collapsed="false">
      <c r="A223" s="15"/>
      <c r="B223" s="3" t="s">
        <v>191</v>
      </c>
      <c r="D223" s="4" t="s">
        <v>3</v>
      </c>
    </row>
    <row r="224" customFormat="false" ht="15" hidden="false" customHeight="false" outlineLevel="0" collapsed="false">
      <c r="A224" s="15"/>
    </row>
    <row r="225" customFormat="false" ht="15" hidden="false" customHeight="false" outlineLevel="0" collapsed="false">
      <c r="A225" s="5" t="s">
        <v>4</v>
      </c>
      <c r="B225" s="6" t="s">
        <v>5</v>
      </c>
      <c r="C225" s="7" t="s">
        <v>6</v>
      </c>
      <c r="D225" s="8" t="s">
        <v>7</v>
      </c>
      <c r="E225" s="9" t="s">
        <v>8</v>
      </c>
    </row>
    <row r="226" customFormat="false" ht="15" hidden="false" customHeight="false" outlineLevel="0" collapsed="false">
      <c r="A226" s="10" t="n">
        <v>1</v>
      </c>
      <c r="B226" s="11" t="s">
        <v>192</v>
      </c>
      <c r="C226" s="12" t="n">
        <v>200000</v>
      </c>
      <c r="D226" s="12" t="n">
        <f aca="false">E226-C226</f>
        <v>216500</v>
      </c>
      <c r="E226" s="13" t="n">
        <v>416500</v>
      </c>
    </row>
    <row r="227" customFormat="false" ht="15" hidden="false" customHeight="false" outlineLevel="0" collapsed="false">
      <c r="A227" s="10" t="n">
        <v>2</v>
      </c>
      <c r="B227" s="11" t="s">
        <v>193</v>
      </c>
      <c r="C227" s="12" t="n">
        <f aca="false">150000+40000+60000+166000</f>
        <v>416000</v>
      </c>
      <c r="D227" s="12" t="n">
        <f aca="false">E227-C227</f>
        <v>500</v>
      </c>
      <c r="E227" s="13" t="n">
        <v>416500</v>
      </c>
    </row>
    <row r="228" customFormat="false" ht="15" hidden="false" customHeight="false" outlineLevel="0" collapsed="false">
      <c r="A228" s="10" t="n">
        <v>3</v>
      </c>
      <c r="B228" s="11" t="s">
        <v>194</v>
      </c>
      <c r="C228" s="12" t="n">
        <f aca="false">155000+61500</f>
        <v>216500</v>
      </c>
      <c r="D228" s="12" t="n">
        <f aca="false">E228-C228</f>
        <v>200000</v>
      </c>
      <c r="E228" s="13" t="n">
        <v>416500</v>
      </c>
    </row>
    <row r="229" customFormat="false" ht="15" hidden="false" customHeight="false" outlineLevel="0" collapsed="false">
      <c r="A229" s="10" t="n">
        <v>4</v>
      </c>
      <c r="B229" s="11" t="s">
        <v>195</v>
      </c>
      <c r="C229" s="12" t="n">
        <f aca="false">216500+198500</f>
        <v>415000</v>
      </c>
      <c r="D229" s="12" t="n">
        <f aca="false">E229-C229</f>
        <v>1500</v>
      </c>
      <c r="E229" s="13" t="n">
        <v>416500</v>
      </c>
    </row>
    <row r="230" customFormat="false" ht="15" hidden="false" customHeight="false" outlineLevel="0" collapsed="false">
      <c r="A230" s="10"/>
      <c r="B230" s="11" t="s">
        <v>196</v>
      </c>
      <c r="C230" s="12" t="n">
        <f aca="false">200000+216500</f>
        <v>416500</v>
      </c>
      <c r="D230" s="12" t="n">
        <f aca="false">E230-C230</f>
        <v>0</v>
      </c>
      <c r="E230" s="13" t="n">
        <v>416500</v>
      </c>
    </row>
    <row r="231" customFormat="false" ht="15" hidden="false" customHeight="false" outlineLevel="0" collapsed="false">
      <c r="A231" s="10" t="n">
        <v>5</v>
      </c>
      <c r="B231" s="11" t="s">
        <v>197</v>
      </c>
      <c r="C231" s="12" t="n">
        <f aca="false">100000+216500+100000</f>
        <v>416500</v>
      </c>
      <c r="D231" s="12" t="n">
        <f aca="false">E231-C231</f>
        <v>0</v>
      </c>
      <c r="E231" s="13" t="n">
        <v>416500</v>
      </c>
    </row>
    <row r="232" customFormat="false" ht="15" hidden="false" customHeight="false" outlineLevel="0" collapsed="false">
      <c r="A232" s="10" t="n">
        <v>6</v>
      </c>
      <c r="B232" s="11" t="s">
        <v>198</v>
      </c>
      <c r="C232" s="12" t="n">
        <f aca="false">150000+50000</f>
        <v>200000</v>
      </c>
      <c r="D232" s="12" t="n">
        <f aca="false">E232-C232</f>
        <v>216500</v>
      </c>
      <c r="E232" s="13" t="n">
        <v>416500</v>
      </c>
    </row>
    <row r="233" customFormat="false" ht="15" hidden="false" customHeight="false" outlineLevel="0" collapsed="false">
      <c r="A233" s="10" t="n">
        <v>7</v>
      </c>
      <c r="B233" s="11" t="s">
        <v>199</v>
      </c>
      <c r="C233" s="12" t="n">
        <f aca="false">200000+216500</f>
        <v>416500</v>
      </c>
      <c r="D233" s="12" t="n">
        <f aca="false">E233-C233</f>
        <v>0</v>
      </c>
      <c r="E233" s="13" t="n">
        <v>416500</v>
      </c>
    </row>
    <row r="234" customFormat="false" ht="15" hidden="false" customHeight="false" outlineLevel="0" collapsed="false">
      <c r="A234" s="10" t="n">
        <v>8</v>
      </c>
      <c r="B234" s="11" t="s">
        <v>200</v>
      </c>
      <c r="C234" s="12" t="n">
        <v>216500</v>
      </c>
      <c r="D234" s="12" t="n">
        <f aca="false">E234-C234</f>
        <v>200000</v>
      </c>
      <c r="E234" s="13" t="n">
        <v>416500</v>
      </c>
    </row>
    <row r="235" customFormat="false" ht="15" hidden="false" customHeight="false" outlineLevel="0" collapsed="false">
      <c r="A235" s="10" t="n">
        <v>9</v>
      </c>
      <c r="B235" s="11" t="s">
        <v>201</v>
      </c>
      <c r="C235" s="12" t="n">
        <f aca="false">230000+186000+500</f>
        <v>416500</v>
      </c>
      <c r="D235" s="12" t="n">
        <f aca="false">E235-C235</f>
        <v>0</v>
      </c>
      <c r="E235" s="13" t="n">
        <v>416500</v>
      </c>
    </row>
    <row r="236" customFormat="false" ht="15" hidden="false" customHeight="false" outlineLevel="0" collapsed="false">
      <c r="A236" s="10" t="n">
        <v>10</v>
      </c>
      <c r="B236" s="11" t="s">
        <v>202</v>
      </c>
      <c r="C236" s="12" t="n">
        <f aca="false">116000+105000+195500</f>
        <v>416500</v>
      </c>
      <c r="D236" s="12" t="n">
        <f aca="false">E236-C236</f>
        <v>0</v>
      </c>
      <c r="E236" s="13" t="n">
        <v>416500</v>
      </c>
    </row>
    <row r="237" customFormat="false" ht="15" hidden="false" customHeight="false" outlineLevel="0" collapsed="false">
      <c r="A237" s="10" t="n">
        <v>11</v>
      </c>
      <c r="B237" s="11" t="s">
        <v>203</v>
      </c>
      <c r="C237" s="12" t="n">
        <f aca="false">200000+216000+500</f>
        <v>416500</v>
      </c>
      <c r="D237" s="12" t="n">
        <f aca="false">E237-C237</f>
        <v>0</v>
      </c>
      <c r="E237" s="13" t="n">
        <v>416500</v>
      </c>
    </row>
    <row r="238" customFormat="false" ht="15" hidden="false" customHeight="false" outlineLevel="0" collapsed="false">
      <c r="A238" s="10" t="n">
        <v>12</v>
      </c>
      <c r="B238" s="11" t="s">
        <v>204</v>
      </c>
      <c r="C238" s="12"/>
      <c r="D238" s="12" t="n">
        <f aca="false">E238-C238</f>
        <v>416500</v>
      </c>
      <c r="E238" s="13" t="n">
        <v>416500</v>
      </c>
    </row>
    <row r="239" customFormat="false" ht="15" hidden="false" customHeight="false" outlineLevel="0" collapsed="false">
      <c r="A239" s="10" t="n">
        <v>13</v>
      </c>
      <c r="B239" s="11" t="s">
        <v>205</v>
      </c>
      <c r="C239" s="12"/>
      <c r="D239" s="12" t="n">
        <f aca="false">E239-C239</f>
        <v>416500</v>
      </c>
      <c r="E239" s="13" t="n">
        <v>416500</v>
      </c>
    </row>
    <row r="240" customFormat="false" ht="15" hidden="false" customHeight="false" outlineLevel="0" collapsed="false">
      <c r="A240" s="10" t="n">
        <v>14</v>
      </c>
      <c r="B240" s="11" t="s">
        <v>206</v>
      </c>
      <c r="C240" s="12"/>
      <c r="D240" s="12" t="n">
        <f aca="false">E240-C240</f>
        <v>416500</v>
      </c>
      <c r="E240" s="13" t="n">
        <v>416500</v>
      </c>
    </row>
    <row r="241" customFormat="false" ht="15" hidden="false" customHeight="false" outlineLevel="0" collapsed="false">
      <c r="A241" s="10" t="n">
        <v>15</v>
      </c>
      <c r="B241" s="11" t="s">
        <v>207</v>
      </c>
      <c r="C241" s="12" t="n">
        <f aca="false">200000+216500</f>
        <v>416500</v>
      </c>
      <c r="D241" s="12" t="n">
        <f aca="false">E241-C241</f>
        <v>0</v>
      </c>
      <c r="E241" s="13" t="n">
        <v>416500</v>
      </c>
    </row>
    <row r="242" customFormat="false" ht="15" hidden="false" customHeight="false" outlineLevel="0" collapsed="false">
      <c r="A242" s="10" t="n">
        <v>16</v>
      </c>
      <c r="B242" s="11" t="s">
        <v>208</v>
      </c>
      <c r="C242" s="12" t="n">
        <f aca="false">200000+50000+50000+116000+500</f>
        <v>416500</v>
      </c>
      <c r="D242" s="12" t="n">
        <f aca="false">E242-C242</f>
        <v>0</v>
      </c>
      <c r="E242" s="13" t="n">
        <v>416500</v>
      </c>
    </row>
    <row r="243" customFormat="false" ht="15" hidden="false" customHeight="false" outlineLevel="0" collapsed="false">
      <c r="A243" s="10" t="n">
        <v>17</v>
      </c>
      <c r="B243" s="11" t="s">
        <v>209</v>
      </c>
      <c r="C243" s="12" t="n">
        <f aca="false">200000</f>
        <v>200000</v>
      </c>
      <c r="D243" s="12" t="n">
        <f aca="false">E243-C243</f>
        <v>216500</v>
      </c>
      <c r="E243" s="13" t="n">
        <v>416500</v>
      </c>
    </row>
    <row r="244" customFormat="false" ht="15" hidden="false" customHeight="false" outlineLevel="0" collapsed="false">
      <c r="A244" s="10" t="n">
        <v>18</v>
      </c>
      <c r="B244" s="11" t="s">
        <v>210</v>
      </c>
      <c r="C244" s="12" t="n">
        <v>416000</v>
      </c>
      <c r="D244" s="12" t="n">
        <f aca="false">E244-C244</f>
        <v>500</v>
      </c>
      <c r="E244" s="13" t="n">
        <v>416500</v>
      </c>
    </row>
    <row r="245" customFormat="false" ht="15" hidden="false" customHeight="false" outlineLevel="0" collapsed="false">
      <c r="A245" s="10" t="n">
        <v>19</v>
      </c>
      <c r="B245" s="11" t="s">
        <v>211</v>
      </c>
      <c r="C245" s="12" t="n">
        <f aca="false">200000+50000+166500</f>
        <v>416500</v>
      </c>
      <c r="D245" s="12" t="n">
        <f aca="false">E245-C245</f>
        <v>0</v>
      </c>
      <c r="E245" s="13" t="n">
        <v>416500</v>
      </c>
    </row>
    <row r="246" customFormat="false" ht="15" hidden="false" customHeight="false" outlineLevel="0" collapsed="false">
      <c r="A246" s="10" t="n">
        <v>20</v>
      </c>
      <c r="B246" s="11" t="s">
        <v>212</v>
      </c>
      <c r="C246" s="12" t="n">
        <v>200000</v>
      </c>
      <c r="D246" s="12" t="n">
        <f aca="false">E246-C246</f>
        <v>216500</v>
      </c>
      <c r="E246" s="13" t="n">
        <v>416500</v>
      </c>
    </row>
    <row r="247" customFormat="false" ht="15" hidden="false" customHeight="false" outlineLevel="0" collapsed="false">
      <c r="A247" s="10" t="n">
        <v>21</v>
      </c>
      <c r="B247" s="11" t="s">
        <v>213</v>
      </c>
      <c r="C247" s="12" t="n">
        <f aca="false">100000+100000</f>
        <v>200000</v>
      </c>
      <c r="D247" s="12" t="n">
        <f aca="false">E247-C247</f>
        <v>216500</v>
      </c>
      <c r="E247" s="13" t="n">
        <v>416500</v>
      </c>
    </row>
    <row r="248" customFormat="false" ht="15" hidden="false" customHeight="false" outlineLevel="0" collapsed="false">
      <c r="A248" s="10" t="n">
        <v>22</v>
      </c>
      <c r="B248" s="11" t="s">
        <v>214</v>
      </c>
      <c r="C248" s="12"/>
      <c r="D248" s="12" t="n">
        <f aca="false">E248-C248</f>
        <v>416500</v>
      </c>
      <c r="E248" s="13" t="n">
        <v>416500</v>
      </c>
    </row>
    <row r="249" customFormat="false" ht="15" hidden="false" customHeight="false" outlineLevel="0" collapsed="false">
      <c r="A249" s="10" t="n">
        <v>23</v>
      </c>
      <c r="B249" s="11" t="s">
        <v>215</v>
      </c>
      <c r="C249" s="12"/>
      <c r="D249" s="12" t="n">
        <f aca="false">E249-C249</f>
        <v>416500</v>
      </c>
      <c r="E249" s="13" t="n">
        <v>416500</v>
      </c>
    </row>
    <row r="250" customFormat="false" ht="15" hidden="false" customHeight="false" outlineLevel="0" collapsed="false">
      <c r="A250" s="10" t="n">
        <v>24</v>
      </c>
      <c r="B250" s="11" t="s">
        <v>216</v>
      </c>
      <c r="C250" s="12" t="n">
        <f aca="false">195000+55000+140000</f>
        <v>390000</v>
      </c>
      <c r="D250" s="12" t="n">
        <f aca="false">E250-C250</f>
        <v>26500</v>
      </c>
      <c r="E250" s="13" t="n">
        <v>416500</v>
      </c>
    </row>
    <row r="251" customFormat="false" ht="15" hidden="false" customHeight="false" outlineLevel="0" collapsed="false">
      <c r="A251" s="10" t="n">
        <v>25</v>
      </c>
      <c r="B251" s="11" t="s">
        <v>217</v>
      </c>
      <c r="C251" s="12" t="n">
        <f aca="false">200000+100000+116500</f>
        <v>416500</v>
      </c>
      <c r="D251" s="12" t="n">
        <f aca="false">E251-C251</f>
        <v>0</v>
      </c>
      <c r="E251" s="13" t="n">
        <v>416500</v>
      </c>
    </row>
    <row r="252" customFormat="false" ht="15" hidden="false" customHeight="false" outlineLevel="0" collapsed="false">
      <c r="A252" s="10" t="n">
        <v>26</v>
      </c>
      <c r="B252" s="11" t="s">
        <v>218</v>
      </c>
      <c r="C252" s="12" t="n">
        <f aca="false">216500+200000</f>
        <v>416500</v>
      </c>
      <c r="D252" s="12" t="n">
        <f aca="false">E252-C252</f>
        <v>0</v>
      </c>
      <c r="E252" s="13" t="n">
        <v>416500</v>
      </c>
    </row>
    <row r="253" customFormat="false" ht="15" hidden="false" customHeight="false" outlineLevel="0" collapsed="false">
      <c r="A253" s="10" t="n">
        <v>27</v>
      </c>
      <c r="B253" s="11" t="s">
        <v>219</v>
      </c>
      <c r="C253" s="12" t="n">
        <f aca="false">216500+200000</f>
        <v>416500</v>
      </c>
      <c r="D253" s="12" t="n">
        <f aca="false">E253-C253</f>
        <v>0</v>
      </c>
      <c r="E253" s="13" t="n">
        <v>416500</v>
      </c>
    </row>
    <row r="254" customFormat="false" ht="15" hidden="false" customHeight="false" outlineLevel="0" collapsed="false">
      <c r="A254" s="10" t="n">
        <v>28</v>
      </c>
      <c r="B254" s="11" t="s">
        <v>220</v>
      </c>
      <c r="C254" s="12"/>
      <c r="D254" s="12" t="n">
        <f aca="false">E254-C254</f>
        <v>416500</v>
      </c>
      <c r="E254" s="13" t="n">
        <v>416500</v>
      </c>
    </row>
    <row r="255" customFormat="false" ht="15" hidden="false" customHeight="false" outlineLevel="0" collapsed="false">
      <c r="A255" s="10" t="n">
        <v>29</v>
      </c>
      <c r="B255" s="11" t="s">
        <v>221</v>
      </c>
      <c r="C255" s="12" t="n">
        <f aca="false">60000+100000+40000+70000+120000+26500</f>
        <v>416500</v>
      </c>
      <c r="D255" s="12" t="n">
        <f aca="false">E255-C255</f>
        <v>0</v>
      </c>
      <c r="E255" s="13" t="n">
        <v>416500</v>
      </c>
    </row>
    <row r="256" customFormat="false" ht="19.7" hidden="false" customHeight="false" outlineLevel="0" collapsed="false">
      <c r="A256" s="15"/>
      <c r="B256" s="16" t="s">
        <v>60</v>
      </c>
      <c r="C256" s="17" t="n">
        <f aca="false">SUM(C226:C255)</f>
        <v>8484500</v>
      </c>
      <c r="D256" s="18" t="n">
        <f aca="false">SUM(D226:D255)</f>
        <v>4010500</v>
      </c>
      <c r="E256" s="19" t="n">
        <f aca="false">SUM(E226:E255)</f>
        <v>12495000</v>
      </c>
    </row>
    <row r="259" customFormat="false" ht="17.35" hidden="false" customHeight="false" outlineLevel="0" collapsed="false">
      <c r="A259" s="22"/>
      <c r="B259" s="1" t="s">
        <v>0</v>
      </c>
      <c r="C259" s="1"/>
    </row>
    <row r="260" customFormat="false" ht="15" hidden="false" customHeight="false" outlineLevel="0" collapsed="false">
      <c r="A260" s="15"/>
    </row>
    <row r="261" customFormat="false" ht="15" hidden="false" customHeight="false" outlineLevel="0" collapsed="false">
      <c r="A261" s="15"/>
    </row>
    <row r="262" customFormat="false" ht="15" hidden="false" customHeight="false" outlineLevel="0" collapsed="false">
      <c r="A262" s="15"/>
      <c r="B262" s="3" t="s">
        <v>222</v>
      </c>
      <c r="D262" s="4" t="s">
        <v>3</v>
      </c>
    </row>
    <row r="263" customFormat="false" ht="15" hidden="false" customHeight="false" outlineLevel="0" collapsed="false">
      <c r="A263" s="15"/>
    </row>
    <row r="264" customFormat="false" ht="15" hidden="false" customHeight="false" outlineLevel="0" collapsed="false">
      <c r="A264" s="5" t="s">
        <v>4</v>
      </c>
      <c r="B264" s="6" t="s">
        <v>5</v>
      </c>
      <c r="C264" s="7" t="s">
        <v>6</v>
      </c>
      <c r="D264" s="8" t="s">
        <v>7</v>
      </c>
      <c r="E264" s="9" t="s">
        <v>8</v>
      </c>
    </row>
    <row r="265" customFormat="false" ht="15" hidden="false" customHeight="false" outlineLevel="0" collapsed="false">
      <c r="A265" s="10" t="n">
        <v>1</v>
      </c>
      <c r="B265" s="11" t="s">
        <v>223</v>
      </c>
      <c r="C265" s="12" t="n">
        <v>150000</v>
      </c>
      <c r="D265" s="12" t="n">
        <f aca="false">E265-C265</f>
        <v>266500</v>
      </c>
      <c r="E265" s="13" t="n">
        <v>416500</v>
      </c>
    </row>
    <row r="266" customFormat="false" ht="15" hidden="false" customHeight="false" outlineLevel="0" collapsed="false">
      <c r="A266" s="10" t="n">
        <v>2</v>
      </c>
      <c r="B266" s="11" t="s">
        <v>224</v>
      </c>
      <c r="C266" s="12" t="n">
        <f aca="false">200000+216500</f>
        <v>416500</v>
      </c>
      <c r="D266" s="12" t="n">
        <f aca="false">E266-C266</f>
        <v>0</v>
      </c>
      <c r="E266" s="13" t="n">
        <v>416500</v>
      </c>
    </row>
    <row r="267" customFormat="false" ht="15" hidden="false" customHeight="false" outlineLevel="0" collapsed="false">
      <c r="A267" s="10" t="n">
        <v>3</v>
      </c>
      <c r="B267" s="11" t="s">
        <v>225</v>
      </c>
      <c r="C267" s="12" t="n">
        <f aca="false">170000+206500+40000</f>
        <v>416500</v>
      </c>
      <c r="D267" s="12" t="n">
        <f aca="false">E267-C267</f>
        <v>0</v>
      </c>
      <c r="E267" s="13" t="n">
        <v>416500</v>
      </c>
    </row>
    <row r="268" customFormat="false" ht="15" hidden="false" customHeight="false" outlineLevel="0" collapsed="false">
      <c r="A268" s="10" t="n">
        <v>4</v>
      </c>
      <c r="B268" s="11" t="s">
        <v>226</v>
      </c>
      <c r="C268" s="12" t="n">
        <f aca="false">216500+100000+100000</f>
        <v>416500</v>
      </c>
      <c r="D268" s="12" t="n">
        <f aca="false">E268-C268</f>
        <v>0</v>
      </c>
      <c r="E268" s="13" t="n">
        <v>416500</v>
      </c>
    </row>
    <row r="269" customFormat="false" ht="15" hidden="false" customHeight="false" outlineLevel="0" collapsed="false">
      <c r="A269" s="10" t="n">
        <v>5</v>
      </c>
      <c r="B269" s="14" t="s">
        <v>227</v>
      </c>
      <c r="C269" s="12" t="n">
        <f aca="false">200000+50000+150000+16500</f>
        <v>416500</v>
      </c>
      <c r="D269" s="12" t="n">
        <f aca="false">E269-C269</f>
        <v>0</v>
      </c>
      <c r="E269" s="13" t="n">
        <v>416500</v>
      </c>
    </row>
    <row r="270" customFormat="false" ht="15" hidden="false" customHeight="false" outlineLevel="0" collapsed="false">
      <c r="A270" s="10" t="n">
        <v>6</v>
      </c>
      <c r="B270" s="11" t="s">
        <v>228</v>
      </c>
      <c r="C270" s="12" t="n">
        <f aca="false">170000+200000</f>
        <v>370000</v>
      </c>
      <c r="D270" s="12" t="n">
        <f aca="false">E270-C270</f>
        <v>46500</v>
      </c>
      <c r="E270" s="13" t="n">
        <v>416500</v>
      </c>
    </row>
    <row r="271" customFormat="false" ht="15" hidden="false" customHeight="false" outlineLevel="0" collapsed="false">
      <c r="A271" s="10" t="n">
        <v>7</v>
      </c>
      <c r="B271" s="11" t="s">
        <v>229</v>
      </c>
      <c r="C271" s="12" t="n">
        <f aca="false">210000+206500</f>
        <v>416500</v>
      </c>
      <c r="D271" s="12" t="n">
        <f aca="false">E271-C271</f>
        <v>0</v>
      </c>
      <c r="E271" s="13" t="n">
        <v>416500</v>
      </c>
    </row>
    <row r="272" customFormat="false" ht="15" hidden="false" customHeight="false" outlineLevel="0" collapsed="false">
      <c r="A272" s="10" t="n">
        <v>9</v>
      </c>
      <c r="B272" s="11" t="s">
        <v>230</v>
      </c>
      <c r="C272" s="12" t="n">
        <f aca="false">100000+100000</f>
        <v>200000</v>
      </c>
      <c r="D272" s="12" t="n">
        <f aca="false">E272-C272</f>
        <v>216500</v>
      </c>
      <c r="E272" s="13" t="n">
        <v>416500</v>
      </c>
    </row>
    <row r="273" customFormat="false" ht="15" hidden="false" customHeight="false" outlineLevel="0" collapsed="false">
      <c r="A273" s="10" t="n">
        <v>10</v>
      </c>
      <c r="B273" s="21" t="s">
        <v>231</v>
      </c>
      <c r="C273" s="12" t="n">
        <f aca="false">300000+116500</f>
        <v>416500</v>
      </c>
      <c r="D273" s="12" t="n">
        <f aca="false">E273-C273</f>
        <v>0</v>
      </c>
      <c r="E273" s="13" t="n">
        <v>416500</v>
      </c>
    </row>
    <row r="274" customFormat="false" ht="15" hidden="false" customHeight="false" outlineLevel="0" collapsed="false">
      <c r="A274" s="10" t="n">
        <v>11</v>
      </c>
      <c r="B274" s="11" t="s">
        <v>232</v>
      </c>
      <c r="C274" s="12" t="n">
        <v>416500</v>
      </c>
      <c r="D274" s="12" t="n">
        <f aca="false">E274-C274</f>
        <v>0</v>
      </c>
      <c r="E274" s="13" t="n">
        <v>416500</v>
      </c>
    </row>
    <row r="275" customFormat="false" ht="15" hidden="false" customHeight="false" outlineLevel="0" collapsed="false">
      <c r="A275" s="10" t="n">
        <v>12</v>
      </c>
      <c r="B275" s="11" t="s">
        <v>233</v>
      </c>
      <c r="C275" s="12" t="n">
        <f aca="false">216000+100000+100000+500</f>
        <v>416500</v>
      </c>
      <c r="D275" s="12" t="n">
        <f aca="false">E275-C275</f>
        <v>0</v>
      </c>
      <c r="E275" s="13" t="n">
        <v>416500</v>
      </c>
    </row>
    <row r="276" customFormat="false" ht="15" hidden="false" customHeight="false" outlineLevel="0" collapsed="false">
      <c r="A276" s="10" t="n">
        <v>13</v>
      </c>
      <c r="B276" s="11" t="s">
        <v>234</v>
      </c>
      <c r="C276" s="12" t="n">
        <v>200000</v>
      </c>
      <c r="D276" s="12" t="n">
        <f aca="false">E276-C276</f>
        <v>216500</v>
      </c>
      <c r="E276" s="13" t="n">
        <v>416500</v>
      </c>
    </row>
    <row r="277" customFormat="false" ht="15" hidden="false" customHeight="false" outlineLevel="0" collapsed="false">
      <c r="A277" s="10" t="n">
        <v>14</v>
      </c>
      <c r="B277" s="11" t="s">
        <v>235</v>
      </c>
      <c r="C277" s="12"/>
      <c r="D277" s="12" t="n">
        <f aca="false">E277-C277</f>
        <v>416500</v>
      </c>
      <c r="E277" s="13" t="n">
        <v>416500</v>
      </c>
    </row>
    <row r="278" customFormat="false" ht="15" hidden="false" customHeight="false" outlineLevel="0" collapsed="false">
      <c r="A278" s="10" t="n">
        <v>15</v>
      </c>
      <c r="B278" s="11" t="s">
        <v>236</v>
      </c>
      <c r="C278" s="12"/>
      <c r="D278" s="12" t="n">
        <f aca="false">E278-C278</f>
        <v>416500</v>
      </c>
      <c r="E278" s="13" t="n">
        <v>416500</v>
      </c>
    </row>
    <row r="279" customFormat="false" ht="15" hidden="false" customHeight="false" outlineLevel="0" collapsed="false">
      <c r="A279" s="10" t="n">
        <v>16</v>
      </c>
      <c r="B279" s="11" t="s">
        <v>237</v>
      </c>
      <c r="C279" s="12"/>
      <c r="D279" s="12" t="n">
        <f aca="false">E279-C279</f>
        <v>416500</v>
      </c>
      <c r="E279" s="13" t="n">
        <v>416500</v>
      </c>
    </row>
    <row r="280" customFormat="false" ht="15" hidden="false" customHeight="false" outlineLevel="0" collapsed="false">
      <c r="A280" s="10" t="n">
        <v>17</v>
      </c>
      <c r="B280" s="11" t="s">
        <v>238</v>
      </c>
      <c r="C280" s="12" t="n">
        <v>416500</v>
      </c>
      <c r="D280" s="12" t="n">
        <f aca="false">E280-C280</f>
        <v>0</v>
      </c>
      <c r="E280" s="13" t="n">
        <v>416500</v>
      </c>
    </row>
    <row r="281" customFormat="false" ht="15" hidden="false" customHeight="false" outlineLevel="0" collapsed="false">
      <c r="A281" s="10" t="n">
        <v>18</v>
      </c>
      <c r="B281" s="11" t="s">
        <v>239</v>
      </c>
      <c r="C281" s="12" t="n">
        <f aca="false">200000+140000+51500+25000</f>
        <v>416500</v>
      </c>
      <c r="D281" s="12" t="n">
        <f aca="false">E281-C281</f>
        <v>0</v>
      </c>
      <c r="E281" s="13" t="n">
        <v>416500</v>
      </c>
    </row>
    <row r="282" customFormat="false" ht="19.7" hidden="false" customHeight="false" outlineLevel="0" collapsed="false">
      <c r="A282" s="15"/>
      <c r="B282" s="16" t="s">
        <v>60</v>
      </c>
      <c r="C282" s="24" t="n">
        <f aca="false">SUM(C265:C281)</f>
        <v>5085000</v>
      </c>
      <c r="D282" s="18" t="n">
        <f aca="false">SUM(D265:D281)</f>
        <v>1995500</v>
      </c>
      <c r="E282" s="19" t="n">
        <f aca="false">SUM(E265:E281)</f>
        <v>7080500</v>
      </c>
    </row>
    <row r="288" customFormat="false" ht="17.35" hidden="false" customHeight="false" outlineLevel="0" collapsed="false">
      <c r="A288" s="22"/>
      <c r="B288" s="1" t="s">
        <v>0</v>
      </c>
    </row>
    <row r="289" customFormat="false" ht="15" hidden="false" customHeight="false" outlineLevel="0" collapsed="false">
      <c r="A289" s="15"/>
    </row>
    <row r="290" customFormat="false" ht="15" hidden="false" customHeight="false" outlineLevel="0" collapsed="false">
      <c r="A290" s="15"/>
    </row>
    <row r="291" customFormat="false" ht="15" hidden="false" customHeight="false" outlineLevel="0" collapsed="false">
      <c r="A291" s="15"/>
      <c r="B291" s="3" t="s">
        <v>240</v>
      </c>
      <c r="D291" s="4" t="s">
        <v>3</v>
      </c>
    </row>
    <row r="292" customFormat="false" ht="15" hidden="false" customHeight="false" outlineLevel="0" collapsed="false">
      <c r="A292" s="15"/>
    </row>
    <row r="293" customFormat="false" ht="15" hidden="false" customHeight="false" outlineLevel="0" collapsed="false">
      <c r="A293" s="5" t="s">
        <v>4</v>
      </c>
      <c r="B293" s="6" t="s">
        <v>5</v>
      </c>
      <c r="C293" s="7" t="s">
        <v>6</v>
      </c>
      <c r="D293" s="8" t="s">
        <v>7</v>
      </c>
      <c r="E293" s="9" t="s">
        <v>8</v>
      </c>
    </row>
    <row r="294" customFormat="false" ht="15" hidden="false" customHeight="false" outlineLevel="0" collapsed="false">
      <c r="A294" s="10" t="n">
        <v>1</v>
      </c>
      <c r="B294" s="11" t="s">
        <v>241</v>
      </c>
      <c r="C294" s="12"/>
      <c r="D294" s="12" t="n">
        <f aca="false">E294-C294</f>
        <v>416500</v>
      </c>
      <c r="E294" s="13" t="n">
        <v>416500</v>
      </c>
    </row>
    <row r="295" customFormat="false" ht="15" hidden="false" customHeight="false" outlineLevel="0" collapsed="false">
      <c r="A295" s="10" t="n">
        <v>2</v>
      </c>
      <c r="B295" s="11" t="s">
        <v>242</v>
      </c>
      <c r="C295" s="12"/>
      <c r="D295" s="12" t="n">
        <f aca="false">E295-C295</f>
        <v>416500</v>
      </c>
      <c r="E295" s="13" t="n">
        <v>416500</v>
      </c>
    </row>
    <row r="296" customFormat="false" ht="15" hidden="false" customHeight="false" outlineLevel="0" collapsed="false">
      <c r="A296" s="10" t="n">
        <v>3</v>
      </c>
      <c r="B296" s="11" t="s">
        <v>20</v>
      </c>
      <c r="C296" s="12"/>
      <c r="D296" s="12" t="n">
        <f aca="false">E296-C296</f>
        <v>416500</v>
      </c>
      <c r="E296" s="13" t="n">
        <v>416500</v>
      </c>
    </row>
    <row r="297" customFormat="false" ht="15" hidden="false" customHeight="false" outlineLevel="0" collapsed="false">
      <c r="A297" s="10" t="n">
        <v>4</v>
      </c>
      <c r="B297" s="11" t="s">
        <v>243</v>
      </c>
      <c r="C297" s="12"/>
      <c r="D297" s="12" t="n">
        <f aca="false">E297-C297</f>
        <v>416500</v>
      </c>
      <c r="E297" s="13" t="n">
        <v>416500</v>
      </c>
    </row>
    <row r="298" customFormat="false" ht="15" hidden="false" customHeight="false" outlineLevel="0" collapsed="false">
      <c r="A298" s="10" t="n">
        <v>5</v>
      </c>
      <c r="B298" s="11" t="s">
        <v>244</v>
      </c>
      <c r="C298" s="12" t="n">
        <f aca="false">200000+166500+50000</f>
        <v>416500</v>
      </c>
      <c r="D298" s="12" t="n">
        <f aca="false">E298-C298</f>
        <v>0</v>
      </c>
      <c r="E298" s="13" t="n">
        <v>416500</v>
      </c>
    </row>
    <row r="299" customFormat="false" ht="15" hidden="false" customHeight="false" outlineLevel="0" collapsed="false">
      <c r="A299" s="10" t="n">
        <v>6</v>
      </c>
      <c r="B299" s="11" t="s">
        <v>245</v>
      </c>
      <c r="C299" s="12" t="n">
        <f aca="false">100000+50000+50000</f>
        <v>200000</v>
      </c>
      <c r="D299" s="12" t="n">
        <f aca="false">E299-C299</f>
        <v>216500</v>
      </c>
      <c r="E299" s="13" t="n">
        <v>416500</v>
      </c>
    </row>
    <row r="300" customFormat="false" ht="15" hidden="false" customHeight="false" outlineLevel="0" collapsed="false">
      <c r="A300" s="10" t="n">
        <v>7</v>
      </c>
      <c r="B300" s="11" t="s">
        <v>246</v>
      </c>
      <c r="C300" s="12" t="n">
        <v>100000</v>
      </c>
      <c r="D300" s="12" t="n">
        <f aca="false">E300-C300</f>
        <v>316500</v>
      </c>
      <c r="E300" s="13" t="n">
        <v>416500</v>
      </c>
    </row>
    <row r="301" customFormat="false" ht="15" hidden="false" customHeight="false" outlineLevel="0" collapsed="false">
      <c r="A301" s="10" t="n">
        <v>8</v>
      </c>
      <c r="B301" s="11" t="s">
        <v>247</v>
      </c>
      <c r="C301" s="12" t="n">
        <f aca="false">216500+85000+115000</f>
        <v>416500</v>
      </c>
      <c r="D301" s="12" t="n">
        <f aca="false">E301-C301</f>
        <v>0</v>
      </c>
      <c r="E301" s="13" t="n">
        <v>416500</v>
      </c>
    </row>
    <row r="302" customFormat="false" ht="15" hidden="false" customHeight="false" outlineLevel="0" collapsed="false">
      <c r="A302" s="10" t="n">
        <v>9</v>
      </c>
      <c r="B302" s="11" t="s">
        <v>248</v>
      </c>
      <c r="C302" s="12" t="n">
        <f aca="false">117000+150000+50000+99500</f>
        <v>416500</v>
      </c>
      <c r="D302" s="12" t="n">
        <f aca="false">E302-C302</f>
        <v>0</v>
      </c>
      <c r="E302" s="13" t="n">
        <v>416500</v>
      </c>
    </row>
    <row r="303" customFormat="false" ht="15" hidden="false" customHeight="false" outlineLevel="0" collapsed="false">
      <c r="A303" s="10" t="n">
        <v>10</v>
      </c>
      <c r="B303" s="11" t="s">
        <v>249</v>
      </c>
      <c r="C303" s="12" t="n">
        <f aca="false">150000+50000+210000</f>
        <v>410000</v>
      </c>
      <c r="D303" s="12" t="n">
        <f aca="false">E303-C303</f>
        <v>6500</v>
      </c>
      <c r="E303" s="13" t="n">
        <v>416500</v>
      </c>
    </row>
    <row r="304" customFormat="false" ht="15" hidden="false" customHeight="false" outlineLevel="0" collapsed="false">
      <c r="A304" s="10" t="n">
        <v>11</v>
      </c>
      <c r="B304" s="11" t="s">
        <v>250</v>
      </c>
      <c r="C304" s="12" t="n">
        <f aca="false">200000+216500</f>
        <v>416500</v>
      </c>
      <c r="D304" s="12" t="n">
        <f aca="false">E304-C304</f>
        <v>0</v>
      </c>
      <c r="E304" s="13" t="n">
        <v>416500</v>
      </c>
    </row>
    <row r="305" customFormat="false" ht="15" hidden="false" customHeight="false" outlineLevel="0" collapsed="false">
      <c r="A305" s="10" t="n">
        <v>12</v>
      </c>
      <c r="B305" s="11" t="s">
        <v>251</v>
      </c>
      <c r="C305" s="12" t="n">
        <f aca="false">200000+200000+16500</f>
        <v>416500</v>
      </c>
      <c r="D305" s="12" t="n">
        <f aca="false">E305-C305</f>
        <v>0</v>
      </c>
      <c r="E305" s="13" t="n">
        <v>416500</v>
      </c>
    </row>
    <row r="306" customFormat="false" ht="15" hidden="false" customHeight="false" outlineLevel="0" collapsed="false">
      <c r="A306" s="10" t="n">
        <v>13</v>
      </c>
      <c r="B306" s="11" t="s">
        <v>252</v>
      </c>
      <c r="C306" s="12"/>
      <c r="D306" s="12" t="n">
        <f aca="false">E306-C306</f>
        <v>416500</v>
      </c>
      <c r="E306" s="13" t="n">
        <v>416500</v>
      </c>
    </row>
    <row r="307" customFormat="false" ht="15" hidden="false" customHeight="false" outlineLevel="0" collapsed="false">
      <c r="A307" s="10" t="n">
        <v>14</v>
      </c>
      <c r="B307" s="11" t="s">
        <v>253</v>
      </c>
      <c r="C307" s="12" t="n">
        <v>216500</v>
      </c>
      <c r="D307" s="12" t="n">
        <f aca="false">E307-C307</f>
        <v>200000</v>
      </c>
      <c r="E307" s="13" t="n">
        <v>416500</v>
      </c>
    </row>
    <row r="308" customFormat="false" ht="15" hidden="false" customHeight="false" outlineLevel="0" collapsed="false">
      <c r="A308" s="10" t="n">
        <v>15</v>
      </c>
      <c r="B308" s="11" t="s">
        <v>254</v>
      </c>
      <c r="C308" s="12"/>
      <c r="D308" s="12" t="n">
        <f aca="false">E308-C308</f>
        <v>416500</v>
      </c>
      <c r="E308" s="13" t="n">
        <v>416500</v>
      </c>
    </row>
    <row r="309" customFormat="false" ht="15" hidden="false" customHeight="false" outlineLevel="0" collapsed="false">
      <c r="A309" s="10" t="n">
        <v>16</v>
      </c>
      <c r="B309" s="11" t="s">
        <v>255</v>
      </c>
      <c r="C309" s="12" t="n">
        <f aca="false">200000+165000+50000+1500</f>
        <v>416500</v>
      </c>
      <c r="D309" s="12" t="n">
        <f aca="false">E309-C309</f>
        <v>0</v>
      </c>
      <c r="E309" s="13" t="n">
        <v>416500</v>
      </c>
    </row>
    <row r="310" customFormat="false" ht="15" hidden="false" customHeight="false" outlineLevel="0" collapsed="false">
      <c r="A310" s="10" t="n">
        <v>17</v>
      </c>
      <c r="B310" s="11" t="s">
        <v>256</v>
      </c>
      <c r="C310" s="12" t="n">
        <f aca="false">216500+100000+40000+60000</f>
        <v>416500</v>
      </c>
      <c r="D310" s="12" t="n">
        <f aca="false">E310-C310</f>
        <v>0</v>
      </c>
      <c r="E310" s="13" t="n">
        <v>416500</v>
      </c>
    </row>
    <row r="311" customFormat="false" ht="15" hidden="false" customHeight="false" outlineLevel="0" collapsed="false">
      <c r="A311" s="10" t="n">
        <v>18</v>
      </c>
      <c r="B311" s="11" t="s">
        <v>257</v>
      </c>
      <c r="C311" s="12" t="n">
        <v>250000</v>
      </c>
      <c r="D311" s="12" t="n">
        <f aca="false">E311-C311</f>
        <v>166500</v>
      </c>
      <c r="E311" s="13" t="n">
        <v>416500</v>
      </c>
    </row>
    <row r="312" customFormat="false" ht="15" hidden="false" customHeight="false" outlineLevel="0" collapsed="false">
      <c r="A312" s="10" t="n">
        <v>19</v>
      </c>
      <c r="B312" s="11" t="s">
        <v>258</v>
      </c>
      <c r="C312" s="12"/>
      <c r="D312" s="12" t="n">
        <f aca="false">E312-C312</f>
        <v>416500</v>
      </c>
      <c r="E312" s="13" t="n">
        <v>416500</v>
      </c>
    </row>
    <row r="313" customFormat="false" ht="15" hidden="false" customHeight="false" outlineLevel="0" collapsed="false">
      <c r="A313" s="10" t="n">
        <v>20</v>
      </c>
      <c r="B313" s="11" t="s">
        <v>259</v>
      </c>
      <c r="C313" s="12"/>
      <c r="D313" s="12" t="n">
        <f aca="false">E313-C313</f>
        <v>416500</v>
      </c>
      <c r="E313" s="13" t="n">
        <v>416500</v>
      </c>
    </row>
    <row r="314" customFormat="false" ht="19.7" hidden="false" customHeight="false" outlineLevel="0" collapsed="false">
      <c r="A314" s="15"/>
      <c r="B314" s="16" t="s">
        <v>60</v>
      </c>
      <c r="C314" s="24" t="n">
        <f aca="false">SUM(C294:C313)</f>
        <v>4092000</v>
      </c>
      <c r="D314" s="18" t="n">
        <f aca="false">SUM(D294:D313)</f>
        <v>4238000</v>
      </c>
      <c r="E314" s="19" t="n">
        <f aca="false">SUM(E294:E313)</f>
        <v>8330000</v>
      </c>
    </row>
    <row r="318" customFormat="false" ht="17.35" hidden="false" customHeight="false" outlineLevel="0" collapsed="false">
      <c r="A318" s="15"/>
      <c r="B318" s="1" t="s">
        <v>0</v>
      </c>
    </row>
    <row r="319" customFormat="false" ht="15" hidden="false" customHeight="false" outlineLevel="0" collapsed="false">
      <c r="A319" s="15"/>
    </row>
    <row r="320" customFormat="false" ht="15" hidden="false" customHeight="false" outlineLevel="0" collapsed="false">
      <c r="A320" s="15"/>
    </row>
    <row r="321" customFormat="false" ht="15" hidden="false" customHeight="false" outlineLevel="0" collapsed="false">
      <c r="A321" s="15"/>
      <c r="B321" s="3" t="s">
        <v>260</v>
      </c>
      <c r="E321" s="4" t="s">
        <v>3</v>
      </c>
    </row>
    <row r="322" customFormat="false" ht="15" hidden="false" customHeight="false" outlineLevel="0" collapsed="false">
      <c r="A322" s="15"/>
    </row>
    <row r="323" customFormat="false" ht="15" hidden="false" customHeight="false" outlineLevel="0" collapsed="false">
      <c r="A323" s="5" t="s">
        <v>4</v>
      </c>
      <c r="B323" s="6" t="s">
        <v>5</v>
      </c>
      <c r="C323" s="7" t="s">
        <v>6</v>
      </c>
      <c r="D323" s="8" t="s">
        <v>7</v>
      </c>
      <c r="E323" s="9" t="s">
        <v>8</v>
      </c>
    </row>
    <row r="324" customFormat="false" ht="15" hidden="false" customHeight="false" outlineLevel="0" collapsed="false">
      <c r="A324" s="10" t="n">
        <v>1</v>
      </c>
      <c r="B324" s="11" t="s">
        <v>113</v>
      </c>
      <c r="C324" s="12" t="n">
        <v>100000</v>
      </c>
      <c r="D324" s="12" t="n">
        <f aca="false">E324-C324</f>
        <v>316500</v>
      </c>
      <c r="E324" s="13" t="n">
        <v>416500</v>
      </c>
    </row>
    <row r="325" customFormat="false" ht="15" hidden="false" customHeight="false" outlineLevel="0" collapsed="false">
      <c r="A325" s="10" t="n">
        <v>2</v>
      </c>
      <c r="B325" s="11" t="s">
        <v>261</v>
      </c>
      <c r="C325" s="12"/>
      <c r="D325" s="12" t="n">
        <f aca="false">E325-C325</f>
        <v>416500</v>
      </c>
      <c r="E325" s="13" t="n">
        <v>416500</v>
      </c>
    </row>
    <row r="326" customFormat="false" ht="15" hidden="false" customHeight="false" outlineLevel="0" collapsed="false">
      <c r="A326" s="10" t="n">
        <v>3</v>
      </c>
      <c r="B326" s="11" t="s">
        <v>262</v>
      </c>
      <c r="C326" s="12" t="n">
        <f aca="false">216500+150000+50000</f>
        <v>416500</v>
      </c>
      <c r="D326" s="12" t="n">
        <f aca="false">E326-C326</f>
        <v>0</v>
      </c>
      <c r="E326" s="13" t="n">
        <v>416500</v>
      </c>
    </row>
    <row r="327" customFormat="false" ht="15" hidden="false" customHeight="false" outlineLevel="0" collapsed="false">
      <c r="A327" s="10" t="n">
        <v>4</v>
      </c>
      <c r="B327" s="11" t="s">
        <v>263</v>
      </c>
      <c r="C327" s="12" t="n">
        <f aca="false">216000+200000+500</f>
        <v>416500</v>
      </c>
      <c r="D327" s="12" t="n">
        <f aca="false">E327-C327</f>
        <v>0</v>
      </c>
      <c r="E327" s="13" t="n">
        <v>416500</v>
      </c>
    </row>
    <row r="328" customFormat="false" ht="15" hidden="false" customHeight="false" outlineLevel="0" collapsed="false">
      <c r="A328" s="10" t="n">
        <v>5</v>
      </c>
      <c r="B328" s="11" t="s">
        <v>264</v>
      </c>
      <c r="C328" s="12" t="n">
        <f aca="false">66000+150000+200500</f>
        <v>416500</v>
      </c>
      <c r="D328" s="12" t="n">
        <f aca="false">E328-C328</f>
        <v>0</v>
      </c>
      <c r="E328" s="13" t="n">
        <v>416500</v>
      </c>
    </row>
    <row r="329" customFormat="false" ht="15" hidden="false" customHeight="false" outlineLevel="0" collapsed="false">
      <c r="A329" s="10" t="n">
        <v>6</v>
      </c>
      <c r="B329" s="11" t="s">
        <v>265</v>
      </c>
      <c r="C329" s="12" t="n">
        <f aca="false">206500+150000+60000</f>
        <v>416500</v>
      </c>
      <c r="D329" s="12" t="n">
        <f aca="false">E329-C329</f>
        <v>0</v>
      </c>
      <c r="E329" s="13" t="n">
        <v>416500</v>
      </c>
    </row>
    <row r="330" customFormat="false" ht="15" hidden="false" customHeight="false" outlineLevel="0" collapsed="false">
      <c r="A330" s="10" t="n">
        <v>7</v>
      </c>
      <c r="B330" s="11" t="s">
        <v>266</v>
      </c>
      <c r="C330" s="12" t="n">
        <f aca="false">200000+216500</f>
        <v>416500</v>
      </c>
      <c r="D330" s="12" t="n">
        <f aca="false">E330-C330</f>
        <v>0</v>
      </c>
      <c r="E330" s="13" t="n">
        <v>416500</v>
      </c>
    </row>
    <row r="331" customFormat="false" ht="15" hidden="false" customHeight="false" outlineLevel="0" collapsed="false">
      <c r="A331" s="10" t="n">
        <v>8</v>
      </c>
      <c r="B331" s="11" t="s">
        <v>267</v>
      </c>
      <c r="C331" s="12" t="n">
        <f aca="false">160000+70000+85000+50000+51500</f>
        <v>416500</v>
      </c>
      <c r="D331" s="12" t="n">
        <f aca="false">E331-C331</f>
        <v>0</v>
      </c>
      <c r="E331" s="13" t="n">
        <v>416500</v>
      </c>
    </row>
    <row r="332" customFormat="false" ht="15" hidden="false" customHeight="false" outlineLevel="0" collapsed="false">
      <c r="A332" s="10" t="n">
        <v>9</v>
      </c>
      <c r="B332" s="11" t="s">
        <v>268</v>
      </c>
      <c r="C332" s="12" t="n">
        <f aca="false">300000+116500</f>
        <v>416500</v>
      </c>
      <c r="D332" s="12" t="n">
        <f aca="false">E332-C332</f>
        <v>0</v>
      </c>
      <c r="E332" s="13" t="n">
        <v>416500</v>
      </c>
    </row>
    <row r="333" customFormat="false" ht="15" hidden="false" customHeight="false" outlineLevel="0" collapsed="false">
      <c r="A333" s="10" t="n">
        <v>10</v>
      </c>
      <c r="B333" s="11" t="s">
        <v>269</v>
      </c>
      <c r="C333" s="12" t="n">
        <f aca="false">150000+150000+56500+60000</f>
        <v>416500</v>
      </c>
      <c r="D333" s="12" t="n">
        <f aca="false">E333-C333</f>
        <v>0</v>
      </c>
      <c r="E333" s="13" t="n">
        <v>416500</v>
      </c>
    </row>
    <row r="334" customFormat="false" ht="15" hidden="false" customHeight="false" outlineLevel="0" collapsed="false">
      <c r="A334" s="10" t="n">
        <v>11</v>
      </c>
      <c r="B334" s="11" t="s">
        <v>270</v>
      </c>
      <c r="C334" s="12" t="n">
        <f aca="false">200000+210000+6500</f>
        <v>416500</v>
      </c>
      <c r="D334" s="12" t="n">
        <f aca="false">E334-C334</f>
        <v>0</v>
      </c>
      <c r="E334" s="13" t="n">
        <v>416500</v>
      </c>
    </row>
    <row r="335" customFormat="false" ht="15" hidden="false" customHeight="false" outlineLevel="0" collapsed="false">
      <c r="A335" s="10" t="n">
        <v>12</v>
      </c>
      <c r="B335" s="11" t="s">
        <v>271</v>
      </c>
      <c r="C335" s="12" t="n">
        <f aca="false">150000+266500</f>
        <v>416500</v>
      </c>
      <c r="D335" s="12" t="n">
        <f aca="false">E335-C335</f>
        <v>0</v>
      </c>
      <c r="E335" s="13" t="n">
        <v>416500</v>
      </c>
    </row>
    <row r="336" customFormat="false" ht="15" hidden="false" customHeight="false" outlineLevel="0" collapsed="false">
      <c r="A336" s="10" t="n">
        <v>13</v>
      </c>
      <c r="B336" s="11" t="s">
        <v>272</v>
      </c>
      <c r="C336" s="12" t="n">
        <v>416500</v>
      </c>
      <c r="D336" s="12" t="n">
        <f aca="false">E336-C336</f>
        <v>0</v>
      </c>
      <c r="E336" s="13" t="n">
        <v>416500</v>
      </c>
    </row>
    <row r="337" customFormat="false" ht="15" hidden="false" customHeight="false" outlineLevel="0" collapsed="false">
      <c r="A337" s="10" t="n">
        <v>14</v>
      </c>
      <c r="B337" s="11" t="s">
        <v>273</v>
      </c>
      <c r="C337" s="12"/>
      <c r="D337" s="12" t="n">
        <v>416500</v>
      </c>
      <c r="E337" s="13" t="n">
        <v>416500</v>
      </c>
    </row>
    <row r="338" customFormat="false" ht="15" hidden="false" customHeight="false" outlineLevel="0" collapsed="false">
      <c r="A338" s="10" t="n">
        <v>15</v>
      </c>
      <c r="B338" s="11" t="s">
        <v>274</v>
      </c>
      <c r="C338" s="12"/>
      <c r="D338" s="12" t="n">
        <f aca="false">E338-C338</f>
        <v>416500</v>
      </c>
      <c r="E338" s="13" t="n">
        <v>416500</v>
      </c>
    </row>
    <row r="339" customFormat="false" ht="15" hidden="false" customHeight="false" outlineLevel="0" collapsed="false">
      <c r="A339" s="10" t="n">
        <v>16</v>
      </c>
      <c r="B339" s="11" t="s">
        <v>275</v>
      </c>
      <c r="C339" s="12" t="n">
        <f aca="false">200000+116000+100500</f>
        <v>416500</v>
      </c>
      <c r="D339" s="12" t="n">
        <f aca="false">E339-C339</f>
        <v>0</v>
      </c>
      <c r="E339" s="13" t="n">
        <v>416500</v>
      </c>
    </row>
    <row r="340" customFormat="false" ht="15" hidden="false" customHeight="false" outlineLevel="0" collapsed="false">
      <c r="A340" s="10" t="n">
        <v>17</v>
      </c>
      <c r="B340" s="14" t="s">
        <v>276</v>
      </c>
      <c r="C340" s="12"/>
      <c r="D340" s="12" t="n">
        <f aca="false">E340-C340</f>
        <v>416500</v>
      </c>
      <c r="E340" s="13" t="n">
        <v>416500</v>
      </c>
    </row>
    <row r="341" customFormat="false" ht="15" hidden="false" customHeight="false" outlineLevel="0" collapsed="false">
      <c r="A341" s="10" t="n">
        <v>18</v>
      </c>
      <c r="B341" s="11" t="s">
        <v>277</v>
      </c>
      <c r="C341" s="12"/>
      <c r="D341" s="12" t="n">
        <f aca="false">E341-C341</f>
        <v>416500</v>
      </c>
      <c r="E341" s="13" t="n">
        <v>416500</v>
      </c>
    </row>
    <row r="342" customFormat="false" ht="15" hidden="false" customHeight="false" outlineLevel="0" collapsed="false">
      <c r="A342" s="10" t="n">
        <v>19</v>
      </c>
      <c r="B342" s="11" t="s">
        <v>278</v>
      </c>
      <c r="C342" s="12" t="n">
        <f aca="false">216500+150000+50000</f>
        <v>416500</v>
      </c>
      <c r="D342" s="12" t="n">
        <f aca="false">E342-C342</f>
        <v>0</v>
      </c>
      <c r="E342" s="13" t="n">
        <v>416500</v>
      </c>
    </row>
    <row r="343" customFormat="false" ht="15" hidden="false" customHeight="false" outlineLevel="0" collapsed="false">
      <c r="A343" s="10" t="n">
        <v>20</v>
      </c>
      <c r="B343" s="11" t="s">
        <v>279</v>
      </c>
      <c r="C343" s="12"/>
      <c r="D343" s="12" t="n">
        <v>416500</v>
      </c>
      <c r="E343" s="13" t="n">
        <v>416500</v>
      </c>
    </row>
    <row r="344" customFormat="false" ht="15" hidden="false" customHeight="false" outlineLevel="0" collapsed="false">
      <c r="A344" s="10" t="n">
        <v>21</v>
      </c>
      <c r="B344" s="14" t="s">
        <v>280</v>
      </c>
      <c r="C344" s="12"/>
      <c r="D344" s="12" t="n">
        <v>416500</v>
      </c>
      <c r="E344" s="13" t="n">
        <v>416500</v>
      </c>
    </row>
    <row r="345" customFormat="false" ht="19.7" hidden="false" customHeight="false" outlineLevel="0" collapsed="false">
      <c r="A345" s="15"/>
      <c r="B345" s="16" t="s">
        <v>60</v>
      </c>
      <c r="C345" s="24" t="n">
        <f aca="false">SUM(C324:C344)</f>
        <v>5514500</v>
      </c>
      <c r="D345" s="18" t="n">
        <v>5000000</v>
      </c>
      <c r="E345" s="19" t="n">
        <f aca="false">SUM(E324:E344)</f>
        <v>8746500</v>
      </c>
    </row>
    <row r="346" customFormat="false" ht="15" hidden="false" customHeight="false" outlineLevel="0" collapsed="false">
      <c r="A346" s="15"/>
    </row>
    <row r="347" customFormat="false" ht="15" hidden="false" customHeight="false" outlineLevel="0" collapsed="false">
      <c r="A347" s="15"/>
    </row>
    <row r="348" customFormat="false" ht="15" hidden="false" customHeight="false" outlineLevel="0" collapsed="false">
      <c r="A348" s="15"/>
    </row>
    <row r="349" customFormat="false" ht="15" hidden="false" customHeight="false" outlineLevel="0" collapsed="false">
      <c r="A349" s="15"/>
      <c r="B349" s="3"/>
      <c r="C349" s="25"/>
    </row>
    <row r="350" customFormat="false" ht="15" hidden="false" customHeight="false" outlineLevel="0" collapsed="false">
      <c r="A350" s="15"/>
    </row>
    <row r="351" customFormat="false" ht="15" hidden="false" customHeight="false" outlineLevel="0" collapsed="false">
      <c r="A351" s="26"/>
      <c r="B351" s="3"/>
      <c r="C351" s="27"/>
      <c r="D351" s="28"/>
      <c r="E351" s="29"/>
    </row>
    <row r="352" customFormat="false" ht="15" hidden="false" customHeight="false" outlineLevel="0" collapsed="false">
      <c r="A352" s="15"/>
      <c r="C352" s="30"/>
      <c r="D352" s="30"/>
      <c r="E352" s="31"/>
    </row>
    <row r="353" customFormat="false" ht="15" hidden="false" customHeight="false" outlineLevel="0" collapsed="false">
      <c r="A353" s="15"/>
      <c r="C353" s="30"/>
      <c r="D353" s="30"/>
      <c r="E353" s="31"/>
    </row>
    <row r="354" customFormat="false" ht="15" hidden="false" customHeight="false" outlineLevel="0" collapsed="false">
      <c r="A354" s="15"/>
      <c r="C354" s="30"/>
      <c r="D354" s="30"/>
      <c r="E354" s="31"/>
    </row>
    <row r="355" customFormat="false" ht="15" hidden="false" customHeight="false" outlineLevel="0" collapsed="false">
      <c r="A355" s="15"/>
      <c r="C355" s="30"/>
      <c r="D355" s="30"/>
      <c r="E355" s="31"/>
    </row>
    <row r="356" customFormat="false" ht="15" hidden="false" customHeight="false" outlineLevel="0" collapsed="false">
      <c r="A356" s="15"/>
      <c r="B356" s="32"/>
      <c r="C356" s="30"/>
      <c r="D356" s="30"/>
      <c r="E356" s="31"/>
    </row>
    <row r="357" customFormat="false" ht="15" hidden="false" customHeight="false" outlineLevel="0" collapsed="false">
      <c r="A357" s="15"/>
      <c r="B357" s="32"/>
      <c r="C357" s="30"/>
      <c r="D357" s="30"/>
      <c r="E357" s="31"/>
    </row>
    <row r="358" customFormat="false" ht="15" hidden="false" customHeight="false" outlineLevel="0" collapsed="false">
      <c r="A358" s="15"/>
      <c r="C358" s="30"/>
      <c r="D358" s="30"/>
      <c r="E358" s="31"/>
    </row>
    <row r="359" customFormat="false" ht="15" hidden="false" customHeight="false" outlineLevel="0" collapsed="false">
      <c r="A359" s="15"/>
      <c r="C359" s="30"/>
      <c r="D359" s="30"/>
      <c r="E359" s="31"/>
    </row>
    <row r="360" customFormat="false" ht="15" hidden="false" customHeight="false" outlineLevel="0" collapsed="false">
      <c r="A360" s="15"/>
      <c r="C360" s="30"/>
      <c r="D360" s="30"/>
      <c r="E360" s="31"/>
    </row>
    <row r="361" customFormat="false" ht="21" hidden="false" customHeight="false" outlineLevel="0" collapsed="false">
      <c r="A361" s="15"/>
      <c r="B361" s="33"/>
      <c r="C361" s="34"/>
      <c r="D361" s="35"/>
      <c r="E361" s="36"/>
    </row>
    <row r="362" customFormat="false" ht="15" hidden="false" customHeight="false" outlineLevel="0" collapsed="false">
      <c r="A362" s="15"/>
    </row>
    <row r="363" customFormat="false" ht="15" hidden="false" customHeight="false" outlineLevel="0" collapsed="false">
      <c r="A363" s="15"/>
    </row>
    <row r="364" customFormat="false" ht="15" hidden="false" customHeight="false" outlineLevel="0" collapsed="false">
      <c r="A364" s="15"/>
    </row>
    <row r="365" customFormat="false" ht="15" hidden="false" customHeight="false" outlineLevel="0" collapsed="false">
      <c r="A365" s="15"/>
    </row>
    <row r="366" customFormat="false" ht="15" hidden="false" customHeight="false" outlineLevel="0" collapsed="false">
      <c r="A366" s="15"/>
    </row>
    <row r="367" customFormat="false" ht="15" hidden="false" customHeight="false" outlineLevel="0" collapsed="false">
      <c r="A367" s="15"/>
    </row>
    <row r="368" customFormat="false" ht="15" hidden="false" customHeight="false" outlineLevel="0" collapsed="false">
      <c r="A368" s="15"/>
    </row>
    <row r="369" customFormat="false" ht="15" hidden="false" customHeight="false" outlineLevel="0" collapsed="false">
      <c r="A369" s="15"/>
    </row>
    <row r="370" customFormat="false" ht="15" hidden="false" customHeight="false" outlineLevel="0" collapsed="false">
      <c r="A370" s="15"/>
    </row>
    <row r="371" customFormat="false" ht="15" hidden="false" customHeight="false" outlineLevel="0" collapsed="false">
      <c r="A371" s="15"/>
    </row>
    <row r="372" customFormat="false" ht="15" hidden="false" customHeight="false" outlineLevel="0" collapsed="false">
      <c r="A372" s="15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53735"/>
    <pageSetUpPr fitToPage="false"/>
  </sheetPr>
  <dimension ref="A2:E5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15" activeCellId="0" sqref="G1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2"/>
    <col collapsed="false" customWidth="true" hidden="false" outlineLevel="0" max="3" min="3" style="0" width="17.86"/>
    <col collapsed="false" customWidth="true" hidden="false" outlineLevel="0" max="4" min="4" style="0" width="15.29"/>
    <col collapsed="false" customWidth="true" hidden="false" outlineLevel="0" max="5" min="5" style="0" width="16.57"/>
  </cols>
  <sheetData>
    <row r="2" customFormat="false" ht="17.35" hidden="false" customHeight="false" outlineLevel="0" collapsed="false">
      <c r="A2" s="37"/>
      <c r="B2" s="1" t="s">
        <v>281</v>
      </c>
    </row>
    <row r="3" customFormat="false" ht="17.35" hidden="false" customHeight="false" outlineLevel="0" collapsed="false">
      <c r="A3" s="38"/>
      <c r="B3" s="39" t="s">
        <v>282</v>
      </c>
    </row>
    <row r="4" customFormat="false" ht="15" hidden="false" customHeight="false" outlineLevel="0" collapsed="false">
      <c r="A4" s="38"/>
      <c r="B4" s="3" t="s">
        <v>133</v>
      </c>
    </row>
    <row r="5" customFormat="false" ht="15" hidden="false" customHeight="false" outlineLevel="0" collapsed="false">
      <c r="A5" s="40" t="s">
        <v>4</v>
      </c>
      <c r="B5" s="40" t="s">
        <v>5</v>
      </c>
      <c r="C5" s="41" t="s">
        <v>6</v>
      </c>
      <c r="D5" s="42" t="s">
        <v>7</v>
      </c>
      <c r="E5" s="43" t="s">
        <v>8</v>
      </c>
    </row>
    <row r="6" customFormat="false" ht="15" hidden="false" customHeight="false" outlineLevel="0" collapsed="false">
      <c r="A6" s="44" t="n">
        <v>1</v>
      </c>
      <c r="B6" s="45" t="s">
        <v>283</v>
      </c>
      <c r="C6" s="46" t="n">
        <v>425000</v>
      </c>
      <c r="D6" s="46" t="n">
        <f aca="false">E6-C6</f>
        <v>0</v>
      </c>
      <c r="E6" s="47" t="n">
        <v>425000</v>
      </c>
    </row>
    <row r="7" customFormat="false" ht="15" hidden="false" customHeight="false" outlineLevel="0" collapsed="false">
      <c r="A7" s="44" t="n">
        <v>2</v>
      </c>
      <c r="B7" s="45" t="s">
        <v>284</v>
      </c>
      <c r="C7" s="46" t="n">
        <f aca="false">80000+100000</f>
        <v>180000</v>
      </c>
      <c r="D7" s="46" t="n">
        <f aca="false">E7-C7</f>
        <v>245000</v>
      </c>
      <c r="E7" s="47" t="n">
        <v>425000</v>
      </c>
    </row>
    <row r="8" customFormat="false" ht="15" hidden="false" customHeight="false" outlineLevel="0" collapsed="false">
      <c r="A8" s="44" t="n">
        <v>3</v>
      </c>
      <c r="B8" s="45" t="s">
        <v>285</v>
      </c>
      <c r="C8" s="46" t="n">
        <f aca="false">60000</f>
        <v>60000</v>
      </c>
      <c r="D8" s="46" t="n">
        <f aca="false">E8-C8</f>
        <v>365000</v>
      </c>
      <c r="E8" s="47" t="n">
        <v>425000</v>
      </c>
    </row>
    <row r="9" customFormat="false" ht="15" hidden="false" customHeight="false" outlineLevel="0" collapsed="false">
      <c r="A9" s="44" t="n">
        <v>4</v>
      </c>
      <c r="B9" s="45" t="s">
        <v>286</v>
      </c>
      <c r="C9" s="46" t="n">
        <f aca="false">225000</f>
        <v>225000</v>
      </c>
      <c r="D9" s="46" t="n">
        <f aca="false">E9-C9</f>
        <v>200000</v>
      </c>
      <c r="E9" s="47" t="n">
        <v>425000</v>
      </c>
    </row>
    <row r="10" customFormat="false" ht="15" hidden="false" customHeight="false" outlineLevel="0" collapsed="false">
      <c r="A10" s="44" t="n">
        <v>5</v>
      </c>
      <c r="B10" s="45" t="s">
        <v>287</v>
      </c>
      <c r="C10" s="46" t="n">
        <f aca="false">225000+100000+100000</f>
        <v>425000</v>
      </c>
      <c r="D10" s="46" t="n">
        <f aca="false">E10-C10</f>
        <v>0</v>
      </c>
      <c r="E10" s="47" t="n">
        <v>425000</v>
      </c>
    </row>
    <row r="11" customFormat="false" ht="15" hidden="false" customHeight="false" outlineLevel="0" collapsed="false">
      <c r="A11" s="44" t="n">
        <v>6</v>
      </c>
      <c r="B11" s="45" t="s">
        <v>288</v>
      </c>
      <c r="C11" s="46" t="n">
        <f aca="false">25000+200000+200000</f>
        <v>425000</v>
      </c>
      <c r="D11" s="46" t="n">
        <f aca="false">E11-C11</f>
        <v>0</v>
      </c>
      <c r="E11" s="47" t="n">
        <v>425000</v>
      </c>
    </row>
    <row r="12" customFormat="false" ht="15" hidden="false" customHeight="false" outlineLevel="0" collapsed="false">
      <c r="A12" s="44" t="n">
        <v>7</v>
      </c>
      <c r="B12" s="45" t="s">
        <v>289</v>
      </c>
      <c r="C12" s="46" t="n">
        <f aca="false">225000+200000</f>
        <v>425000</v>
      </c>
      <c r="D12" s="46" t="n">
        <f aca="false">E12-C12</f>
        <v>0</v>
      </c>
      <c r="E12" s="47" t="n">
        <v>425000</v>
      </c>
    </row>
    <row r="13" customFormat="false" ht="15" hidden="false" customHeight="false" outlineLevel="0" collapsed="false">
      <c r="A13" s="44" t="n">
        <v>8</v>
      </c>
      <c r="B13" s="45" t="s">
        <v>290</v>
      </c>
      <c r="C13" s="46" t="n">
        <f aca="false">125000+100000+20000+50000+100000</f>
        <v>395000</v>
      </c>
      <c r="D13" s="46" t="n">
        <f aca="false">E13-C13</f>
        <v>30000</v>
      </c>
      <c r="E13" s="47" t="n">
        <v>425000</v>
      </c>
    </row>
    <row r="14" customFormat="false" ht="15" hidden="false" customHeight="false" outlineLevel="0" collapsed="false">
      <c r="A14" s="44" t="n">
        <v>9</v>
      </c>
      <c r="B14" s="45" t="s">
        <v>291</v>
      </c>
      <c r="C14" s="46" t="n">
        <f aca="false">330000+40000+35000+20000</f>
        <v>425000</v>
      </c>
      <c r="D14" s="46" t="n">
        <f aca="false">E14-C14</f>
        <v>0</v>
      </c>
      <c r="E14" s="47" t="n">
        <v>425000</v>
      </c>
    </row>
    <row r="15" customFormat="false" ht="15" hidden="false" customHeight="false" outlineLevel="0" collapsed="false">
      <c r="A15" s="44" t="n">
        <v>10</v>
      </c>
      <c r="B15" s="45" t="s">
        <v>292</v>
      </c>
      <c r="C15" s="46" t="n">
        <f aca="false">125000+100000+100000+100000</f>
        <v>425000</v>
      </c>
      <c r="D15" s="46" t="n">
        <f aca="false">E15-C15</f>
        <v>0</v>
      </c>
      <c r="E15" s="47" t="n">
        <v>425000</v>
      </c>
    </row>
    <row r="16" customFormat="false" ht="15" hidden="false" customHeight="false" outlineLevel="0" collapsed="false">
      <c r="A16" s="44" t="n">
        <v>11</v>
      </c>
      <c r="B16" s="48" t="s">
        <v>293</v>
      </c>
      <c r="C16" s="46" t="n">
        <f aca="false">125000+35000</f>
        <v>160000</v>
      </c>
      <c r="D16" s="46" t="n">
        <f aca="false">E16-C16</f>
        <v>265000</v>
      </c>
      <c r="E16" s="47" t="n">
        <v>425000</v>
      </c>
    </row>
    <row r="17" customFormat="false" ht="15" hidden="false" customHeight="false" outlineLevel="0" collapsed="false">
      <c r="A17" s="44" t="n">
        <v>12</v>
      </c>
      <c r="B17" s="45" t="s">
        <v>294</v>
      </c>
      <c r="C17" s="46" t="n">
        <f aca="false">185000+40000+80000+120000</f>
        <v>425000</v>
      </c>
      <c r="D17" s="46" t="n">
        <f aca="false">E17-C17</f>
        <v>0</v>
      </c>
      <c r="E17" s="47" t="n">
        <v>425000</v>
      </c>
    </row>
    <row r="18" customFormat="false" ht="15" hidden="false" customHeight="false" outlineLevel="0" collapsed="false">
      <c r="A18" s="44" t="n">
        <v>13</v>
      </c>
      <c r="B18" s="45" t="s">
        <v>295</v>
      </c>
      <c r="C18" s="46" t="n">
        <f aca="false">175000+150000+100000</f>
        <v>425000</v>
      </c>
      <c r="D18" s="46" t="n">
        <f aca="false">E18-C18</f>
        <v>0</v>
      </c>
      <c r="E18" s="47" t="n">
        <v>425000</v>
      </c>
    </row>
    <row r="19" customFormat="false" ht="15" hidden="false" customHeight="false" outlineLevel="0" collapsed="false">
      <c r="A19" s="44" t="n">
        <v>14</v>
      </c>
      <c r="B19" s="45" t="s">
        <v>296</v>
      </c>
      <c r="C19" s="46" t="n">
        <f aca="false">225000+200000</f>
        <v>425000</v>
      </c>
      <c r="D19" s="46"/>
      <c r="E19" s="47" t="n">
        <v>425000</v>
      </c>
    </row>
    <row r="20" customFormat="false" ht="15" hidden="false" customHeight="false" outlineLevel="0" collapsed="false">
      <c r="A20" s="44" t="n">
        <v>15</v>
      </c>
      <c r="B20" s="45" t="s">
        <v>297</v>
      </c>
      <c r="C20" s="46" t="n">
        <f aca="false">400000+25000</f>
        <v>425000</v>
      </c>
      <c r="D20" s="46" t="n">
        <f aca="false">E20-C20</f>
        <v>0</v>
      </c>
      <c r="E20" s="47" t="n">
        <v>425000</v>
      </c>
    </row>
    <row r="21" customFormat="false" ht="15" hidden="false" customHeight="false" outlineLevel="0" collapsed="false">
      <c r="A21" s="44" t="n">
        <v>16</v>
      </c>
      <c r="B21" s="45" t="s">
        <v>298</v>
      </c>
      <c r="C21" s="46" t="n">
        <f aca="false">130000</f>
        <v>130000</v>
      </c>
      <c r="D21" s="46" t="n">
        <f aca="false">E21-C21</f>
        <v>295000</v>
      </c>
      <c r="E21" s="47" t="n">
        <v>425000</v>
      </c>
    </row>
    <row r="22" customFormat="false" ht="15" hidden="false" customHeight="false" outlineLevel="0" collapsed="false">
      <c r="A22" s="44" t="n">
        <v>17</v>
      </c>
      <c r="B22" s="45" t="s">
        <v>299</v>
      </c>
      <c r="C22" s="46" t="n">
        <f aca="false">400000+25000</f>
        <v>425000</v>
      </c>
      <c r="D22" s="46" t="n">
        <f aca="false">E22-C22</f>
        <v>0</v>
      </c>
      <c r="E22" s="47" t="n">
        <v>425000</v>
      </c>
    </row>
    <row r="23" customFormat="false" ht="15" hidden="false" customHeight="false" outlineLevel="0" collapsed="false">
      <c r="A23" s="44" t="n">
        <v>18</v>
      </c>
      <c r="B23" s="45" t="s">
        <v>300</v>
      </c>
      <c r="C23" s="46" t="n">
        <f aca="false">125000+100000+175000+25000</f>
        <v>425000</v>
      </c>
      <c r="D23" s="46" t="n">
        <f aca="false">E23-C23</f>
        <v>0</v>
      </c>
      <c r="E23" s="47" t="n">
        <v>425000</v>
      </c>
    </row>
    <row r="24" customFormat="false" ht="15" hidden="false" customHeight="false" outlineLevel="0" collapsed="false">
      <c r="A24" s="44" t="n">
        <v>19</v>
      </c>
      <c r="B24" s="45" t="s">
        <v>301</v>
      </c>
      <c r="C24" s="46" t="n">
        <f aca="false">325000+100000</f>
        <v>425000</v>
      </c>
      <c r="D24" s="46" t="n">
        <f aca="false">E24-C24</f>
        <v>0</v>
      </c>
      <c r="E24" s="47" t="n">
        <v>425000</v>
      </c>
    </row>
    <row r="25" customFormat="false" ht="15" hidden="false" customHeight="false" outlineLevel="0" collapsed="false">
      <c r="A25" s="44" t="n">
        <v>20</v>
      </c>
      <c r="B25" s="45" t="s">
        <v>302</v>
      </c>
      <c r="C25" s="46" t="n">
        <f aca="false">125000+100000+200000</f>
        <v>425000</v>
      </c>
      <c r="D25" s="46" t="n">
        <f aca="false">E25-C25</f>
        <v>0</v>
      </c>
      <c r="E25" s="47" t="n">
        <v>425000</v>
      </c>
    </row>
    <row r="26" customFormat="false" ht="15" hidden="false" customHeight="false" outlineLevel="0" collapsed="false">
      <c r="A26" s="44" t="n">
        <v>21</v>
      </c>
      <c r="B26" s="45" t="s">
        <v>303</v>
      </c>
      <c r="C26" s="46" t="n">
        <f aca="false">125000</f>
        <v>125000</v>
      </c>
      <c r="D26" s="46" t="n">
        <f aca="false">E26-C26</f>
        <v>300000</v>
      </c>
      <c r="E26" s="47" t="n">
        <v>425000</v>
      </c>
    </row>
    <row r="27" customFormat="false" ht="15" hidden="false" customHeight="false" outlineLevel="0" collapsed="false">
      <c r="A27" s="44" t="n">
        <v>22</v>
      </c>
      <c r="B27" s="45" t="s">
        <v>304</v>
      </c>
      <c r="C27" s="46" t="n">
        <f aca="false">340000+70000+15000</f>
        <v>425000</v>
      </c>
      <c r="D27" s="46" t="n">
        <f aca="false">E27-C27</f>
        <v>0</v>
      </c>
      <c r="E27" s="47" t="n">
        <v>425000</v>
      </c>
    </row>
    <row r="28" customFormat="false" ht="15" hidden="false" customHeight="false" outlineLevel="0" collapsed="false">
      <c r="A28" s="44" t="n">
        <v>23</v>
      </c>
      <c r="B28" s="45" t="s">
        <v>305</v>
      </c>
      <c r="C28" s="46" t="n">
        <f aca="false">125000+75000+50000+50000+50000+50000+25000</f>
        <v>425000</v>
      </c>
      <c r="D28" s="46" t="n">
        <f aca="false">E28-C28</f>
        <v>0</v>
      </c>
      <c r="E28" s="47" t="n">
        <v>425000</v>
      </c>
    </row>
    <row r="29" customFormat="false" ht="15" hidden="false" customHeight="false" outlineLevel="0" collapsed="false">
      <c r="A29" s="44" t="n">
        <v>24</v>
      </c>
      <c r="B29" s="45" t="s">
        <v>306</v>
      </c>
      <c r="C29" s="46" t="n">
        <f aca="false">125000+100000+50000</f>
        <v>275000</v>
      </c>
      <c r="D29" s="46" t="n">
        <f aca="false">E29-C29</f>
        <v>150000</v>
      </c>
      <c r="E29" s="47" t="n">
        <v>425000</v>
      </c>
    </row>
    <row r="30" customFormat="false" ht="15" hidden="false" customHeight="false" outlineLevel="0" collapsed="false">
      <c r="A30" s="44" t="n">
        <v>25</v>
      </c>
      <c r="B30" s="45" t="s">
        <v>307</v>
      </c>
      <c r="C30" s="46" t="n">
        <f aca="false">125000+100000+150000+50000</f>
        <v>425000</v>
      </c>
      <c r="D30" s="46" t="n">
        <f aca="false">E30-C30</f>
        <v>0</v>
      </c>
      <c r="E30" s="47" t="n">
        <v>425000</v>
      </c>
    </row>
    <row r="31" customFormat="false" ht="15" hidden="false" customHeight="false" outlineLevel="0" collapsed="false">
      <c r="A31" s="44" t="n">
        <v>26</v>
      </c>
      <c r="B31" s="49" t="s">
        <v>308</v>
      </c>
      <c r="C31" s="46" t="n">
        <f aca="false">125000+100000+200000</f>
        <v>425000</v>
      </c>
      <c r="D31" s="46" t="n">
        <f aca="false">E31-C31</f>
        <v>0</v>
      </c>
      <c r="E31" s="47" t="n">
        <v>425000</v>
      </c>
    </row>
    <row r="32" customFormat="false" ht="15" hidden="false" customHeight="false" outlineLevel="0" collapsed="false">
      <c r="A32" s="44" t="n">
        <v>27</v>
      </c>
      <c r="B32" s="45" t="s">
        <v>309</v>
      </c>
      <c r="C32" s="46" t="n">
        <f aca="false">200000+25000+200000</f>
        <v>425000</v>
      </c>
      <c r="D32" s="46" t="n">
        <f aca="false">E32-C32</f>
        <v>0</v>
      </c>
      <c r="E32" s="47" t="n">
        <v>425000</v>
      </c>
    </row>
    <row r="33" customFormat="false" ht="15" hidden="false" customHeight="false" outlineLevel="0" collapsed="false">
      <c r="A33" s="44" t="n">
        <v>28</v>
      </c>
      <c r="B33" s="45" t="s">
        <v>310</v>
      </c>
      <c r="C33" s="46" t="n">
        <f aca="false">125000+300000</f>
        <v>425000</v>
      </c>
      <c r="D33" s="46" t="n">
        <f aca="false">E33-C33</f>
        <v>0</v>
      </c>
      <c r="E33" s="47" t="n">
        <v>425000</v>
      </c>
    </row>
    <row r="34" customFormat="false" ht="15" hidden="false" customHeight="false" outlineLevel="0" collapsed="false">
      <c r="A34" s="44" t="n">
        <v>29</v>
      </c>
      <c r="B34" s="49" t="s">
        <v>311</v>
      </c>
      <c r="C34" s="46" t="n">
        <f aca="false">100000+300000+25000</f>
        <v>425000</v>
      </c>
      <c r="D34" s="46" t="n">
        <f aca="false">E34-C34</f>
        <v>0</v>
      </c>
      <c r="E34" s="47" t="n">
        <v>425000</v>
      </c>
    </row>
    <row r="35" customFormat="false" ht="15" hidden="false" customHeight="false" outlineLevel="0" collapsed="false">
      <c r="A35" s="44" t="n">
        <v>30</v>
      </c>
      <c r="B35" s="45" t="s">
        <v>312</v>
      </c>
      <c r="C35" s="46" t="n">
        <f aca="false">130000+295000</f>
        <v>425000</v>
      </c>
      <c r="D35" s="46" t="n">
        <f aca="false">E35-C35</f>
        <v>0</v>
      </c>
      <c r="E35" s="47" t="n">
        <v>425000</v>
      </c>
    </row>
    <row r="36" customFormat="false" ht="15" hidden="false" customHeight="false" outlineLevel="0" collapsed="false">
      <c r="A36" s="44" t="n">
        <v>31</v>
      </c>
      <c r="B36" s="45" t="s">
        <v>313</v>
      </c>
      <c r="C36" s="46" t="n">
        <f aca="false">425000</f>
        <v>425000</v>
      </c>
      <c r="D36" s="46" t="n">
        <f aca="false">E36-C36</f>
        <v>0</v>
      </c>
      <c r="E36" s="47" t="n">
        <v>425000</v>
      </c>
    </row>
    <row r="37" customFormat="false" ht="15" hidden="false" customHeight="false" outlineLevel="0" collapsed="false">
      <c r="A37" s="44" t="n">
        <v>32</v>
      </c>
      <c r="B37" s="45" t="s">
        <v>314</v>
      </c>
      <c r="C37" s="46" t="n">
        <f aca="false">125000+100000+100000+100000</f>
        <v>425000</v>
      </c>
      <c r="D37" s="46" t="n">
        <f aca="false">E37-C37</f>
        <v>0</v>
      </c>
      <c r="E37" s="47" t="n">
        <v>425000</v>
      </c>
    </row>
    <row r="38" customFormat="false" ht="15" hidden="false" customHeight="false" outlineLevel="0" collapsed="false">
      <c r="A38" s="44" t="n">
        <v>33</v>
      </c>
      <c r="B38" s="45" t="s">
        <v>315</v>
      </c>
      <c r="C38" s="46" t="n">
        <f aca="false">10000+25000+100000+65000+50000+145000+30000</f>
        <v>425000</v>
      </c>
      <c r="D38" s="46" t="n">
        <f aca="false">E38-C38</f>
        <v>0</v>
      </c>
      <c r="E38" s="47" t="n">
        <v>425000</v>
      </c>
    </row>
    <row r="39" customFormat="false" ht="15" hidden="false" customHeight="false" outlineLevel="0" collapsed="false">
      <c r="A39" s="44" t="n">
        <v>34</v>
      </c>
      <c r="B39" s="45" t="s">
        <v>316</v>
      </c>
      <c r="C39" s="46" t="n">
        <f aca="false">200000+100000+125000</f>
        <v>425000</v>
      </c>
      <c r="D39" s="46" t="n">
        <f aca="false">E39-C39</f>
        <v>0</v>
      </c>
      <c r="E39" s="47" t="n">
        <v>425000</v>
      </c>
    </row>
    <row r="40" customFormat="false" ht="15" hidden="false" customHeight="false" outlineLevel="0" collapsed="false">
      <c r="A40" s="44" t="n">
        <v>35</v>
      </c>
      <c r="B40" s="45" t="s">
        <v>317</v>
      </c>
      <c r="C40" s="46" t="n">
        <f aca="false">125000+175000+125000</f>
        <v>425000</v>
      </c>
      <c r="D40" s="46" t="n">
        <f aca="false">E40-C40</f>
        <v>0</v>
      </c>
      <c r="E40" s="47" t="n">
        <v>425000</v>
      </c>
    </row>
    <row r="41" customFormat="false" ht="16.5" hidden="false" customHeight="true" outlineLevel="0" collapsed="false">
      <c r="A41" s="44" t="n">
        <v>36</v>
      </c>
      <c r="B41" s="45" t="s">
        <v>318</v>
      </c>
      <c r="C41" s="46" t="n">
        <f aca="false">225000+100000+50000+50000</f>
        <v>425000</v>
      </c>
      <c r="D41" s="46" t="n">
        <f aca="false">E41-C41</f>
        <v>0</v>
      </c>
      <c r="E41" s="47" t="n">
        <v>425000</v>
      </c>
    </row>
    <row r="42" customFormat="false" ht="15" hidden="false" customHeight="false" outlineLevel="0" collapsed="false">
      <c r="A42" s="44" t="n">
        <v>37</v>
      </c>
      <c r="B42" s="48" t="s">
        <v>319</v>
      </c>
      <c r="C42" s="46" t="n">
        <f aca="false">125000+150000</f>
        <v>275000</v>
      </c>
      <c r="D42" s="46" t="n">
        <f aca="false">E42-C42</f>
        <v>150000</v>
      </c>
      <c r="E42" s="47" t="n">
        <v>425000</v>
      </c>
    </row>
    <row r="43" customFormat="false" ht="15" hidden="false" customHeight="false" outlineLevel="0" collapsed="false">
      <c r="A43" s="44" t="n">
        <v>38</v>
      </c>
      <c r="B43" s="45" t="s">
        <v>320</v>
      </c>
      <c r="C43" s="46" t="n">
        <f aca="false">200000+30000+195000</f>
        <v>425000</v>
      </c>
      <c r="D43" s="46" t="n">
        <v>0</v>
      </c>
      <c r="E43" s="47" t="n">
        <v>425000</v>
      </c>
    </row>
    <row r="44" customFormat="false" ht="15" hidden="false" customHeight="false" outlineLevel="0" collapsed="false">
      <c r="A44" s="44" t="n">
        <v>39</v>
      </c>
      <c r="B44" s="45" t="s">
        <v>321</v>
      </c>
      <c r="C44" s="46" t="n">
        <f aca="false">175000+150000+100000</f>
        <v>425000</v>
      </c>
      <c r="D44" s="46" t="n">
        <f aca="false">E44-C44</f>
        <v>0</v>
      </c>
      <c r="E44" s="47" t="n">
        <v>425000</v>
      </c>
    </row>
    <row r="45" customFormat="false" ht="15" hidden="false" customHeight="false" outlineLevel="0" collapsed="false">
      <c r="A45" s="44" t="n">
        <v>40</v>
      </c>
      <c r="B45" s="45" t="s">
        <v>322</v>
      </c>
      <c r="C45" s="46" t="n">
        <f aca="false">125000+100000+50000</f>
        <v>275000</v>
      </c>
      <c r="D45" s="46" t="n">
        <f aca="false">E45-C45</f>
        <v>150000</v>
      </c>
      <c r="E45" s="47" t="n">
        <v>425000</v>
      </c>
    </row>
    <row r="46" customFormat="false" ht="15" hidden="false" customHeight="false" outlineLevel="0" collapsed="false">
      <c r="A46" s="44" t="n">
        <v>41</v>
      </c>
      <c r="B46" s="45" t="s">
        <v>323</v>
      </c>
      <c r="C46" s="46" t="n">
        <f aca="false">115000+165000</f>
        <v>280000</v>
      </c>
      <c r="D46" s="46" t="n">
        <f aca="false">E46-C46</f>
        <v>145000</v>
      </c>
      <c r="E46" s="47" t="n">
        <v>425000</v>
      </c>
    </row>
    <row r="47" customFormat="false" ht="15" hidden="false" customHeight="false" outlineLevel="0" collapsed="false">
      <c r="A47" s="44" t="n">
        <v>42</v>
      </c>
      <c r="B47" s="45" t="s">
        <v>324</v>
      </c>
      <c r="C47" s="46" t="n">
        <f aca="false">110000+85000+5000+225000</f>
        <v>425000</v>
      </c>
      <c r="D47" s="46" t="n">
        <f aca="false">E47-C47</f>
        <v>0</v>
      </c>
      <c r="E47" s="47" t="n">
        <v>425000</v>
      </c>
    </row>
    <row r="48" customFormat="false" ht="15" hidden="false" customHeight="false" outlineLevel="0" collapsed="false">
      <c r="A48" s="44" t="n">
        <v>43</v>
      </c>
      <c r="B48" s="45" t="s">
        <v>325</v>
      </c>
      <c r="C48" s="46" t="n">
        <f aca="false">125000</f>
        <v>125000</v>
      </c>
      <c r="D48" s="46" t="n">
        <f aca="false">E48-C48</f>
        <v>300000</v>
      </c>
      <c r="E48" s="47" t="n">
        <v>425000</v>
      </c>
    </row>
    <row r="49" customFormat="false" ht="19.7" hidden="false" customHeight="false" outlineLevel="0" collapsed="false">
      <c r="A49" s="50"/>
      <c r="B49" s="51" t="s">
        <v>60</v>
      </c>
      <c r="C49" s="52" t="n">
        <f aca="false">SUM(C6:C48)</f>
        <v>15680000</v>
      </c>
      <c r="D49" s="53" t="n">
        <f aca="false">SUM(D6:D48)</f>
        <v>2595000</v>
      </c>
      <c r="E49" s="54" t="n">
        <f aca="false">SUM(E6:E48)</f>
        <v>18275000</v>
      </c>
    </row>
    <row r="50" customFormat="false" ht="15" hidden="false" customHeight="false" outlineLevel="0" collapsed="false">
      <c r="D50" s="0" t="s">
        <v>326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31.15"/>
    <col collapsed="false" customWidth="true" hidden="false" outlineLevel="0" max="3" min="3" style="0" width="14.86"/>
    <col collapsed="false" customWidth="true" hidden="false" outlineLevel="0" max="4" min="4" style="0" width="13.57"/>
    <col collapsed="false" customWidth="true" hidden="false" outlineLevel="0" max="5" min="5" style="0" width="15.71"/>
  </cols>
  <sheetData>
    <row r="4" customFormat="false" ht="17.35" hidden="false" customHeight="false" outlineLevel="0" collapsed="false">
      <c r="A4" s="55" t="s">
        <v>327</v>
      </c>
      <c r="B4" s="55"/>
      <c r="C4" s="56"/>
      <c r="D4" s="56"/>
      <c r="E4" s="56"/>
    </row>
    <row r="5" customFormat="false" ht="17.35" hidden="false" customHeight="false" outlineLevel="0" collapsed="false">
      <c r="A5" s="57" t="s">
        <v>328</v>
      </c>
      <c r="B5" s="57"/>
      <c r="C5" s="57"/>
      <c r="D5" s="57"/>
      <c r="E5" s="57"/>
    </row>
    <row r="6" customFormat="false" ht="15" hidden="false" customHeight="false" outlineLevel="0" collapsed="false">
      <c r="A6" s="58" t="s">
        <v>329</v>
      </c>
      <c r="B6" s="58" t="s">
        <v>330</v>
      </c>
      <c r="C6" s="59" t="s">
        <v>331</v>
      </c>
      <c r="D6" s="58" t="s">
        <v>332</v>
      </c>
      <c r="E6" s="59" t="s">
        <v>333</v>
      </c>
    </row>
    <row r="7" customFormat="false" ht="15" hidden="false" customHeight="false" outlineLevel="0" collapsed="false">
      <c r="A7" s="60" t="s">
        <v>334</v>
      </c>
      <c r="B7" s="61" t="s">
        <v>335</v>
      </c>
      <c r="C7" s="62"/>
      <c r="D7" s="62" t="n">
        <f aca="false">E7-C7</f>
        <v>216500</v>
      </c>
      <c r="E7" s="62" t="n">
        <v>216500</v>
      </c>
    </row>
    <row r="8" customFormat="false" ht="15" hidden="false" customHeight="false" outlineLevel="0" collapsed="false">
      <c r="A8" s="60" t="s">
        <v>336</v>
      </c>
      <c r="B8" s="61" t="s">
        <v>337</v>
      </c>
      <c r="C8" s="62"/>
      <c r="D8" s="62" t="n">
        <f aca="false">E8-C8</f>
        <v>216500</v>
      </c>
      <c r="E8" s="62" t="n">
        <v>216500</v>
      </c>
    </row>
    <row r="9" customFormat="false" ht="15" hidden="false" customHeight="false" outlineLevel="0" collapsed="false">
      <c r="A9" s="60" t="s">
        <v>338</v>
      </c>
      <c r="B9" s="63" t="s">
        <v>339</v>
      </c>
      <c r="C9" s="64" t="s">
        <v>340</v>
      </c>
      <c r="D9" s="64" t="n">
        <v>616500</v>
      </c>
      <c r="E9" s="64" t="n">
        <v>616500</v>
      </c>
    </row>
    <row r="10" customFormat="false" ht="15" hidden="false" customHeight="false" outlineLevel="0" collapsed="false">
      <c r="A10" s="60" t="s">
        <v>341</v>
      </c>
      <c r="B10" s="61" t="s">
        <v>342</v>
      </c>
      <c r="C10" s="62" t="n">
        <f aca="false">216500</f>
        <v>216500</v>
      </c>
      <c r="D10" s="62" t="n">
        <f aca="false">E10-C10</f>
        <v>0</v>
      </c>
      <c r="E10" s="62" t="n">
        <v>216500</v>
      </c>
    </row>
    <row r="11" customFormat="false" ht="15" hidden="false" customHeight="false" outlineLevel="0" collapsed="false">
      <c r="A11" s="60" t="s">
        <v>343</v>
      </c>
      <c r="B11" s="61" t="s">
        <v>344</v>
      </c>
      <c r="C11" s="62"/>
      <c r="D11" s="62" t="n">
        <f aca="false">E11-C11</f>
        <v>216500</v>
      </c>
      <c r="E11" s="62" t="n">
        <v>216500</v>
      </c>
    </row>
    <row r="12" customFormat="false" ht="15" hidden="false" customHeight="false" outlineLevel="0" collapsed="false">
      <c r="A12" s="60" t="s">
        <v>345</v>
      </c>
      <c r="B12" s="61" t="s">
        <v>346</v>
      </c>
      <c r="C12" s="62" t="n">
        <v>216500</v>
      </c>
      <c r="D12" s="62" t="n">
        <f aca="false">E12-C12</f>
        <v>0</v>
      </c>
      <c r="E12" s="62" t="n">
        <v>216500</v>
      </c>
    </row>
    <row r="13" customFormat="false" ht="15" hidden="false" customHeight="false" outlineLevel="0" collapsed="false">
      <c r="A13" s="60" t="s">
        <v>347</v>
      </c>
      <c r="B13" s="61" t="s">
        <v>348</v>
      </c>
      <c r="C13" s="62"/>
      <c r="D13" s="62" t="n">
        <f aca="false">E13-C13</f>
        <v>216500</v>
      </c>
      <c r="E13" s="62" t="n">
        <v>216500</v>
      </c>
    </row>
    <row r="14" customFormat="false" ht="15" hidden="false" customHeight="false" outlineLevel="0" collapsed="false">
      <c r="A14" s="60" t="s">
        <v>349</v>
      </c>
      <c r="B14" s="61" t="s">
        <v>350</v>
      </c>
      <c r="C14" s="62" t="n">
        <f aca="false">200000+16500</f>
        <v>216500</v>
      </c>
      <c r="D14" s="62" t="n">
        <f aca="false">E14-C14</f>
        <v>0</v>
      </c>
      <c r="E14" s="62" t="n">
        <v>216500</v>
      </c>
    </row>
    <row r="15" customFormat="false" ht="15" hidden="false" customHeight="false" outlineLevel="0" collapsed="false">
      <c r="A15" s="60" t="s">
        <v>351</v>
      </c>
      <c r="B15" s="61" t="s">
        <v>352</v>
      </c>
      <c r="C15" s="62" t="n">
        <v>216500</v>
      </c>
      <c r="D15" s="62" t="n">
        <f aca="false">E15-C15</f>
        <v>0</v>
      </c>
      <c r="E15" s="62" t="n">
        <v>216500</v>
      </c>
    </row>
    <row r="16" customFormat="false" ht="15" hidden="false" customHeight="false" outlineLevel="0" collapsed="false">
      <c r="A16" s="60" t="s">
        <v>353</v>
      </c>
      <c r="B16" s="61" t="s">
        <v>354</v>
      </c>
      <c r="C16" s="62" t="n">
        <v>216500</v>
      </c>
      <c r="D16" s="62" t="n">
        <f aca="false">E16-C16</f>
        <v>0</v>
      </c>
      <c r="E16" s="62" t="n">
        <v>216500</v>
      </c>
    </row>
    <row r="17" customFormat="false" ht="15" hidden="false" customHeight="false" outlineLevel="0" collapsed="false">
      <c r="A17" s="60" t="s">
        <v>355</v>
      </c>
      <c r="B17" s="61" t="s">
        <v>356</v>
      </c>
      <c r="C17" s="62" t="n">
        <f aca="false">216500</f>
        <v>216500</v>
      </c>
      <c r="D17" s="62" t="n">
        <f aca="false">E17-C17</f>
        <v>0</v>
      </c>
      <c r="E17" s="62" t="n">
        <v>216500</v>
      </c>
    </row>
    <row r="18" customFormat="false" ht="15" hidden="false" customHeight="false" outlineLevel="0" collapsed="false">
      <c r="A18" s="60" t="s">
        <v>357</v>
      </c>
      <c r="B18" s="61" t="s">
        <v>358</v>
      </c>
      <c r="C18" s="62" t="n">
        <v>216500</v>
      </c>
      <c r="D18" s="62" t="n">
        <f aca="false">E18-C18</f>
        <v>0</v>
      </c>
      <c r="E18" s="62" t="n">
        <v>216500</v>
      </c>
    </row>
    <row r="19" customFormat="false" ht="15" hidden="false" customHeight="false" outlineLevel="0" collapsed="false">
      <c r="A19" s="58" t="s">
        <v>8</v>
      </c>
      <c r="B19" s="58"/>
      <c r="C19" s="59" t="n">
        <f aca="false">SUM(C7:C18)</f>
        <v>1515500</v>
      </c>
      <c r="D19" s="59" t="n">
        <f aca="false">E19-C19</f>
        <v>1482500</v>
      </c>
      <c r="E19" s="59" t="n">
        <f aca="false">SUM(E7:E18)</f>
        <v>2998000</v>
      </c>
    </row>
  </sheetData>
  <mergeCells count="1"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8A54"/>
    <pageSetUpPr fitToPage="false"/>
  </sheetPr>
  <dimension ref="A2:E974"/>
  <sheetViews>
    <sheetView showFormulas="false" showGridLines="true" showRowColHeaders="true" showZeros="true" rightToLeft="false" tabSelected="true" showOutlineSymbols="true" defaultGridColor="true" view="normal" topLeftCell="A558" colorId="64" zoomScale="100" zoomScaleNormal="100" zoomScalePageLayoutView="100" workbookViewId="0">
      <selection pane="topLeft" activeCell="F1" activeCellId="0" sqref="F1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2.15"/>
    <col collapsed="false" customWidth="true" hidden="false" outlineLevel="0" max="3" min="3" style="0" width="18.29"/>
    <col collapsed="false" customWidth="true" hidden="false" outlineLevel="0" max="4" min="4" style="0" width="14.57"/>
    <col collapsed="false" customWidth="true" hidden="false" outlineLevel="0" max="5" min="5" style="0" width="17"/>
    <col collapsed="false" customWidth="true" hidden="false" outlineLevel="0" max="16384" min="16371" style="0" width="11.53"/>
  </cols>
  <sheetData>
    <row r="2" customFormat="false" ht="17.35" hidden="false" customHeight="false" outlineLevel="0" collapsed="false">
      <c r="A2" s="1"/>
      <c r="B2" s="1" t="s">
        <v>0</v>
      </c>
    </row>
    <row r="4" customFormat="false" ht="17.25" hidden="false" customHeight="false" outlineLevel="0" collapsed="false">
      <c r="B4" s="2" t="s">
        <v>1</v>
      </c>
    </row>
    <row r="6" customFormat="false" ht="17.35" hidden="false" customHeight="false" outlineLevel="0" collapsed="false">
      <c r="B6" s="39" t="s">
        <v>359</v>
      </c>
    </row>
    <row r="7" customFormat="false" ht="15" hidden="false" customHeight="false" outlineLevel="0" collapsed="false">
      <c r="B7" s="3" t="s">
        <v>2</v>
      </c>
    </row>
    <row r="9" customFormat="false" ht="15" hidden="false" customHeight="false" outlineLevel="0" collapsed="false">
      <c r="A9" s="40" t="s">
        <v>4</v>
      </c>
      <c r="B9" s="6" t="s">
        <v>5</v>
      </c>
      <c r="C9" s="7" t="s">
        <v>6</v>
      </c>
      <c r="D9" s="8" t="s">
        <v>7</v>
      </c>
      <c r="E9" s="9" t="s">
        <v>8</v>
      </c>
    </row>
    <row r="10" customFormat="false" ht="15" hidden="false" customHeight="false" outlineLevel="0" collapsed="false">
      <c r="A10" s="44" t="n">
        <v>1</v>
      </c>
      <c r="B10" s="11" t="s">
        <v>360</v>
      </c>
      <c r="C10" s="65"/>
      <c r="D10" s="65" t="n">
        <f aca="false">E10-C10</f>
        <v>416500</v>
      </c>
      <c r="E10" s="66" t="n">
        <v>416500</v>
      </c>
    </row>
    <row r="11" customFormat="false" ht="15" hidden="false" customHeight="false" outlineLevel="0" collapsed="false">
      <c r="A11" s="44" t="n">
        <v>2</v>
      </c>
      <c r="B11" s="11" t="s">
        <v>361</v>
      </c>
      <c r="C11" s="65" t="n">
        <f aca="false">116500+300000</f>
        <v>416500</v>
      </c>
      <c r="D11" s="65" t="n">
        <f aca="false">E11-C11</f>
        <v>0</v>
      </c>
      <c r="E11" s="66" t="n">
        <v>416500</v>
      </c>
    </row>
    <row r="12" customFormat="false" ht="15" hidden="false" customHeight="false" outlineLevel="0" collapsed="false">
      <c r="A12" s="44" t="n">
        <v>3</v>
      </c>
      <c r="B12" s="11" t="s">
        <v>362</v>
      </c>
      <c r="C12" s="65"/>
      <c r="D12" s="65" t="n">
        <f aca="false">E12-C12</f>
        <v>416500</v>
      </c>
      <c r="E12" s="66" t="n">
        <v>416500</v>
      </c>
    </row>
    <row r="13" customFormat="false" ht="15" hidden="false" customHeight="false" outlineLevel="0" collapsed="false">
      <c r="A13" s="44" t="n">
        <v>4</v>
      </c>
      <c r="B13" s="11" t="s">
        <v>363</v>
      </c>
      <c r="C13" s="65" t="n">
        <f aca="false">100000+100000+200000+16500</f>
        <v>416500</v>
      </c>
      <c r="D13" s="65" t="n">
        <f aca="false">E13-C13</f>
        <v>0</v>
      </c>
      <c r="E13" s="66" t="n">
        <v>416500</v>
      </c>
    </row>
    <row r="14" customFormat="false" ht="15" hidden="false" customHeight="false" outlineLevel="0" collapsed="false">
      <c r="A14" s="44" t="n">
        <v>6</v>
      </c>
      <c r="B14" s="11" t="s">
        <v>364</v>
      </c>
      <c r="C14" s="65" t="n">
        <v>416500</v>
      </c>
      <c r="D14" s="65" t="n">
        <f aca="false">E14-C14</f>
        <v>0</v>
      </c>
      <c r="E14" s="66" t="n">
        <v>416500</v>
      </c>
    </row>
    <row r="15" customFormat="false" ht="15" hidden="false" customHeight="false" outlineLevel="0" collapsed="false">
      <c r="A15" s="44" t="n">
        <v>7</v>
      </c>
      <c r="B15" s="11" t="s">
        <v>365</v>
      </c>
      <c r="C15" s="65" t="n">
        <f aca="false">220000+200000</f>
        <v>420000</v>
      </c>
      <c r="D15" s="65" t="n">
        <f aca="false">E15-C15</f>
        <v>-3500</v>
      </c>
      <c r="E15" s="66" t="n">
        <v>416500</v>
      </c>
    </row>
    <row r="16" customFormat="false" ht="15" hidden="false" customHeight="false" outlineLevel="0" collapsed="false">
      <c r="A16" s="44" t="n">
        <v>8</v>
      </c>
      <c r="B16" s="11" t="s">
        <v>15</v>
      </c>
      <c r="C16" s="65"/>
      <c r="D16" s="65" t="n">
        <f aca="false">E16-C16</f>
        <v>416500</v>
      </c>
      <c r="E16" s="66" t="n">
        <v>416500</v>
      </c>
    </row>
    <row r="17" customFormat="false" ht="15" hidden="false" customHeight="false" outlineLevel="0" collapsed="false">
      <c r="A17" s="44" t="n">
        <v>9</v>
      </c>
      <c r="B17" s="11" t="s">
        <v>366</v>
      </c>
      <c r="C17" s="65" t="n">
        <f aca="false">200000+216500</f>
        <v>416500</v>
      </c>
      <c r="D17" s="65" t="n">
        <f aca="false">E17-C17</f>
        <v>0</v>
      </c>
      <c r="E17" s="66" t="n">
        <v>416500</v>
      </c>
    </row>
    <row r="18" customFormat="false" ht="15" hidden="false" customHeight="false" outlineLevel="0" collapsed="false">
      <c r="A18" s="44" t="n">
        <v>10</v>
      </c>
      <c r="B18" s="11" t="s">
        <v>367</v>
      </c>
      <c r="C18" s="65" t="n">
        <f aca="false">100000+140000+176500</f>
        <v>416500</v>
      </c>
      <c r="D18" s="65" t="n">
        <f aca="false">E18-C18</f>
        <v>0</v>
      </c>
      <c r="E18" s="66" t="n">
        <v>416500</v>
      </c>
    </row>
    <row r="19" customFormat="false" ht="15" hidden="false" customHeight="false" outlineLevel="0" collapsed="false">
      <c r="A19" s="44" t="n">
        <v>11</v>
      </c>
      <c r="B19" s="11" t="s">
        <v>368</v>
      </c>
      <c r="C19" s="65" t="n">
        <f aca="false">300000+116500</f>
        <v>416500</v>
      </c>
      <c r="D19" s="65" t="n">
        <f aca="false">E19-C19</f>
        <v>0</v>
      </c>
      <c r="E19" s="66" t="n">
        <v>416500</v>
      </c>
    </row>
    <row r="20" customFormat="false" ht="15" hidden="false" customHeight="false" outlineLevel="0" collapsed="false">
      <c r="A20" s="44" t="n">
        <v>12</v>
      </c>
      <c r="B20" s="11" t="s">
        <v>369</v>
      </c>
      <c r="C20" s="65" t="n">
        <f aca="false">216500+200000</f>
        <v>416500</v>
      </c>
      <c r="D20" s="65" t="n">
        <f aca="false">E20-C20</f>
        <v>0</v>
      </c>
      <c r="E20" s="66" t="n">
        <v>416500</v>
      </c>
    </row>
    <row r="21" customFormat="false" ht="15" hidden="false" customHeight="false" outlineLevel="0" collapsed="false">
      <c r="A21" s="44"/>
      <c r="B21" s="11" t="s">
        <v>370</v>
      </c>
      <c r="C21" s="65" t="n">
        <f aca="false">280000+136500</f>
        <v>416500</v>
      </c>
      <c r="D21" s="65" t="n">
        <v>0</v>
      </c>
      <c r="E21" s="66" t="n">
        <v>416500</v>
      </c>
    </row>
    <row r="22" customFormat="false" ht="15" hidden="false" customHeight="false" outlineLevel="0" collapsed="false">
      <c r="A22" s="44" t="n">
        <v>13</v>
      </c>
      <c r="B22" s="11" t="s">
        <v>371</v>
      </c>
      <c r="C22" s="65" t="n">
        <f aca="false">17000+399500</f>
        <v>416500</v>
      </c>
      <c r="D22" s="65" t="n">
        <f aca="false">E22-C22</f>
        <v>0</v>
      </c>
      <c r="E22" s="66" t="n">
        <v>416500</v>
      </c>
    </row>
    <row r="23" customFormat="false" ht="15" hidden="false" customHeight="false" outlineLevel="0" collapsed="false">
      <c r="A23" s="44" t="n">
        <v>14</v>
      </c>
      <c r="B23" s="11" t="s">
        <v>372</v>
      </c>
      <c r="C23" s="65" t="n">
        <f aca="false">116500+300000</f>
        <v>416500</v>
      </c>
      <c r="D23" s="65" t="n">
        <f aca="false">E23-C23</f>
        <v>0</v>
      </c>
      <c r="E23" s="66" t="n">
        <v>416500</v>
      </c>
    </row>
    <row r="24" customFormat="false" ht="15" hidden="false" customHeight="false" outlineLevel="0" collapsed="false">
      <c r="A24" s="44" t="n">
        <v>15</v>
      </c>
      <c r="B24" s="11" t="s">
        <v>373</v>
      </c>
      <c r="C24" s="65"/>
      <c r="D24" s="65" t="n">
        <f aca="false">E24-C24</f>
        <v>416500</v>
      </c>
      <c r="E24" s="66" t="n">
        <v>416500</v>
      </c>
    </row>
    <row r="25" customFormat="false" ht="15" hidden="false" customHeight="false" outlineLevel="0" collapsed="false">
      <c r="A25" s="44" t="n">
        <v>16</v>
      </c>
      <c r="B25" s="11" t="s">
        <v>374</v>
      </c>
      <c r="C25" s="65"/>
      <c r="D25" s="65" t="n">
        <f aca="false">E25-C25</f>
        <v>416500</v>
      </c>
      <c r="E25" s="66" t="n">
        <v>416500</v>
      </c>
    </row>
    <row r="26" customFormat="false" ht="15" hidden="false" customHeight="false" outlineLevel="0" collapsed="false">
      <c r="A26" s="44" t="n">
        <v>17</v>
      </c>
      <c r="B26" s="11" t="s">
        <v>375</v>
      </c>
      <c r="C26" s="65" t="n">
        <f aca="false">200000+216500</f>
        <v>416500</v>
      </c>
      <c r="D26" s="65" t="n">
        <f aca="false">E26-C26</f>
        <v>0</v>
      </c>
      <c r="E26" s="66" t="n">
        <v>416500</v>
      </c>
    </row>
    <row r="27" customFormat="false" ht="15" hidden="false" customHeight="false" outlineLevel="0" collapsed="false">
      <c r="A27" s="44" t="n">
        <v>18</v>
      </c>
      <c r="B27" s="11" t="s">
        <v>376</v>
      </c>
      <c r="C27" s="65" t="n">
        <v>416500</v>
      </c>
      <c r="D27" s="65" t="n">
        <f aca="false">E27-C27</f>
        <v>0</v>
      </c>
      <c r="E27" s="66" t="n">
        <v>416500</v>
      </c>
    </row>
    <row r="28" customFormat="false" ht="15" hidden="false" customHeight="false" outlineLevel="0" collapsed="false">
      <c r="A28" s="44" t="n">
        <v>19</v>
      </c>
      <c r="B28" s="11" t="s">
        <v>377</v>
      </c>
      <c r="C28" s="65" t="n">
        <f aca="false">216500+100000+100000</f>
        <v>416500</v>
      </c>
      <c r="D28" s="65" t="n">
        <v>0</v>
      </c>
      <c r="E28" s="66" t="n">
        <v>416500</v>
      </c>
    </row>
    <row r="29" customFormat="false" ht="15" hidden="false" customHeight="false" outlineLevel="0" collapsed="false">
      <c r="A29" s="44" t="n">
        <v>20</v>
      </c>
      <c r="B29" s="11" t="s">
        <v>378</v>
      </c>
      <c r="C29" s="65"/>
      <c r="D29" s="65" t="n">
        <f aca="false">E29-C29</f>
        <v>416500</v>
      </c>
      <c r="E29" s="66" t="n">
        <v>416500</v>
      </c>
    </row>
    <row r="30" customFormat="false" ht="15" hidden="false" customHeight="false" outlineLevel="0" collapsed="false">
      <c r="A30" s="44" t="n">
        <v>21</v>
      </c>
      <c r="B30" s="11" t="s">
        <v>379</v>
      </c>
      <c r="C30" s="65"/>
      <c r="D30" s="65" t="n">
        <f aca="false">E30-C30</f>
        <v>416500</v>
      </c>
      <c r="E30" s="66" t="n">
        <v>416500</v>
      </c>
    </row>
    <row r="31" customFormat="false" ht="15" hidden="false" customHeight="false" outlineLevel="0" collapsed="false">
      <c r="A31" s="44" t="n">
        <v>22</v>
      </c>
      <c r="B31" s="11" t="s">
        <v>380</v>
      </c>
      <c r="C31" s="65" t="n">
        <f aca="false">66500+150000</f>
        <v>216500</v>
      </c>
      <c r="D31" s="65" t="n">
        <f aca="false">E31-C31</f>
        <v>200000</v>
      </c>
      <c r="E31" s="66" t="n">
        <v>416500</v>
      </c>
    </row>
    <row r="32" customFormat="false" ht="15" hidden="false" customHeight="false" outlineLevel="0" collapsed="false">
      <c r="A32" s="44" t="n">
        <v>23</v>
      </c>
      <c r="B32" s="11" t="s">
        <v>381</v>
      </c>
      <c r="C32" s="65" t="n">
        <f aca="false">66500+200000+150000</f>
        <v>416500</v>
      </c>
      <c r="D32" s="65" t="n">
        <f aca="false">E32-C32</f>
        <v>0</v>
      </c>
      <c r="E32" s="66" t="n">
        <v>416500</v>
      </c>
    </row>
    <row r="33" customFormat="false" ht="15" hidden="false" customHeight="false" outlineLevel="0" collapsed="false">
      <c r="A33" s="44" t="n">
        <v>24</v>
      </c>
      <c r="B33" s="11" t="s">
        <v>382</v>
      </c>
      <c r="C33" s="65" t="n">
        <f aca="false">300000+116500</f>
        <v>416500</v>
      </c>
      <c r="D33" s="65" t="n">
        <f aca="false">E33-C33</f>
        <v>0</v>
      </c>
      <c r="E33" s="66" t="n">
        <v>416500</v>
      </c>
    </row>
    <row r="34" customFormat="false" ht="15" hidden="false" customHeight="false" outlineLevel="0" collapsed="false">
      <c r="A34" s="44" t="n">
        <v>25</v>
      </c>
      <c r="B34" s="11" t="s">
        <v>383</v>
      </c>
      <c r="C34" s="65" t="n">
        <f aca="false">150000+266500</f>
        <v>416500</v>
      </c>
      <c r="D34" s="65" t="n">
        <f aca="false">E34-C34</f>
        <v>0</v>
      </c>
      <c r="E34" s="66" t="n">
        <v>416500</v>
      </c>
    </row>
    <row r="35" customFormat="false" ht="15" hidden="false" customHeight="false" outlineLevel="0" collapsed="false">
      <c r="A35" s="44" t="n">
        <v>26</v>
      </c>
      <c r="B35" s="14" t="s">
        <v>384</v>
      </c>
      <c r="C35" s="65" t="n">
        <f aca="false">50000+150000</f>
        <v>200000</v>
      </c>
      <c r="D35" s="65" t="n">
        <f aca="false">E35-C35</f>
        <v>216500</v>
      </c>
      <c r="E35" s="66" t="n">
        <v>416500</v>
      </c>
    </row>
    <row r="36" customFormat="false" ht="15" hidden="false" customHeight="false" outlineLevel="0" collapsed="false">
      <c r="A36" s="44" t="n">
        <v>27</v>
      </c>
      <c r="B36" s="11" t="s">
        <v>37</v>
      </c>
      <c r="C36" s="65"/>
      <c r="D36" s="65" t="n">
        <f aca="false">E36-C36</f>
        <v>416500</v>
      </c>
      <c r="E36" s="66" t="n">
        <v>416500</v>
      </c>
    </row>
    <row r="37" customFormat="false" ht="15" hidden="false" customHeight="false" outlineLevel="0" collapsed="false">
      <c r="A37" s="44" t="n">
        <v>28</v>
      </c>
      <c r="B37" s="11" t="s">
        <v>385</v>
      </c>
      <c r="C37" s="65" t="n">
        <f aca="false">100000+100000+30000+80000+106500</f>
        <v>416500</v>
      </c>
      <c r="D37" s="65" t="n">
        <f aca="false">E37-C37</f>
        <v>0</v>
      </c>
      <c r="E37" s="66" t="n">
        <v>416500</v>
      </c>
    </row>
    <row r="38" customFormat="false" ht="15" hidden="false" customHeight="false" outlineLevel="0" collapsed="false">
      <c r="A38" s="44" t="n">
        <v>29</v>
      </c>
      <c r="B38" s="11" t="s">
        <v>386</v>
      </c>
      <c r="C38" s="65" t="n">
        <f aca="false">200000+216500</f>
        <v>416500</v>
      </c>
      <c r="D38" s="65" t="n">
        <f aca="false">E38-C38</f>
        <v>0</v>
      </c>
      <c r="E38" s="66" t="n">
        <v>416500</v>
      </c>
    </row>
    <row r="39" customFormat="false" ht="15" hidden="false" customHeight="false" outlineLevel="0" collapsed="false">
      <c r="A39" s="44" t="n">
        <v>30</v>
      </c>
      <c r="B39" s="14" t="s">
        <v>387</v>
      </c>
      <c r="C39" s="65" t="n">
        <f aca="false">100000+316500</f>
        <v>416500</v>
      </c>
      <c r="D39" s="65" t="n">
        <f aca="false">E39-C39</f>
        <v>0</v>
      </c>
      <c r="E39" s="66" t="n">
        <v>416500</v>
      </c>
    </row>
    <row r="40" customFormat="false" ht="15" hidden="false" customHeight="false" outlineLevel="0" collapsed="false">
      <c r="A40" s="44" t="n">
        <v>31</v>
      </c>
      <c r="B40" s="11" t="s">
        <v>388</v>
      </c>
      <c r="C40" s="65" t="n">
        <f aca="false">396500+20000</f>
        <v>416500</v>
      </c>
      <c r="D40" s="65" t="n">
        <f aca="false">E40-C40</f>
        <v>0</v>
      </c>
      <c r="E40" s="66" t="n">
        <v>416500</v>
      </c>
    </row>
    <row r="41" customFormat="false" ht="15" hidden="false" customHeight="false" outlineLevel="0" collapsed="false">
      <c r="A41" s="44" t="n">
        <v>32</v>
      </c>
      <c r="B41" s="11" t="s">
        <v>389</v>
      </c>
      <c r="C41" s="65" t="n">
        <f aca="false">66500+350000</f>
        <v>416500</v>
      </c>
      <c r="D41" s="65" t="n">
        <f aca="false">E41-C41</f>
        <v>0</v>
      </c>
      <c r="E41" s="66" t="n">
        <v>416500</v>
      </c>
    </row>
    <row r="42" customFormat="false" ht="15" hidden="false" customHeight="false" outlineLevel="0" collapsed="false">
      <c r="A42" s="44" t="n">
        <v>33</v>
      </c>
      <c r="B42" s="11" t="s">
        <v>390</v>
      </c>
      <c r="C42" s="65"/>
      <c r="D42" s="65" t="n">
        <f aca="false">E42-C42</f>
        <v>416500</v>
      </c>
      <c r="E42" s="66" t="n">
        <v>416500</v>
      </c>
    </row>
    <row r="43" customFormat="false" ht="15" hidden="false" customHeight="false" outlineLevel="0" collapsed="false">
      <c r="A43" s="44" t="n">
        <v>34</v>
      </c>
      <c r="B43" s="14" t="s">
        <v>391</v>
      </c>
      <c r="C43" s="65" t="n">
        <f aca="false">416500</f>
        <v>416500</v>
      </c>
      <c r="D43" s="65" t="n">
        <f aca="false">E43-C43</f>
        <v>0</v>
      </c>
      <c r="E43" s="66" t="n">
        <v>416500</v>
      </c>
    </row>
    <row r="44" customFormat="false" ht="15" hidden="false" customHeight="false" outlineLevel="0" collapsed="false">
      <c r="A44" s="44" t="n">
        <v>35</v>
      </c>
      <c r="B44" s="11" t="s">
        <v>392</v>
      </c>
      <c r="C44" s="65" t="n">
        <f aca="false">23500+100000+293000</f>
        <v>416500</v>
      </c>
      <c r="D44" s="65" t="n">
        <f aca="false">E44-C44</f>
        <v>0</v>
      </c>
      <c r="E44" s="66" t="n">
        <v>416500</v>
      </c>
    </row>
    <row r="45" customFormat="false" ht="15" hidden="false" customHeight="false" outlineLevel="0" collapsed="false">
      <c r="A45" s="44" t="n">
        <v>36</v>
      </c>
      <c r="B45" s="11" t="s">
        <v>393</v>
      </c>
      <c r="C45" s="65" t="n">
        <f aca="false">215000+201500</f>
        <v>416500</v>
      </c>
      <c r="D45" s="65" t="n">
        <f aca="false">E45-C45</f>
        <v>0</v>
      </c>
      <c r="E45" s="66" t="n">
        <v>416500</v>
      </c>
    </row>
    <row r="46" customFormat="false" ht="15" hidden="false" customHeight="false" outlineLevel="0" collapsed="false">
      <c r="A46" s="44" t="n">
        <v>37</v>
      </c>
      <c r="B46" s="11" t="s">
        <v>394</v>
      </c>
      <c r="C46" s="65" t="n">
        <f aca="false">200000+216500</f>
        <v>416500</v>
      </c>
      <c r="D46" s="65" t="n">
        <f aca="false">E46-C46</f>
        <v>0</v>
      </c>
      <c r="E46" s="66" t="n">
        <v>416500</v>
      </c>
    </row>
    <row r="47" customFormat="false" ht="15" hidden="false" customHeight="false" outlineLevel="0" collapsed="false">
      <c r="A47" s="44" t="n">
        <v>38</v>
      </c>
      <c r="B47" s="11" t="s">
        <v>395</v>
      </c>
      <c r="C47" s="65"/>
      <c r="D47" s="65" t="n">
        <f aca="false">E47-C47</f>
        <v>416500</v>
      </c>
      <c r="E47" s="66" t="n">
        <v>416500</v>
      </c>
    </row>
    <row r="48" customFormat="false" ht="15" hidden="false" customHeight="false" outlineLevel="0" collapsed="false">
      <c r="A48" s="44" t="n">
        <v>39</v>
      </c>
      <c r="B48" s="11" t="s">
        <v>396</v>
      </c>
      <c r="C48" s="65" t="n">
        <f aca="false">266000+150500</f>
        <v>416500</v>
      </c>
      <c r="D48" s="65" t="n">
        <f aca="false">E48-C48</f>
        <v>0</v>
      </c>
      <c r="E48" s="66" t="n">
        <v>416500</v>
      </c>
    </row>
    <row r="49" customFormat="false" ht="15" hidden="false" customHeight="false" outlineLevel="0" collapsed="false">
      <c r="A49" s="44" t="n">
        <v>40</v>
      </c>
      <c r="B49" s="11" t="s">
        <v>397</v>
      </c>
      <c r="C49" s="65"/>
      <c r="D49" s="65" t="n">
        <f aca="false">E49-C49</f>
        <v>416500</v>
      </c>
      <c r="E49" s="66" t="n">
        <v>416500</v>
      </c>
    </row>
    <row r="50" customFormat="false" ht="15" hidden="false" customHeight="false" outlineLevel="0" collapsed="false">
      <c r="A50" s="44" t="n">
        <v>41</v>
      </c>
      <c r="B50" s="11" t="s">
        <v>398</v>
      </c>
      <c r="C50" s="65" t="n">
        <f aca="false">100000+190000+126500</f>
        <v>416500</v>
      </c>
      <c r="D50" s="65" t="n">
        <f aca="false">E50-C50</f>
        <v>0</v>
      </c>
      <c r="E50" s="66" t="n">
        <v>416500</v>
      </c>
    </row>
    <row r="51" customFormat="false" ht="15" hidden="false" customHeight="false" outlineLevel="0" collapsed="false">
      <c r="A51" s="44" t="n">
        <v>42</v>
      </c>
      <c r="B51" s="11" t="s">
        <v>399</v>
      </c>
      <c r="C51" s="65" t="n">
        <f aca="false">216500+200000</f>
        <v>416500</v>
      </c>
      <c r="D51" s="65" t="n">
        <f aca="false">E51-C51</f>
        <v>0</v>
      </c>
      <c r="E51" s="66" t="n">
        <v>416500</v>
      </c>
    </row>
    <row r="52" customFormat="false" ht="15" hidden="false" customHeight="false" outlineLevel="0" collapsed="false">
      <c r="A52" s="44" t="n">
        <v>43</v>
      </c>
      <c r="B52" s="11" t="s">
        <v>400</v>
      </c>
      <c r="C52" s="65" t="n">
        <f aca="false">116500+300000</f>
        <v>416500</v>
      </c>
      <c r="D52" s="65" t="n">
        <f aca="false">E52-C52</f>
        <v>0</v>
      </c>
      <c r="E52" s="66" t="n">
        <v>416500</v>
      </c>
    </row>
    <row r="53" customFormat="false" ht="15" hidden="false" customHeight="false" outlineLevel="0" collapsed="false">
      <c r="A53" s="44" t="n">
        <v>44</v>
      </c>
      <c r="B53" s="11" t="s">
        <v>401</v>
      </c>
      <c r="C53" s="65" t="n">
        <f aca="false">200000+117000+99500</f>
        <v>416500</v>
      </c>
      <c r="D53" s="65" t="n">
        <f aca="false">E53-C53</f>
        <v>0</v>
      </c>
      <c r="E53" s="66" t="n">
        <v>416500</v>
      </c>
    </row>
    <row r="54" customFormat="false" ht="15" hidden="false" customHeight="false" outlineLevel="0" collapsed="false">
      <c r="A54" s="44" t="n">
        <v>45</v>
      </c>
      <c r="B54" s="14" t="s">
        <v>402</v>
      </c>
      <c r="C54" s="65" t="n">
        <f aca="false">100000+50000+266500</f>
        <v>416500</v>
      </c>
      <c r="D54" s="65" t="n">
        <f aca="false">E54-C54</f>
        <v>0</v>
      </c>
      <c r="E54" s="66" t="n">
        <v>416500</v>
      </c>
    </row>
    <row r="55" customFormat="false" ht="15" hidden="false" customHeight="false" outlineLevel="0" collapsed="false">
      <c r="A55" s="44" t="n">
        <v>46</v>
      </c>
      <c r="B55" s="11" t="s">
        <v>403</v>
      </c>
      <c r="C55" s="67" t="n">
        <f aca="false">200000+216500</f>
        <v>416500</v>
      </c>
      <c r="D55" s="65" t="n">
        <f aca="false">E55-C55</f>
        <v>0</v>
      </c>
      <c r="E55" s="66" t="n">
        <v>416500</v>
      </c>
    </row>
    <row r="56" customFormat="false" ht="15" hidden="false" customHeight="false" outlineLevel="0" collapsed="false">
      <c r="A56" s="44" t="n">
        <v>47</v>
      </c>
      <c r="B56" s="11" t="s">
        <v>404</v>
      </c>
      <c r="C56" s="65" t="n">
        <f aca="false">416500</f>
        <v>416500</v>
      </c>
      <c r="D56" s="65" t="n">
        <f aca="false">E56-C56</f>
        <v>0</v>
      </c>
      <c r="E56" s="66" t="n">
        <v>416500</v>
      </c>
    </row>
    <row r="57" customFormat="false" ht="15" hidden="false" customHeight="false" outlineLevel="0" collapsed="false">
      <c r="A57" s="44" t="n">
        <v>48</v>
      </c>
      <c r="B57" s="11" t="s">
        <v>405</v>
      </c>
      <c r="C57" s="65"/>
      <c r="D57" s="65" t="n">
        <f aca="false">E57-C57</f>
        <v>416500</v>
      </c>
      <c r="E57" s="66" t="n">
        <v>416500</v>
      </c>
    </row>
    <row r="58" customFormat="false" ht="15" hidden="false" customHeight="false" outlineLevel="0" collapsed="false">
      <c r="A58" s="44" t="n">
        <v>49</v>
      </c>
      <c r="B58" s="11" t="s">
        <v>406</v>
      </c>
      <c r="C58" s="65" t="n">
        <f aca="false">100000+100000</f>
        <v>200000</v>
      </c>
      <c r="D58" s="65" t="n">
        <f aca="false">E58-C58</f>
        <v>216500</v>
      </c>
      <c r="E58" s="66" t="n">
        <v>416500</v>
      </c>
    </row>
    <row r="59" customFormat="false" ht="15" hidden="false" customHeight="false" outlineLevel="0" collapsed="false">
      <c r="A59" s="44" t="n">
        <v>50</v>
      </c>
      <c r="B59" s="11" t="s">
        <v>407</v>
      </c>
      <c r="C59" s="65" t="n">
        <f aca="false">116500+200000+100000</f>
        <v>416500</v>
      </c>
      <c r="D59" s="65" t="n">
        <f aca="false">E59-C59</f>
        <v>0</v>
      </c>
      <c r="E59" s="66" t="n">
        <v>416500</v>
      </c>
    </row>
    <row r="60" customFormat="false" ht="15" hidden="false" customHeight="false" outlineLevel="0" collapsed="false">
      <c r="A60" s="44" t="n">
        <v>51</v>
      </c>
      <c r="B60" s="11" t="s">
        <v>408</v>
      </c>
      <c r="C60" s="65" t="n">
        <f aca="false">200000+216500</f>
        <v>416500</v>
      </c>
      <c r="D60" s="65" t="n">
        <f aca="false">E60-C60</f>
        <v>0</v>
      </c>
      <c r="E60" s="66" t="n">
        <v>416500</v>
      </c>
    </row>
    <row r="61" customFormat="false" ht="15" hidden="false" customHeight="false" outlineLevel="0" collapsed="false">
      <c r="A61" s="44" t="n">
        <v>52</v>
      </c>
      <c r="B61" s="11" t="s">
        <v>409</v>
      </c>
      <c r="C61" s="65"/>
      <c r="D61" s="65" t="n">
        <f aca="false">E61-C61</f>
        <v>416500</v>
      </c>
      <c r="E61" s="66" t="n">
        <v>416500</v>
      </c>
    </row>
    <row r="62" customFormat="false" ht="15" hidden="false" customHeight="false" outlineLevel="0" collapsed="false">
      <c r="A62" s="44" t="n">
        <v>53</v>
      </c>
      <c r="B62" s="14" t="s">
        <v>410</v>
      </c>
      <c r="C62" s="65" t="n">
        <f aca="false">50000+185000+100000+81500</f>
        <v>416500</v>
      </c>
      <c r="D62" s="65" t="n">
        <f aca="false">E62-C62</f>
        <v>0</v>
      </c>
      <c r="E62" s="66" t="n">
        <v>416500</v>
      </c>
    </row>
    <row r="63" customFormat="false" ht="19.7" hidden="false" customHeight="false" outlineLevel="0" collapsed="false">
      <c r="A63" s="38"/>
      <c r="B63" s="68" t="s">
        <v>60</v>
      </c>
      <c r="C63" s="69" t="n">
        <f aca="false">SUM(C10:C62)</f>
        <v>16030500</v>
      </c>
      <c r="D63" s="70" t="n">
        <f aca="false">SUM(D10:D62)</f>
        <v>6044000</v>
      </c>
      <c r="E63" s="71" t="n">
        <f aca="false">SUM(E10:E62)</f>
        <v>22074500</v>
      </c>
    </row>
    <row r="64" customFormat="false" ht="15" hidden="false" customHeight="false" outlineLevel="0" collapsed="false">
      <c r="A64" s="38"/>
    </row>
    <row r="65" customFormat="false" ht="15" hidden="false" customHeight="false" outlineLevel="0" collapsed="false">
      <c r="A65" s="38"/>
    </row>
    <row r="66" customFormat="false" ht="15" hidden="false" customHeight="false" outlineLevel="0" collapsed="false">
      <c r="A66" s="38"/>
    </row>
    <row r="67" customFormat="false" ht="15" hidden="false" customHeight="false" outlineLevel="0" collapsed="false">
      <c r="A67" s="38"/>
    </row>
    <row r="68" customFormat="false" ht="15" hidden="false" customHeight="false" outlineLevel="0" collapsed="false">
      <c r="A68" s="38"/>
    </row>
    <row r="69" customFormat="false" ht="15" hidden="false" customHeight="false" outlineLevel="0" collapsed="false">
      <c r="A69" s="38"/>
    </row>
    <row r="70" customFormat="false" ht="15" hidden="false" customHeight="false" outlineLevel="0" collapsed="false">
      <c r="A70" s="38"/>
    </row>
    <row r="71" customFormat="false" ht="15" hidden="false" customHeight="false" outlineLevel="0" collapsed="false">
      <c r="A71" s="38"/>
    </row>
    <row r="72" customFormat="false" ht="15" hidden="false" customHeight="false" outlineLevel="0" collapsed="false">
      <c r="A72" s="38"/>
    </row>
    <row r="73" customFormat="false" ht="17.35" hidden="false" customHeight="false" outlineLevel="0" collapsed="false">
      <c r="A73" s="37"/>
      <c r="B73" s="1" t="s">
        <v>0</v>
      </c>
    </row>
    <row r="74" customFormat="false" ht="15" hidden="false" customHeight="false" outlineLevel="0" collapsed="false">
      <c r="A74" s="38"/>
    </row>
    <row r="75" customFormat="false" ht="17.25" hidden="false" customHeight="false" outlineLevel="0" collapsed="false">
      <c r="A75" s="38"/>
      <c r="B75" s="2" t="s">
        <v>1</v>
      </c>
    </row>
    <row r="76" customFormat="false" ht="15" hidden="false" customHeight="false" outlineLevel="0" collapsed="false">
      <c r="A76" s="38"/>
    </row>
    <row r="77" customFormat="false" ht="17.35" hidden="false" customHeight="false" outlineLevel="0" collapsed="false">
      <c r="A77" s="38"/>
      <c r="B77" s="39" t="s">
        <v>411</v>
      </c>
    </row>
    <row r="78" customFormat="false" ht="15" hidden="false" customHeight="false" outlineLevel="0" collapsed="false">
      <c r="A78" s="38"/>
      <c r="B78" s="3" t="s">
        <v>2</v>
      </c>
    </row>
    <row r="79" customFormat="false" ht="15" hidden="false" customHeight="false" outlineLevel="0" collapsed="false">
      <c r="A79" s="38"/>
    </row>
    <row r="80" customFormat="false" ht="15" hidden="false" customHeight="true" outlineLevel="0" collapsed="false">
      <c r="A80" s="40" t="s">
        <v>4</v>
      </c>
      <c r="B80" s="6" t="s">
        <v>5</v>
      </c>
      <c r="C80" s="7" t="s">
        <v>6</v>
      </c>
      <c r="D80" s="8" t="s">
        <v>7</v>
      </c>
      <c r="E80" s="9" t="s">
        <v>8</v>
      </c>
    </row>
    <row r="81" customFormat="false" ht="15" hidden="false" customHeight="false" outlineLevel="0" collapsed="false">
      <c r="A81" s="44" t="n">
        <v>1</v>
      </c>
      <c r="B81" s="14" t="s">
        <v>412</v>
      </c>
      <c r="C81" s="65" t="n">
        <f aca="false">200000</f>
        <v>200000</v>
      </c>
      <c r="D81" s="65" t="n">
        <f aca="false">E81-C81</f>
        <v>216500</v>
      </c>
      <c r="E81" s="66" t="n">
        <v>416500</v>
      </c>
    </row>
    <row r="82" customFormat="false" ht="15" hidden="false" customHeight="false" outlineLevel="0" collapsed="false">
      <c r="A82" s="44" t="n">
        <v>2</v>
      </c>
      <c r="B82" s="11" t="s">
        <v>413</v>
      </c>
      <c r="C82" s="65" t="n">
        <f aca="false">100000+250000</f>
        <v>350000</v>
      </c>
      <c r="D82" s="65" t="n">
        <f aca="false">E82-C82</f>
        <v>66500</v>
      </c>
      <c r="E82" s="66" t="n">
        <v>416500</v>
      </c>
    </row>
    <row r="83" customFormat="false" ht="15" hidden="false" customHeight="false" outlineLevel="0" collapsed="false">
      <c r="A83" s="44" t="n">
        <v>3</v>
      </c>
      <c r="B83" s="11" t="s">
        <v>414</v>
      </c>
      <c r="C83" s="65" t="n">
        <f aca="false">93500</f>
        <v>93500</v>
      </c>
      <c r="D83" s="65" t="n">
        <f aca="false">E83-C83</f>
        <v>323000</v>
      </c>
      <c r="E83" s="66" t="n">
        <v>416500</v>
      </c>
    </row>
    <row r="84" customFormat="false" ht="15" hidden="false" customHeight="false" outlineLevel="0" collapsed="false">
      <c r="A84" s="44" t="n">
        <v>4</v>
      </c>
      <c r="B84" s="11" t="s">
        <v>415</v>
      </c>
      <c r="C84" s="65"/>
      <c r="D84" s="65" t="n">
        <f aca="false">E84-C84</f>
        <v>416500</v>
      </c>
      <c r="E84" s="66" t="n">
        <v>416500</v>
      </c>
    </row>
    <row r="85" customFormat="false" ht="15" hidden="false" customHeight="false" outlineLevel="0" collapsed="false">
      <c r="A85" s="44" t="n">
        <v>5</v>
      </c>
      <c r="B85" s="11" t="s">
        <v>416</v>
      </c>
      <c r="C85" s="65" t="n">
        <f aca="false">104000+230000+82500</f>
        <v>416500</v>
      </c>
      <c r="D85" s="65" t="n">
        <f aca="false">E85-C85</f>
        <v>0</v>
      </c>
      <c r="E85" s="66" t="n">
        <v>416500</v>
      </c>
    </row>
    <row r="86" customFormat="false" ht="15" hidden="false" customHeight="false" outlineLevel="0" collapsed="false">
      <c r="A86" s="44" t="n">
        <v>6</v>
      </c>
      <c r="B86" s="11" t="s">
        <v>417</v>
      </c>
      <c r="C86" s="65"/>
      <c r="D86" s="65" t="n">
        <f aca="false">E86-C86</f>
        <v>416500</v>
      </c>
      <c r="E86" s="66" t="n">
        <v>416500</v>
      </c>
    </row>
    <row r="87" customFormat="false" ht="15" hidden="false" customHeight="false" outlineLevel="0" collapsed="false">
      <c r="A87" s="44" t="n">
        <v>7</v>
      </c>
      <c r="B87" s="11" t="s">
        <v>418</v>
      </c>
      <c r="C87" s="65" t="n">
        <f aca="false">216000+200500</f>
        <v>416500</v>
      </c>
      <c r="D87" s="65" t="n">
        <f aca="false">E87-C87</f>
        <v>0</v>
      </c>
      <c r="E87" s="66" t="n">
        <v>416500</v>
      </c>
    </row>
    <row r="88" customFormat="false" ht="15" hidden="false" customHeight="false" outlineLevel="0" collapsed="false">
      <c r="A88" s="44" t="n">
        <v>8</v>
      </c>
      <c r="B88" s="11" t="s">
        <v>419</v>
      </c>
      <c r="C88" s="65" t="n">
        <f aca="false">36500+195000+185000</f>
        <v>416500</v>
      </c>
      <c r="D88" s="65" t="n">
        <f aca="false">E88-C88</f>
        <v>0</v>
      </c>
      <c r="E88" s="66" t="n">
        <v>416500</v>
      </c>
    </row>
    <row r="89" customFormat="false" ht="15" hidden="false" customHeight="false" outlineLevel="0" collapsed="false">
      <c r="A89" s="44" t="n">
        <v>9</v>
      </c>
      <c r="B89" s="11" t="s">
        <v>420</v>
      </c>
      <c r="C89" s="65"/>
      <c r="D89" s="65" t="n">
        <f aca="false">E89-C89</f>
        <v>416500</v>
      </c>
      <c r="E89" s="66" t="n">
        <v>416500</v>
      </c>
    </row>
    <row r="90" customFormat="false" ht="15" hidden="false" customHeight="false" outlineLevel="0" collapsed="false">
      <c r="A90" s="44" t="n">
        <v>10</v>
      </c>
      <c r="B90" s="11" t="s">
        <v>421</v>
      </c>
      <c r="C90" s="65" t="n">
        <f aca="false">300000+50000+66000+500</f>
        <v>416500</v>
      </c>
      <c r="D90" s="65" t="n">
        <f aca="false">E90-C90</f>
        <v>0</v>
      </c>
      <c r="E90" s="66" t="n">
        <v>416500</v>
      </c>
    </row>
    <row r="91" customFormat="false" ht="15" hidden="false" customHeight="false" outlineLevel="0" collapsed="false">
      <c r="A91" s="44" t="n">
        <v>11</v>
      </c>
      <c r="B91" s="11" t="s">
        <v>422</v>
      </c>
      <c r="C91" s="65" t="n">
        <f aca="false">116500+100000+71500+128500</f>
        <v>416500</v>
      </c>
      <c r="D91" s="65" t="n">
        <f aca="false">E91-C91</f>
        <v>0</v>
      </c>
      <c r="E91" s="66" t="n">
        <v>416500</v>
      </c>
    </row>
    <row r="92" customFormat="false" ht="15" hidden="false" customHeight="false" outlineLevel="0" collapsed="false">
      <c r="A92" s="44" t="n">
        <v>12</v>
      </c>
      <c r="B92" s="11" t="s">
        <v>423</v>
      </c>
      <c r="C92" s="65" t="n">
        <f aca="false">216500+200000</f>
        <v>416500</v>
      </c>
      <c r="D92" s="65" t="n">
        <f aca="false">E92-C92</f>
        <v>0</v>
      </c>
      <c r="E92" s="66" t="n">
        <v>416500</v>
      </c>
    </row>
    <row r="93" customFormat="false" ht="15" hidden="false" customHeight="false" outlineLevel="0" collapsed="false">
      <c r="A93" s="44" t="n">
        <v>13</v>
      </c>
      <c r="B93" s="11" t="s">
        <v>424</v>
      </c>
      <c r="C93" s="65" t="n">
        <f aca="false">210000+206500</f>
        <v>416500</v>
      </c>
      <c r="D93" s="65" t="n">
        <f aca="false">E93-C93</f>
        <v>0</v>
      </c>
      <c r="E93" s="66" t="n">
        <v>416500</v>
      </c>
    </row>
    <row r="94" customFormat="false" ht="15" hidden="false" customHeight="false" outlineLevel="0" collapsed="false">
      <c r="A94" s="44" t="n">
        <v>14</v>
      </c>
      <c r="B94" s="11" t="s">
        <v>425</v>
      </c>
      <c r="C94" s="65" t="n">
        <f aca="false">200000+200000+16500</f>
        <v>416500</v>
      </c>
      <c r="D94" s="65" t="n">
        <f aca="false">E94-C94</f>
        <v>0</v>
      </c>
      <c r="E94" s="66" t="n">
        <v>416500</v>
      </c>
    </row>
    <row r="95" customFormat="false" ht="15" hidden="false" customHeight="false" outlineLevel="0" collapsed="false">
      <c r="A95" s="44" t="n">
        <v>16</v>
      </c>
      <c r="B95" s="11" t="s">
        <v>426</v>
      </c>
      <c r="C95" s="65" t="n">
        <f aca="false">100000</f>
        <v>100000</v>
      </c>
      <c r="D95" s="65" t="n">
        <f aca="false">E95-C95</f>
        <v>316500</v>
      </c>
      <c r="E95" s="66" t="n">
        <v>416500</v>
      </c>
    </row>
    <row r="96" customFormat="false" ht="15" hidden="false" customHeight="false" outlineLevel="0" collapsed="false">
      <c r="A96" s="44" t="n">
        <v>17</v>
      </c>
      <c r="B96" s="11" t="s">
        <v>427</v>
      </c>
      <c r="C96" s="65" t="n">
        <f aca="false">150000+266500</f>
        <v>416500</v>
      </c>
      <c r="D96" s="65" t="n">
        <f aca="false">E96-C96</f>
        <v>0</v>
      </c>
      <c r="E96" s="66" t="n">
        <v>416500</v>
      </c>
    </row>
    <row r="97" customFormat="false" ht="15" hidden="false" customHeight="false" outlineLevel="0" collapsed="false">
      <c r="A97" s="44" t="n">
        <v>18</v>
      </c>
      <c r="B97" s="11" t="s">
        <v>428</v>
      </c>
      <c r="C97" s="65" t="n">
        <v>416500</v>
      </c>
      <c r="D97" s="65" t="n">
        <f aca="false">E97-C97</f>
        <v>0</v>
      </c>
      <c r="E97" s="66" t="n">
        <v>416500</v>
      </c>
    </row>
    <row r="98" customFormat="false" ht="15" hidden="false" customHeight="false" outlineLevel="0" collapsed="false">
      <c r="A98" s="44" t="n">
        <v>19</v>
      </c>
      <c r="B98" s="11" t="s">
        <v>429</v>
      </c>
      <c r="C98" s="65"/>
      <c r="D98" s="65" t="n">
        <f aca="false">E98-C98</f>
        <v>416500</v>
      </c>
      <c r="E98" s="66" t="n">
        <v>416500</v>
      </c>
    </row>
    <row r="99" customFormat="false" ht="15" hidden="false" customHeight="false" outlineLevel="0" collapsed="false">
      <c r="A99" s="44" t="n">
        <v>20</v>
      </c>
      <c r="B99" s="11" t="s">
        <v>430</v>
      </c>
      <c r="C99" s="65"/>
      <c r="D99" s="65" t="n">
        <f aca="false">E99-C99</f>
        <v>616500</v>
      </c>
      <c r="E99" s="66" t="n">
        <v>616500</v>
      </c>
    </row>
    <row r="100" customFormat="false" ht="15" hidden="false" customHeight="false" outlineLevel="0" collapsed="false">
      <c r="A100" s="44" t="n">
        <v>21</v>
      </c>
      <c r="B100" s="11" t="s">
        <v>431</v>
      </c>
      <c r="C100" s="65" t="n">
        <f aca="false">136500+40000+50000+20000+20000+30000+40000+40000+40000</f>
        <v>416500</v>
      </c>
      <c r="D100" s="65" t="n">
        <f aca="false">E100-C100</f>
        <v>0</v>
      </c>
      <c r="E100" s="66" t="n">
        <v>416500</v>
      </c>
    </row>
    <row r="101" customFormat="false" ht="15" hidden="false" customHeight="false" outlineLevel="0" collapsed="false">
      <c r="A101" s="44" t="n">
        <v>22</v>
      </c>
      <c r="B101" s="72" t="s">
        <v>432</v>
      </c>
      <c r="C101" s="73" t="s">
        <v>433</v>
      </c>
      <c r="D101" s="67" t="n">
        <v>616500</v>
      </c>
      <c r="E101" s="66" t="n">
        <v>616500</v>
      </c>
    </row>
    <row r="102" customFormat="false" ht="15" hidden="false" customHeight="false" outlineLevel="0" collapsed="false">
      <c r="A102" s="44" t="n">
        <v>23</v>
      </c>
      <c r="B102" s="11" t="s">
        <v>434</v>
      </c>
      <c r="C102" s="0" t="n">
        <f aca="false">132500+284000</f>
        <v>416500</v>
      </c>
      <c r="D102" s="65" t="n">
        <v>0</v>
      </c>
      <c r="E102" s="66" t="n">
        <v>416500</v>
      </c>
    </row>
    <row r="103" customFormat="false" ht="15" hidden="false" customHeight="false" outlineLevel="0" collapsed="false">
      <c r="A103" s="44" t="n">
        <v>24</v>
      </c>
      <c r="B103" s="11" t="s">
        <v>435</v>
      </c>
      <c r="C103" s="65" t="n">
        <f aca="false">116500</f>
        <v>116500</v>
      </c>
      <c r="D103" s="65" t="n">
        <f aca="false">E103-C103</f>
        <v>300000</v>
      </c>
      <c r="E103" s="66" t="n">
        <v>416500</v>
      </c>
    </row>
    <row r="104" customFormat="false" ht="15" hidden="false" customHeight="false" outlineLevel="0" collapsed="false">
      <c r="A104" s="44" t="n">
        <v>25</v>
      </c>
      <c r="B104" s="11" t="s">
        <v>436</v>
      </c>
      <c r="C104" s="65" t="n">
        <f aca="false">316500+100000</f>
        <v>416500</v>
      </c>
      <c r="D104" s="65" t="n">
        <v>0</v>
      </c>
      <c r="E104" s="65" t="n">
        <v>416500</v>
      </c>
    </row>
    <row r="105" customFormat="false" ht="15" hidden="false" customHeight="false" outlineLevel="0" collapsed="false">
      <c r="A105" s="44" t="n">
        <v>26</v>
      </c>
      <c r="B105" s="11" t="s">
        <v>437</v>
      </c>
      <c r="C105" s="65" t="n">
        <f aca="false">70000+110000+50000+186500</f>
        <v>416500</v>
      </c>
      <c r="D105" s="65" t="n">
        <f aca="false">E105-C105</f>
        <v>0</v>
      </c>
      <c r="E105" s="66" t="n">
        <v>416500</v>
      </c>
    </row>
    <row r="106" customFormat="false" ht="15" hidden="false" customHeight="false" outlineLevel="0" collapsed="false">
      <c r="A106" s="44" t="n">
        <v>27</v>
      </c>
      <c r="B106" s="11" t="s">
        <v>438</v>
      </c>
      <c r="C106" s="65" t="n">
        <f aca="false">220000+196500</f>
        <v>416500</v>
      </c>
      <c r="D106" s="65" t="n">
        <f aca="false">E106-C106</f>
        <v>0</v>
      </c>
      <c r="E106" s="66" t="n">
        <v>416500</v>
      </c>
    </row>
    <row r="107" customFormat="false" ht="15" hidden="false" customHeight="false" outlineLevel="0" collapsed="false">
      <c r="A107" s="44" t="n">
        <v>28</v>
      </c>
      <c r="B107" s="11" t="s">
        <v>439</v>
      </c>
      <c r="C107" s="65" t="n">
        <f aca="false">216500+200000</f>
        <v>416500</v>
      </c>
      <c r="D107" s="65" t="n">
        <f aca="false">E107-C107</f>
        <v>0</v>
      </c>
      <c r="E107" s="66" t="n">
        <v>416500</v>
      </c>
    </row>
    <row r="108" customFormat="false" ht="15" hidden="false" customHeight="false" outlineLevel="0" collapsed="false">
      <c r="A108" s="44" t="n">
        <v>29</v>
      </c>
      <c r="B108" s="11" t="s">
        <v>440</v>
      </c>
      <c r="C108" s="65" t="n">
        <f aca="false">150000+130000+100000+36500</f>
        <v>416500</v>
      </c>
      <c r="D108" s="65" t="n">
        <f aca="false">E108-C108</f>
        <v>0</v>
      </c>
      <c r="E108" s="66" t="n">
        <v>416500</v>
      </c>
    </row>
    <row r="109" customFormat="false" ht="15" hidden="false" customHeight="false" outlineLevel="0" collapsed="false">
      <c r="A109" s="44" t="n">
        <v>30</v>
      </c>
      <c r="B109" s="11" t="s">
        <v>441</v>
      </c>
      <c r="C109" s="65" t="n">
        <f aca="false">200000+116500+100000</f>
        <v>416500</v>
      </c>
      <c r="D109" s="65" t="n">
        <f aca="false">E109-C109</f>
        <v>0</v>
      </c>
      <c r="E109" s="66" t="n">
        <v>416500</v>
      </c>
    </row>
    <row r="110" customFormat="false" ht="15" hidden="false" customHeight="false" outlineLevel="0" collapsed="false">
      <c r="A110" s="44" t="n">
        <v>31</v>
      </c>
      <c r="B110" s="11" t="s">
        <v>442</v>
      </c>
      <c r="C110" s="65" t="n">
        <f aca="false">216500+150000+50000</f>
        <v>416500</v>
      </c>
      <c r="D110" s="65" t="n">
        <f aca="false">E110-C110</f>
        <v>0</v>
      </c>
      <c r="E110" s="66" t="n">
        <v>416500</v>
      </c>
    </row>
    <row r="111" customFormat="false" ht="15" hidden="false" customHeight="false" outlineLevel="0" collapsed="false">
      <c r="A111" s="44" t="n">
        <v>32</v>
      </c>
      <c r="B111" s="11" t="s">
        <v>443</v>
      </c>
      <c r="C111" s="65" t="n">
        <f aca="false">33500+200000+180000+3000</f>
        <v>416500</v>
      </c>
      <c r="D111" s="65" t="n">
        <f aca="false">E111-C111</f>
        <v>0</v>
      </c>
      <c r="E111" s="66" t="n">
        <v>416500</v>
      </c>
    </row>
    <row r="112" customFormat="false" ht="15" hidden="false" customHeight="false" outlineLevel="0" collapsed="false">
      <c r="A112" s="44" t="n">
        <v>33</v>
      </c>
      <c r="B112" s="11" t="s">
        <v>444</v>
      </c>
      <c r="C112" s="65" t="n">
        <f aca="false">130000</f>
        <v>130000</v>
      </c>
      <c r="D112" s="65" t="n">
        <f aca="false">E112-C112</f>
        <v>286500</v>
      </c>
      <c r="E112" s="66" t="n">
        <v>416500</v>
      </c>
    </row>
    <row r="113" customFormat="false" ht="15" hidden="false" customHeight="false" outlineLevel="0" collapsed="false">
      <c r="A113" s="44" t="n">
        <v>34</v>
      </c>
      <c r="B113" s="11" t="s">
        <v>445</v>
      </c>
      <c r="C113" s="65"/>
      <c r="D113" s="65" t="n">
        <f aca="false">E113-C113</f>
        <v>416500</v>
      </c>
      <c r="E113" s="66" t="n">
        <v>416500</v>
      </c>
    </row>
    <row r="114" customFormat="false" ht="19.7" hidden="false" customHeight="false" outlineLevel="0" collapsed="false">
      <c r="A114" s="74"/>
      <c r="B114" s="16" t="s">
        <v>60</v>
      </c>
      <c r="C114" s="24" t="n">
        <f aca="false">SUM(C81:C113)</f>
        <v>9320000</v>
      </c>
      <c r="D114" s="18" t="n">
        <f aca="false">SUM(D81:D113)</f>
        <v>4824500</v>
      </c>
      <c r="E114" s="75" t="n">
        <f aca="false">SUM(E81:E113)</f>
        <v>14144500</v>
      </c>
    </row>
    <row r="115" customFormat="false" ht="15" hidden="false" customHeight="false" outlineLevel="0" collapsed="false">
      <c r="A115" s="38"/>
      <c r="D115" s="76"/>
      <c r="E115" s="77"/>
    </row>
    <row r="116" customFormat="false" ht="15" hidden="false" customHeight="false" outlineLevel="0" collapsed="false">
      <c r="A116" s="38"/>
      <c r="D116" s="76"/>
      <c r="E116" s="77"/>
    </row>
    <row r="117" customFormat="false" ht="15" hidden="false" customHeight="false" outlineLevel="0" collapsed="false">
      <c r="A117" s="38"/>
      <c r="D117" s="76"/>
      <c r="E117" s="77"/>
    </row>
    <row r="118" customFormat="false" ht="15" hidden="false" customHeight="false" outlineLevel="0" collapsed="false">
      <c r="A118" s="38"/>
      <c r="D118" s="76"/>
      <c r="E118" s="77"/>
    </row>
    <row r="119" customFormat="false" ht="15" hidden="false" customHeight="false" outlineLevel="0" collapsed="false">
      <c r="A119" s="38"/>
      <c r="D119" s="76"/>
      <c r="E119" s="77"/>
    </row>
    <row r="120" customFormat="false" ht="15" hidden="false" customHeight="false" outlineLevel="0" collapsed="false">
      <c r="A120" s="38"/>
      <c r="D120" s="76"/>
      <c r="E120" s="77"/>
    </row>
    <row r="121" customFormat="false" ht="15" hidden="false" customHeight="false" outlineLevel="0" collapsed="false">
      <c r="A121" s="38"/>
      <c r="D121" s="76"/>
      <c r="E121" s="77"/>
    </row>
    <row r="122" customFormat="false" ht="17.35" hidden="false" customHeight="false" outlineLevel="0" collapsed="false">
      <c r="A122" s="37"/>
      <c r="B122" s="1" t="s">
        <v>0</v>
      </c>
    </row>
    <row r="123" customFormat="false" ht="15" hidden="false" customHeight="false" outlineLevel="0" collapsed="false">
      <c r="A123" s="38"/>
    </row>
    <row r="124" customFormat="false" ht="17.25" hidden="false" customHeight="false" outlineLevel="0" collapsed="false">
      <c r="A124" s="38"/>
      <c r="B124" s="2" t="s">
        <v>1</v>
      </c>
    </row>
    <row r="125" customFormat="false" ht="15" hidden="false" customHeight="false" outlineLevel="0" collapsed="false">
      <c r="A125" s="38"/>
    </row>
    <row r="126" customFormat="false" ht="17.35" hidden="false" customHeight="false" outlineLevel="0" collapsed="false">
      <c r="A126" s="38"/>
      <c r="B126" s="39" t="s">
        <v>446</v>
      </c>
    </row>
    <row r="127" customFormat="false" ht="15" hidden="false" customHeight="false" outlineLevel="0" collapsed="false">
      <c r="A127" s="38"/>
      <c r="B127" s="3" t="s">
        <v>2</v>
      </c>
    </row>
    <row r="128" customFormat="false" ht="15" hidden="false" customHeight="false" outlineLevel="0" collapsed="false">
      <c r="A128" s="38"/>
    </row>
    <row r="129" customFormat="false" ht="15" hidden="false" customHeight="false" outlineLevel="0" collapsed="false">
      <c r="A129" s="40" t="s">
        <v>4</v>
      </c>
      <c r="B129" s="6" t="s">
        <v>5</v>
      </c>
      <c r="C129" s="7" t="s">
        <v>6</v>
      </c>
      <c r="D129" s="8" t="s">
        <v>7</v>
      </c>
      <c r="E129" s="9" t="s">
        <v>8</v>
      </c>
    </row>
    <row r="130" customFormat="false" ht="15" hidden="false" customHeight="false" outlineLevel="0" collapsed="false">
      <c r="A130" s="44" t="n">
        <v>1</v>
      </c>
      <c r="B130" s="11" t="s">
        <v>447</v>
      </c>
      <c r="C130" s="65" t="n">
        <v>416500</v>
      </c>
      <c r="D130" s="65" t="n">
        <f aca="false">E130-C130</f>
        <v>0</v>
      </c>
      <c r="E130" s="66" t="n">
        <v>416500</v>
      </c>
    </row>
    <row r="131" customFormat="false" ht="15" hidden="false" customHeight="false" outlineLevel="0" collapsed="false">
      <c r="A131" s="44" t="n">
        <v>2</v>
      </c>
      <c r="B131" s="11" t="s">
        <v>448</v>
      </c>
      <c r="C131" s="65" t="n">
        <f aca="false">200000+116500+100000</f>
        <v>416500</v>
      </c>
      <c r="D131" s="65" t="n">
        <f aca="false">E131-C131</f>
        <v>0</v>
      </c>
      <c r="E131" s="66" t="n">
        <v>416500</v>
      </c>
    </row>
    <row r="132" customFormat="false" ht="15" hidden="false" customHeight="false" outlineLevel="0" collapsed="false">
      <c r="A132" s="44" t="n">
        <v>3</v>
      </c>
      <c r="B132" s="11" t="s">
        <v>449</v>
      </c>
      <c r="C132" s="65" t="n">
        <f aca="false">216500+200000</f>
        <v>416500</v>
      </c>
      <c r="D132" s="65" t="n">
        <f aca="false">E132-C132</f>
        <v>0</v>
      </c>
      <c r="E132" s="66" t="n">
        <v>416500</v>
      </c>
    </row>
    <row r="133" customFormat="false" ht="15" hidden="false" customHeight="false" outlineLevel="0" collapsed="false">
      <c r="A133" s="44" t="n">
        <v>4</v>
      </c>
      <c r="B133" s="11" t="s">
        <v>450</v>
      </c>
      <c r="C133" s="65" t="n">
        <f aca="false">116500+100000+200000</f>
        <v>416500</v>
      </c>
      <c r="D133" s="65" t="n">
        <f aca="false">E133-C133</f>
        <v>0</v>
      </c>
      <c r="E133" s="66" t="n">
        <v>416500</v>
      </c>
    </row>
    <row r="134" customFormat="false" ht="15" hidden="false" customHeight="false" outlineLevel="0" collapsed="false">
      <c r="A134" s="44" t="n">
        <v>5</v>
      </c>
      <c r="B134" s="11" t="s">
        <v>451</v>
      </c>
      <c r="C134" s="65" t="n">
        <f aca="false">70000+346500</f>
        <v>416500</v>
      </c>
      <c r="D134" s="65" t="n">
        <f aca="false">E134-C134</f>
        <v>0</v>
      </c>
      <c r="E134" s="66" t="n">
        <v>416500</v>
      </c>
    </row>
    <row r="135" customFormat="false" ht="15" hidden="false" customHeight="false" outlineLevel="0" collapsed="false">
      <c r="A135" s="44" t="n">
        <v>6</v>
      </c>
      <c r="B135" s="11" t="s">
        <v>452</v>
      </c>
      <c r="C135" s="65" t="n">
        <v>416500</v>
      </c>
      <c r="D135" s="65" t="n">
        <f aca="false">E135-C135</f>
        <v>0</v>
      </c>
      <c r="E135" s="66" t="n">
        <v>416500</v>
      </c>
    </row>
    <row r="136" customFormat="false" ht="15" hidden="false" customHeight="false" outlineLevel="0" collapsed="false">
      <c r="A136" s="44" t="n">
        <v>7</v>
      </c>
      <c r="B136" s="11" t="s">
        <v>453</v>
      </c>
      <c r="C136" s="65" t="n">
        <f aca="false">100000+150000+150000+16500</f>
        <v>416500</v>
      </c>
      <c r="D136" s="65" t="n">
        <f aca="false">E136-C136</f>
        <v>0</v>
      </c>
      <c r="E136" s="66" t="n">
        <v>416500</v>
      </c>
    </row>
    <row r="137" customFormat="false" ht="15" hidden="false" customHeight="false" outlineLevel="0" collapsed="false">
      <c r="A137" s="44" t="n">
        <v>8</v>
      </c>
      <c r="B137" s="11" t="s">
        <v>454</v>
      </c>
      <c r="C137" s="65" t="n">
        <v>3500</v>
      </c>
      <c r="D137" s="65" t="n">
        <f aca="false">E137-C137</f>
        <v>413000</v>
      </c>
      <c r="E137" s="66" t="n">
        <v>416500</v>
      </c>
    </row>
    <row r="138" customFormat="false" ht="15" hidden="false" customHeight="false" outlineLevel="0" collapsed="false">
      <c r="A138" s="44" t="n">
        <v>9</v>
      </c>
      <c r="B138" s="11" t="s">
        <v>455</v>
      </c>
      <c r="C138" s="65" t="n">
        <f aca="false">226500+100000+50000+30000+10000</f>
        <v>416500</v>
      </c>
      <c r="D138" s="65" t="n">
        <f aca="false">E138-C138</f>
        <v>0</v>
      </c>
      <c r="E138" s="66" t="n">
        <v>416500</v>
      </c>
    </row>
    <row r="139" customFormat="false" ht="15" hidden="false" customHeight="false" outlineLevel="0" collapsed="false">
      <c r="A139" s="44" t="n">
        <v>10</v>
      </c>
      <c r="B139" s="11" t="s">
        <v>456</v>
      </c>
      <c r="C139" s="65" t="n">
        <f aca="false">416500</f>
        <v>416500</v>
      </c>
      <c r="D139" s="65" t="n">
        <f aca="false">E139-C139</f>
        <v>0</v>
      </c>
      <c r="E139" s="66" t="n">
        <v>416500</v>
      </c>
    </row>
    <row r="140" customFormat="false" ht="15" hidden="false" customHeight="false" outlineLevel="0" collapsed="false">
      <c r="A140" s="44" t="n">
        <v>11</v>
      </c>
      <c r="B140" s="11" t="s">
        <v>457</v>
      </c>
      <c r="C140" s="65" t="n">
        <f aca="false">216500+100000+100000</f>
        <v>416500</v>
      </c>
      <c r="D140" s="65" t="n">
        <f aca="false">E140-C140</f>
        <v>0</v>
      </c>
      <c r="E140" s="66" t="n">
        <v>416500</v>
      </c>
    </row>
    <row r="141" customFormat="false" ht="15" hidden="false" customHeight="false" outlineLevel="0" collapsed="false">
      <c r="A141" s="44" t="n">
        <v>12</v>
      </c>
      <c r="B141" s="78" t="s">
        <v>458</v>
      </c>
      <c r="C141" s="65" t="n">
        <f aca="false">200000+216500</f>
        <v>416500</v>
      </c>
      <c r="D141" s="65" t="n">
        <f aca="false">E141-C141</f>
        <v>0</v>
      </c>
      <c r="E141" s="66" t="n">
        <v>416500</v>
      </c>
    </row>
    <row r="142" customFormat="false" ht="15" hidden="false" customHeight="false" outlineLevel="0" collapsed="false">
      <c r="A142" s="44" t="n">
        <v>13</v>
      </c>
      <c r="B142" s="11" t="s">
        <v>459</v>
      </c>
      <c r="C142" s="65" t="n">
        <f aca="false">215000+201500</f>
        <v>416500</v>
      </c>
      <c r="D142" s="65" t="n">
        <f aca="false">E142-C142</f>
        <v>0</v>
      </c>
      <c r="E142" s="66" t="n">
        <v>416500</v>
      </c>
    </row>
    <row r="143" customFormat="false" ht="15" hidden="false" customHeight="false" outlineLevel="0" collapsed="false">
      <c r="A143" s="44" t="n">
        <v>14</v>
      </c>
      <c r="B143" s="11" t="s">
        <v>460</v>
      </c>
      <c r="C143" s="65"/>
      <c r="D143" s="65" t="n">
        <f aca="false">E143-C143</f>
        <v>416500</v>
      </c>
      <c r="E143" s="66" t="n">
        <v>416500</v>
      </c>
    </row>
    <row r="144" customFormat="false" ht="15" hidden="false" customHeight="false" outlineLevel="0" collapsed="false">
      <c r="A144" s="44" t="n">
        <v>15</v>
      </c>
      <c r="B144" s="78" t="s">
        <v>461</v>
      </c>
      <c r="C144" s="65"/>
      <c r="D144" s="65" t="n">
        <f aca="false">E144-C144</f>
        <v>416500</v>
      </c>
      <c r="E144" s="66" t="n">
        <v>416500</v>
      </c>
    </row>
    <row r="145" customFormat="false" ht="15" hidden="false" customHeight="false" outlineLevel="0" collapsed="false">
      <c r="A145" s="44" t="n">
        <v>16</v>
      </c>
      <c r="B145" s="11" t="s">
        <v>462</v>
      </c>
      <c r="C145" s="65" t="n">
        <f aca="false">236500+180000</f>
        <v>416500</v>
      </c>
      <c r="D145" s="65" t="n">
        <f aca="false">E145-C145</f>
        <v>0</v>
      </c>
      <c r="E145" s="66" t="n">
        <v>416500</v>
      </c>
    </row>
    <row r="146" customFormat="false" ht="15" hidden="false" customHeight="false" outlineLevel="0" collapsed="false">
      <c r="A146" s="44" t="n">
        <v>17</v>
      </c>
      <c r="B146" s="11" t="s">
        <v>463</v>
      </c>
      <c r="C146" s="65" t="n">
        <f aca="false">66500+50000+170000+130000</f>
        <v>416500</v>
      </c>
      <c r="D146" s="65" t="n">
        <f aca="false">E146-C146</f>
        <v>0</v>
      </c>
      <c r="E146" s="66" t="n">
        <v>416500</v>
      </c>
    </row>
    <row r="147" customFormat="false" ht="15" hidden="false" customHeight="false" outlineLevel="0" collapsed="false">
      <c r="A147" s="44" t="n">
        <v>18</v>
      </c>
      <c r="B147" s="11" t="s">
        <v>464</v>
      </c>
      <c r="C147" s="65" t="n">
        <f aca="false">100000+250000+65500+1000</f>
        <v>416500</v>
      </c>
      <c r="D147" s="65" t="n">
        <f aca="false">E147-C147</f>
        <v>0</v>
      </c>
      <c r="E147" s="66" t="n">
        <v>416500</v>
      </c>
    </row>
    <row r="148" customFormat="false" ht="15" hidden="false" customHeight="false" outlineLevel="0" collapsed="false">
      <c r="A148" s="44" t="n">
        <v>19</v>
      </c>
      <c r="B148" s="11" t="s">
        <v>465</v>
      </c>
      <c r="C148" s="65"/>
      <c r="D148" s="65" t="n">
        <f aca="false">E148-C148</f>
        <v>416500</v>
      </c>
      <c r="E148" s="66" t="n">
        <v>416500</v>
      </c>
    </row>
    <row r="149" customFormat="false" ht="15" hidden="false" customHeight="false" outlineLevel="0" collapsed="false">
      <c r="A149" s="44" t="n">
        <v>20</v>
      </c>
      <c r="B149" s="14" t="s">
        <v>466</v>
      </c>
      <c r="C149" s="65"/>
      <c r="D149" s="65" t="n">
        <f aca="false">E149-C149</f>
        <v>416500</v>
      </c>
      <c r="E149" s="66" t="n">
        <v>416500</v>
      </c>
    </row>
    <row r="150" customFormat="false" ht="15" hidden="false" customHeight="false" outlineLevel="0" collapsed="false">
      <c r="A150" s="44" t="n">
        <v>21</v>
      </c>
      <c r="B150" s="11" t="s">
        <v>467</v>
      </c>
      <c r="C150" s="65" t="n">
        <f aca="false">50000+295000+21500+50000</f>
        <v>416500</v>
      </c>
      <c r="D150" s="65" t="n">
        <f aca="false">E150-C150</f>
        <v>0</v>
      </c>
      <c r="E150" s="66" t="n">
        <v>416500</v>
      </c>
    </row>
    <row r="151" customFormat="false" ht="15" hidden="false" customHeight="false" outlineLevel="0" collapsed="false">
      <c r="A151" s="44" t="n">
        <v>22</v>
      </c>
      <c r="B151" s="11" t="s">
        <v>468</v>
      </c>
      <c r="C151" s="65"/>
      <c r="D151" s="65" t="n">
        <f aca="false">E151-C151</f>
        <v>416500</v>
      </c>
      <c r="E151" s="66" t="n">
        <v>416500</v>
      </c>
    </row>
    <row r="152" customFormat="false" ht="15" hidden="false" customHeight="false" outlineLevel="0" collapsed="false">
      <c r="A152" s="44" t="n">
        <v>23</v>
      </c>
      <c r="B152" s="78" t="s">
        <v>469</v>
      </c>
      <c r="C152" s="65"/>
      <c r="D152" s="65" t="n">
        <f aca="false">E152-C152</f>
        <v>416500</v>
      </c>
      <c r="E152" s="66" t="n">
        <v>416500</v>
      </c>
    </row>
    <row r="153" customFormat="false" ht="15" hidden="false" customHeight="false" outlineLevel="0" collapsed="false">
      <c r="A153" s="44" t="n">
        <v>24</v>
      </c>
      <c r="B153" s="11" t="s">
        <v>470</v>
      </c>
      <c r="C153" s="65" t="n">
        <v>417000</v>
      </c>
      <c r="D153" s="65" t="n">
        <f aca="false">E153-C153</f>
        <v>-500</v>
      </c>
      <c r="E153" s="66" t="n">
        <v>416500</v>
      </c>
    </row>
    <row r="154" customFormat="false" ht="15" hidden="false" customHeight="false" outlineLevel="0" collapsed="false">
      <c r="A154" s="44" t="n">
        <v>25</v>
      </c>
      <c r="B154" s="11" t="s">
        <v>471</v>
      </c>
      <c r="C154" s="65" t="n">
        <f aca="false">40000+40000+60000+120000+156500</f>
        <v>416500</v>
      </c>
      <c r="D154" s="65" t="n">
        <f aca="false">E154-C154</f>
        <v>0</v>
      </c>
      <c r="E154" s="66" t="n">
        <v>416500</v>
      </c>
    </row>
    <row r="155" customFormat="false" ht="15" hidden="false" customHeight="false" outlineLevel="0" collapsed="false">
      <c r="A155" s="44" t="n">
        <v>26</v>
      </c>
      <c r="B155" s="78" t="s">
        <v>472</v>
      </c>
      <c r="C155" s="65" t="n">
        <f aca="false">150000+100000+100000+100000</f>
        <v>450000</v>
      </c>
      <c r="D155" s="65" t="n">
        <f aca="false">E155-C155</f>
        <v>-33500</v>
      </c>
      <c r="E155" s="66" t="n">
        <v>416500</v>
      </c>
    </row>
    <row r="156" customFormat="false" ht="15" hidden="false" customHeight="false" outlineLevel="0" collapsed="false">
      <c r="A156" s="44" t="n">
        <v>27</v>
      </c>
      <c r="B156" s="11" t="s">
        <v>473</v>
      </c>
      <c r="C156" s="65" t="n">
        <f aca="false">100000+50000</f>
        <v>150000</v>
      </c>
      <c r="D156" s="65" t="n">
        <f aca="false">E156-C156</f>
        <v>266500</v>
      </c>
      <c r="E156" s="66" t="n">
        <v>416500</v>
      </c>
    </row>
    <row r="157" customFormat="false" ht="15" hidden="false" customHeight="false" outlineLevel="0" collapsed="false">
      <c r="A157" s="44" t="n">
        <v>28</v>
      </c>
      <c r="B157" s="11" t="s">
        <v>474</v>
      </c>
      <c r="C157" s="65"/>
      <c r="D157" s="65" t="n">
        <f aca="false">E157-C157</f>
        <v>416500</v>
      </c>
      <c r="E157" s="66" t="n">
        <v>416500</v>
      </c>
    </row>
    <row r="158" customFormat="false" ht="15" hidden="false" customHeight="false" outlineLevel="0" collapsed="false">
      <c r="A158" s="44" t="n">
        <v>29</v>
      </c>
      <c r="B158" s="11" t="s">
        <v>475</v>
      </c>
      <c r="C158" s="65" t="n">
        <f aca="false">210000+206500</f>
        <v>416500</v>
      </c>
      <c r="D158" s="65" t="n">
        <f aca="false">E158-C158</f>
        <v>0</v>
      </c>
      <c r="E158" s="66" t="n">
        <v>416500</v>
      </c>
    </row>
    <row r="159" customFormat="false" ht="15" hidden="false" customHeight="false" outlineLevel="0" collapsed="false">
      <c r="A159" s="44" t="n">
        <v>30</v>
      </c>
      <c r="B159" s="11" t="s">
        <v>476</v>
      </c>
      <c r="C159" s="65"/>
      <c r="D159" s="65" t="n">
        <f aca="false">E159-C159</f>
        <v>416500</v>
      </c>
      <c r="E159" s="66" t="n">
        <v>416500</v>
      </c>
    </row>
    <row r="160" customFormat="false" ht="15" hidden="false" customHeight="false" outlineLevel="0" collapsed="false">
      <c r="A160" s="44" t="n">
        <v>31</v>
      </c>
      <c r="B160" s="11" t="s">
        <v>477</v>
      </c>
      <c r="C160" s="65"/>
      <c r="D160" s="65" t="n">
        <f aca="false">E160-C160</f>
        <v>416500</v>
      </c>
      <c r="E160" s="66" t="n">
        <v>416500</v>
      </c>
    </row>
    <row r="161" customFormat="false" ht="15" hidden="false" customHeight="false" outlineLevel="0" collapsed="false">
      <c r="A161" s="44" t="n">
        <v>32</v>
      </c>
      <c r="B161" s="11" t="s">
        <v>478</v>
      </c>
      <c r="C161" s="65"/>
      <c r="D161" s="65" t="n">
        <f aca="false">E161-C161</f>
        <v>416500</v>
      </c>
      <c r="E161" s="66" t="n">
        <v>416500</v>
      </c>
    </row>
    <row r="162" customFormat="false" ht="15" hidden="false" customHeight="false" outlineLevel="0" collapsed="false">
      <c r="A162" s="44" t="n">
        <v>33</v>
      </c>
      <c r="B162" s="11" t="s">
        <v>479</v>
      </c>
      <c r="C162" s="65"/>
      <c r="D162" s="65" t="n">
        <f aca="false">E162-C162</f>
        <v>416500</v>
      </c>
      <c r="E162" s="66" t="n">
        <v>416500</v>
      </c>
    </row>
    <row r="163" customFormat="false" ht="15" hidden="false" customHeight="false" outlineLevel="0" collapsed="false">
      <c r="A163" s="44" t="n">
        <v>34</v>
      </c>
      <c r="B163" s="11" t="s">
        <v>480</v>
      </c>
      <c r="C163" s="65" t="n">
        <f aca="false">404000+1000+12500</f>
        <v>417500</v>
      </c>
      <c r="D163" s="65" t="n">
        <f aca="false">E163-C163</f>
        <v>-1000</v>
      </c>
      <c r="E163" s="66" t="n">
        <v>416500</v>
      </c>
    </row>
    <row r="164" customFormat="false" ht="15" hidden="false" customHeight="false" outlineLevel="0" collapsed="false">
      <c r="A164" s="44" t="n">
        <v>35</v>
      </c>
      <c r="B164" s="11" t="s">
        <v>481</v>
      </c>
      <c r="C164" s="65" t="n">
        <f aca="false">116500+150000+150000</f>
        <v>416500</v>
      </c>
      <c r="D164" s="65" t="n">
        <f aca="false">E164-C164</f>
        <v>0</v>
      </c>
      <c r="E164" s="66" t="n">
        <v>416500</v>
      </c>
    </row>
    <row r="165" customFormat="false" ht="15" hidden="false" customHeight="false" outlineLevel="0" collapsed="false">
      <c r="A165" s="44" t="n">
        <v>36</v>
      </c>
      <c r="B165" s="11" t="s">
        <v>482</v>
      </c>
      <c r="C165" s="65" t="n">
        <f aca="false">416500</f>
        <v>416500</v>
      </c>
      <c r="D165" s="65" t="n">
        <f aca="false">E165-C165</f>
        <v>0</v>
      </c>
      <c r="E165" s="66" t="n">
        <v>416500</v>
      </c>
    </row>
    <row r="166" customFormat="false" ht="19.7" hidden="false" customHeight="false" outlineLevel="0" collapsed="false">
      <c r="A166" s="38"/>
      <c r="B166" s="16" t="s">
        <v>60</v>
      </c>
      <c r="C166" s="24" t="n">
        <f aca="false">SUM(C130:C165)</f>
        <v>9768000</v>
      </c>
      <c r="D166" s="18" t="n">
        <f aca="false">SUM(D130:D165)</f>
        <v>5226000</v>
      </c>
      <c r="E166" s="75" t="n">
        <f aca="false">SUM(E130:E165)</f>
        <v>14994000</v>
      </c>
    </row>
    <row r="167" customFormat="false" ht="15" hidden="false" customHeight="false" outlineLevel="0" collapsed="false">
      <c r="A167" s="38"/>
    </row>
    <row r="168" customFormat="false" ht="15" hidden="false" customHeight="false" outlineLevel="0" collapsed="false">
      <c r="A168" s="38"/>
    </row>
    <row r="169" customFormat="false" ht="15" hidden="false" customHeight="false" outlineLevel="0" collapsed="false">
      <c r="A169" s="38"/>
    </row>
    <row r="170" customFormat="false" ht="15" hidden="false" customHeight="false" outlineLevel="0" collapsed="false">
      <c r="A170" s="38"/>
    </row>
    <row r="171" customFormat="false" ht="17.35" hidden="false" customHeight="false" outlineLevel="0" collapsed="false">
      <c r="A171" s="38"/>
      <c r="B171" s="1" t="s">
        <v>0</v>
      </c>
    </row>
    <row r="172" customFormat="false" ht="15" hidden="false" customHeight="false" outlineLevel="0" collapsed="false">
      <c r="A172" s="38"/>
    </row>
    <row r="173" customFormat="false" ht="17.35" hidden="false" customHeight="false" outlineLevel="0" collapsed="false">
      <c r="A173" s="38"/>
      <c r="B173" s="39" t="s">
        <v>359</v>
      </c>
    </row>
    <row r="174" customFormat="false" ht="15" hidden="false" customHeight="false" outlineLevel="0" collapsed="false">
      <c r="A174" s="38"/>
      <c r="B174" s="3" t="s">
        <v>61</v>
      </c>
    </row>
    <row r="175" customFormat="false" ht="15" hidden="false" customHeight="false" outlineLevel="0" collapsed="false">
      <c r="A175" s="38"/>
    </row>
    <row r="176" customFormat="false" ht="15" hidden="false" customHeight="false" outlineLevel="0" collapsed="false">
      <c r="A176" s="40" t="s">
        <v>4</v>
      </c>
      <c r="B176" s="6" t="s">
        <v>5</v>
      </c>
      <c r="C176" s="7" t="s">
        <v>6</v>
      </c>
      <c r="D176" s="8" t="s">
        <v>7</v>
      </c>
      <c r="E176" s="9" t="s">
        <v>8</v>
      </c>
    </row>
    <row r="177" customFormat="false" ht="15" hidden="false" customHeight="false" outlineLevel="0" collapsed="false">
      <c r="A177" s="44" t="n">
        <v>1</v>
      </c>
      <c r="B177" s="11" t="s">
        <v>483</v>
      </c>
      <c r="C177" s="65" t="n">
        <f aca="false">116500+100000+200000</f>
        <v>416500</v>
      </c>
      <c r="D177" s="65" t="n">
        <f aca="false">E177-C177</f>
        <v>0</v>
      </c>
      <c r="E177" s="66" t="n">
        <v>416500</v>
      </c>
    </row>
    <row r="178" customFormat="false" ht="15" hidden="false" customHeight="false" outlineLevel="0" collapsed="false">
      <c r="A178" s="44" t="n">
        <v>2</v>
      </c>
      <c r="B178" s="11" t="s">
        <v>484</v>
      </c>
      <c r="C178" s="65" t="n">
        <f aca="false">50000+100000+250000+16500</f>
        <v>416500</v>
      </c>
      <c r="D178" s="65" t="n">
        <f aca="false">E178-C178</f>
        <v>0</v>
      </c>
      <c r="E178" s="66" t="n">
        <v>416500</v>
      </c>
    </row>
    <row r="179" customFormat="false" ht="15" hidden="false" customHeight="false" outlineLevel="0" collapsed="false">
      <c r="A179" s="44" t="n">
        <v>3</v>
      </c>
      <c r="B179" s="14" t="s">
        <v>485</v>
      </c>
      <c r="C179" s="65" t="n">
        <f aca="false">130000+100000+50000+85000+51500</f>
        <v>416500</v>
      </c>
      <c r="D179" s="65" t="n">
        <f aca="false">E179-C179</f>
        <v>0</v>
      </c>
      <c r="E179" s="66" t="n">
        <v>416500</v>
      </c>
    </row>
    <row r="180" customFormat="false" ht="15" hidden="false" customHeight="false" outlineLevel="0" collapsed="false">
      <c r="A180" s="44" t="n">
        <v>5</v>
      </c>
      <c r="B180" s="11" t="s">
        <v>486</v>
      </c>
      <c r="C180" s="65" t="n">
        <f aca="false">300000+116500</f>
        <v>416500</v>
      </c>
      <c r="D180" s="65" t="n">
        <f aca="false">E180-C180</f>
        <v>0</v>
      </c>
      <c r="E180" s="66" t="n">
        <v>416500</v>
      </c>
    </row>
    <row r="181" customFormat="false" ht="15" hidden="false" customHeight="false" outlineLevel="0" collapsed="false">
      <c r="A181" s="44" t="n">
        <v>6</v>
      </c>
      <c r="B181" s="14" t="s">
        <v>487</v>
      </c>
      <c r="C181" s="65" t="n">
        <f aca="false">150000+215000+51500</f>
        <v>416500</v>
      </c>
      <c r="D181" s="65" t="n">
        <f aca="false">E181-C181</f>
        <v>0</v>
      </c>
      <c r="E181" s="66" t="n">
        <v>416500</v>
      </c>
    </row>
    <row r="182" customFormat="false" ht="15" hidden="false" customHeight="false" outlineLevel="0" collapsed="false">
      <c r="A182" s="44" t="n">
        <v>7</v>
      </c>
      <c r="B182" s="11" t="s">
        <v>488</v>
      </c>
      <c r="C182" s="65"/>
      <c r="D182" s="65" t="n">
        <f aca="false">E182-C182</f>
        <v>416500</v>
      </c>
      <c r="E182" s="66" t="n">
        <v>416500</v>
      </c>
    </row>
    <row r="183" customFormat="false" ht="15" hidden="false" customHeight="false" outlineLevel="0" collapsed="false">
      <c r="A183" s="44" t="n">
        <v>8</v>
      </c>
      <c r="B183" s="11" t="s">
        <v>489</v>
      </c>
      <c r="C183" s="65" t="n">
        <f aca="false">200000+216000+500</f>
        <v>416500</v>
      </c>
      <c r="D183" s="65" t="n">
        <f aca="false">E183-C183</f>
        <v>0</v>
      </c>
      <c r="E183" s="66" t="n">
        <v>416500</v>
      </c>
    </row>
    <row r="184" customFormat="false" ht="15" hidden="false" customHeight="false" outlineLevel="0" collapsed="false">
      <c r="A184" s="44" t="n">
        <v>9</v>
      </c>
      <c r="B184" s="11" t="s">
        <v>490</v>
      </c>
      <c r="C184" s="65"/>
      <c r="D184" s="65" t="n">
        <f aca="false">E184-C184</f>
        <v>416500</v>
      </c>
      <c r="E184" s="66" t="n">
        <v>416500</v>
      </c>
    </row>
    <row r="185" customFormat="false" ht="15" hidden="false" customHeight="false" outlineLevel="0" collapsed="false">
      <c r="A185" s="44" t="n">
        <v>10</v>
      </c>
      <c r="B185" s="11" t="s">
        <v>491</v>
      </c>
      <c r="C185" s="65" t="n">
        <f aca="false">145000+236500+35000</f>
        <v>416500</v>
      </c>
      <c r="D185" s="65" t="n">
        <f aca="false">E185-C185</f>
        <v>0</v>
      </c>
      <c r="E185" s="66" t="n">
        <v>416500</v>
      </c>
    </row>
    <row r="186" customFormat="false" ht="15" hidden="false" customHeight="false" outlineLevel="0" collapsed="false">
      <c r="A186" s="44" t="n">
        <v>11</v>
      </c>
      <c r="B186" s="11" t="s">
        <v>492</v>
      </c>
      <c r="C186" s="65" t="n">
        <f aca="false">100000+100000+200000</f>
        <v>400000</v>
      </c>
      <c r="D186" s="65" t="n">
        <f aca="false">E186-C186</f>
        <v>16500</v>
      </c>
      <c r="E186" s="66" t="n">
        <v>416500</v>
      </c>
    </row>
    <row r="187" customFormat="false" ht="15" hidden="false" customHeight="false" outlineLevel="0" collapsed="false">
      <c r="A187" s="44" t="n">
        <v>12</v>
      </c>
      <c r="B187" s="11" t="s">
        <v>370</v>
      </c>
      <c r="C187" s="65"/>
      <c r="D187" s="65" t="n">
        <f aca="false">E187-C187</f>
        <v>416500</v>
      </c>
      <c r="E187" s="66" t="n">
        <v>416500</v>
      </c>
    </row>
    <row r="188" customFormat="false" ht="15" hidden="false" customHeight="false" outlineLevel="0" collapsed="false">
      <c r="A188" s="44" t="n">
        <v>13</v>
      </c>
      <c r="B188" s="11" t="s">
        <v>493</v>
      </c>
      <c r="C188" s="65"/>
      <c r="D188" s="65" t="n">
        <f aca="false">E188-C188</f>
        <v>416500</v>
      </c>
      <c r="E188" s="66" t="n">
        <v>416500</v>
      </c>
    </row>
    <row r="189" customFormat="false" ht="15" hidden="false" customHeight="false" outlineLevel="0" collapsed="false">
      <c r="A189" s="44" t="n">
        <v>14</v>
      </c>
      <c r="B189" s="78" t="s">
        <v>494</v>
      </c>
      <c r="C189" s="65"/>
      <c r="D189" s="65" t="n">
        <f aca="false">E189-C189</f>
        <v>416500</v>
      </c>
      <c r="E189" s="66" t="n">
        <v>416500</v>
      </c>
    </row>
    <row r="190" customFormat="false" ht="15" hidden="false" customHeight="false" outlineLevel="0" collapsed="false">
      <c r="A190" s="44" t="n">
        <v>15</v>
      </c>
      <c r="B190" s="11" t="s">
        <v>495</v>
      </c>
      <c r="C190" s="65"/>
      <c r="D190" s="65" t="n">
        <f aca="false">E190-C190</f>
        <v>416500</v>
      </c>
      <c r="E190" s="66" t="n">
        <v>416500</v>
      </c>
    </row>
    <row r="191" customFormat="false" ht="15" hidden="false" customHeight="false" outlineLevel="0" collapsed="false">
      <c r="A191" s="44" t="n">
        <v>16</v>
      </c>
      <c r="B191" s="20" t="s">
        <v>496</v>
      </c>
      <c r="C191" s="65"/>
      <c r="D191" s="65" t="n">
        <f aca="false">E191-C191</f>
        <v>416500</v>
      </c>
      <c r="E191" s="66" t="n">
        <v>416500</v>
      </c>
    </row>
    <row r="192" customFormat="false" ht="15" hidden="false" customHeight="false" outlineLevel="0" collapsed="false">
      <c r="A192" s="44" t="n">
        <v>17</v>
      </c>
      <c r="B192" s="14" t="s">
        <v>497</v>
      </c>
      <c r="C192" s="65"/>
      <c r="D192" s="65" t="n">
        <f aca="false">E192-C192</f>
        <v>416500</v>
      </c>
      <c r="E192" s="66" t="n">
        <v>416500</v>
      </c>
    </row>
    <row r="193" customFormat="false" ht="15" hidden="false" customHeight="false" outlineLevel="0" collapsed="false">
      <c r="A193" s="44" t="n">
        <v>18</v>
      </c>
      <c r="B193" s="11" t="s">
        <v>498</v>
      </c>
      <c r="C193" s="65" t="n">
        <f aca="false">200000+216500</f>
        <v>416500</v>
      </c>
      <c r="D193" s="65" t="n">
        <f aca="false">E193-C193</f>
        <v>0</v>
      </c>
      <c r="E193" s="66" t="n">
        <v>416500</v>
      </c>
    </row>
    <row r="194" customFormat="false" ht="15" hidden="false" customHeight="false" outlineLevel="0" collapsed="false">
      <c r="A194" s="44" t="n">
        <v>19</v>
      </c>
      <c r="B194" s="11" t="s">
        <v>499</v>
      </c>
      <c r="C194" s="65"/>
      <c r="D194" s="65" t="n">
        <f aca="false">E194-C194</f>
        <v>416500</v>
      </c>
      <c r="E194" s="66" t="n">
        <v>416500</v>
      </c>
    </row>
    <row r="195" customFormat="false" ht="15" hidden="false" customHeight="false" outlineLevel="0" collapsed="false">
      <c r="A195" s="44" t="n">
        <v>20</v>
      </c>
      <c r="B195" s="14" t="s">
        <v>500</v>
      </c>
      <c r="C195" s="65"/>
      <c r="D195" s="65" t="n">
        <f aca="false">E195-C195</f>
        <v>416500</v>
      </c>
      <c r="E195" s="66" t="n">
        <v>416500</v>
      </c>
    </row>
    <row r="196" customFormat="false" ht="15" hidden="false" customHeight="false" outlineLevel="0" collapsed="false">
      <c r="A196" s="44" t="n">
        <v>21</v>
      </c>
      <c r="B196" s="11" t="s">
        <v>501</v>
      </c>
      <c r="C196" s="65"/>
      <c r="D196" s="65" t="n">
        <f aca="false">E196-C196</f>
        <v>416500</v>
      </c>
      <c r="E196" s="66" t="n">
        <v>416500</v>
      </c>
    </row>
    <row r="197" customFormat="false" ht="15" hidden="false" customHeight="false" outlineLevel="0" collapsed="false">
      <c r="A197" s="44" t="n">
        <v>22</v>
      </c>
      <c r="B197" s="11" t="s">
        <v>502</v>
      </c>
      <c r="C197" s="65" t="n">
        <f aca="false">100000+100000+216500</f>
        <v>416500</v>
      </c>
      <c r="D197" s="65" t="n">
        <f aca="false">E197-C197</f>
        <v>0</v>
      </c>
      <c r="E197" s="66" t="n">
        <v>416500</v>
      </c>
    </row>
    <row r="198" customFormat="false" ht="15" hidden="false" customHeight="false" outlineLevel="0" collapsed="false">
      <c r="A198" s="44" t="n">
        <v>23</v>
      </c>
      <c r="B198" s="11" t="s">
        <v>503</v>
      </c>
      <c r="C198" s="65"/>
      <c r="D198" s="65" t="n">
        <f aca="false">E198-C198</f>
        <v>416500</v>
      </c>
      <c r="E198" s="66" t="n">
        <v>416500</v>
      </c>
    </row>
    <row r="199" customFormat="false" ht="15" hidden="false" customHeight="false" outlineLevel="0" collapsed="false">
      <c r="A199" s="44" t="n">
        <v>24</v>
      </c>
      <c r="B199" s="11" t="s">
        <v>504</v>
      </c>
      <c r="C199" s="65" t="n">
        <f aca="false">150000+150000+110000</f>
        <v>410000</v>
      </c>
      <c r="D199" s="65" t="n">
        <f aca="false">E199-C199</f>
        <v>6500</v>
      </c>
      <c r="E199" s="66" t="n">
        <v>416500</v>
      </c>
    </row>
    <row r="200" customFormat="false" ht="15" hidden="false" customHeight="false" outlineLevel="0" collapsed="false">
      <c r="A200" s="44" t="n">
        <v>25</v>
      </c>
      <c r="B200" s="11" t="s">
        <v>505</v>
      </c>
      <c r="C200" s="65" t="n">
        <f aca="false">250000+166500</f>
        <v>416500</v>
      </c>
      <c r="D200" s="65" t="n">
        <f aca="false">E200-C200</f>
        <v>0</v>
      </c>
      <c r="E200" s="66" t="n">
        <v>416500</v>
      </c>
    </row>
    <row r="201" customFormat="false" ht="15" hidden="false" customHeight="false" outlineLevel="0" collapsed="false">
      <c r="A201" s="44" t="n">
        <v>26</v>
      </c>
      <c r="B201" s="11" t="s">
        <v>506</v>
      </c>
      <c r="C201" s="65" t="n">
        <f aca="false">100000+200000+116500</f>
        <v>416500</v>
      </c>
      <c r="D201" s="65" t="n">
        <f aca="false">E201-C201</f>
        <v>0</v>
      </c>
      <c r="E201" s="66" t="n">
        <v>416500</v>
      </c>
    </row>
    <row r="202" customFormat="false" ht="15" hidden="false" customHeight="false" outlineLevel="0" collapsed="false">
      <c r="A202" s="44" t="n">
        <v>27</v>
      </c>
      <c r="B202" s="11" t="s">
        <v>507</v>
      </c>
      <c r="C202" s="65"/>
      <c r="D202" s="65" t="n">
        <f aca="false">E202-C202</f>
        <v>416500</v>
      </c>
      <c r="E202" s="66" t="n">
        <v>416500</v>
      </c>
    </row>
    <row r="203" customFormat="false" ht="15" hidden="false" customHeight="false" outlineLevel="0" collapsed="false">
      <c r="A203" s="44" t="n">
        <v>28</v>
      </c>
      <c r="B203" s="11" t="s">
        <v>508</v>
      </c>
      <c r="C203" s="65" t="n">
        <f aca="false">160000+256500</f>
        <v>416500</v>
      </c>
      <c r="D203" s="65" t="n">
        <f aca="false">E203-C203</f>
        <v>0</v>
      </c>
      <c r="E203" s="66" t="n">
        <v>416500</v>
      </c>
    </row>
    <row r="204" customFormat="false" ht="15" hidden="false" customHeight="false" outlineLevel="0" collapsed="false">
      <c r="A204" s="44" t="n">
        <v>29</v>
      </c>
      <c r="B204" s="11" t="s">
        <v>509</v>
      </c>
      <c r="C204" s="65" t="n">
        <f aca="false">216500+100000</f>
        <v>316500</v>
      </c>
      <c r="D204" s="65" t="n">
        <f aca="false">E204-C204</f>
        <v>100000</v>
      </c>
      <c r="E204" s="66" t="n">
        <v>416500</v>
      </c>
    </row>
    <row r="205" customFormat="false" ht="15" hidden="false" customHeight="false" outlineLevel="0" collapsed="false">
      <c r="A205" s="44" t="n">
        <v>30</v>
      </c>
      <c r="B205" s="11" t="s">
        <v>510</v>
      </c>
      <c r="C205" s="65" t="n">
        <f aca="false">300000+116500</f>
        <v>416500</v>
      </c>
      <c r="D205" s="65" t="n">
        <f aca="false">E205-C205</f>
        <v>0</v>
      </c>
      <c r="E205" s="66" t="n">
        <v>416500</v>
      </c>
    </row>
    <row r="206" customFormat="false" ht="15" hidden="false" customHeight="false" outlineLevel="0" collapsed="false">
      <c r="A206" s="44" t="n">
        <v>31</v>
      </c>
      <c r="B206" s="11" t="s">
        <v>511</v>
      </c>
      <c r="C206" s="65" t="n">
        <v>200000</v>
      </c>
      <c r="D206" s="65" t="n">
        <v>216500</v>
      </c>
      <c r="E206" s="66" t="n">
        <v>416500</v>
      </c>
    </row>
    <row r="207" customFormat="false" ht="15" hidden="false" customHeight="false" outlineLevel="0" collapsed="false">
      <c r="A207" s="44" t="n">
        <v>32</v>
      </c>
      <c r="B207" s="11" t="s">
        <v>512</v>
      </c>
      <c r="C207" s="65" t="n">
        <v>416500</v>
      </c>
      <c r="D207" s="65" t="n">
        <f aca="false">E207-C207</f>
        <v>0</v>
      </c>
      <c r="E207" s="66" t="n">
        <v>416500</v>
      </c>
    </row>
    <row r="208" customFormat="false" ht="15" hidden="false" customHeight="false" outlineLevel="0" collapsed="false">
      <c r="A208" s="44" t="n">
        <v>33</v>
      </c>
      <c r="B208" s="11" t="s">
        <v>513</v>
      </c>
      <c r="C208" s="65" t="n">
        <f aca="false">53500+100000+100000+100000+63000</f>
        <v>416500</v>
      </c>
      <c r="D208" s="65" t="n">
        <f aca="false">E208-C208</f>
        <v>0</v>
      </c>
      <c r="E208" s="66" t="n">
        <v>416500</v>
      </c>
    </row>
    <row r="209" customFormat="false" ht="15" hidden="false" customHeight="false" outlineLevel="0" collapsed="false">
      <c r="A209" s="44" t="n">
        <v>34</v>
      </c>
      <c r="B209" s="11" t="s">
        <v>514</v>
      </c>
      <c r="C209" s="65"/>
      <c r="D209" s="65" t="n">
        <f aca="false">E209-C209</f>
        <v>416500</v>
      </c>
      <c r="E209" s="66" t="n">
        <v>416500</v>
      </c>
    </row>
    <row r="210" customFormat="false" ht="15" hidden="false" customHeight="false" outlineLevel="0" collapsed="false">
      <c r="A210" s="44" t="n">
        <v>35</v>
      </c>
      <c r="B210" s="11" t="s">
        <v>515</v>
      </c>
      <c r="C210" s="65"/>
      <c r="D210" s="65" t="n">
        <f aca="false">E210-C210</f>
        <v>416500</v>
      </c>
      <c r="E210" s="66" t="n">
        <v>416500</v>
      </c>
    </row>
    <row r="211" customFormat="false" ht="15" hidden="false" customHeight="false" outlineLevel="0" collapsed="false">
      <c r="A211" s="44" t="n">
        <v>36</v>
      </c>
      <c r="B211" s="11" t="s">
        <v>516</v>
      </c>
      <c r="C211" s="65" t="n">
        <f aca="false">50000+79500+120000+100000+67000</f>
        <v>416500</v>
      </c>
      <c r="D211" s="65" t="n">
        <f aca="false">E211-C211</f>
        <v>0</v>
      </c>
      <c r="E211" s="66" t="n">
        <v>416500</v>
      </c>
    </row>
    <row r="212" customFormat="false" ht="15" hidden="false" customHeight="false" outlineLevel="0" collapsed="false">
      <c r="A212" s="44" t="n">
        <v>37</v>
      </c>
      <c r="B212" s="11" t="s">
        <v>517</v>
      </c>
      <c r="C212" s="65"/>
      <c r="D212" s="65" t="n">
        <f aca="false">E212-C212</f>
        <v>416500</v>
      </c>
      <c r="E212" s="66" t="n">
        <v>416500</v>
      </c>
    </row>
    <row r="213" customFormat="false" ht="15" hidden="false" customHeight="false" outlineLevel="0" collapsed="false">
      <c r="A213" s="44" t="n">
        <v>38</v>
      </c>
      <c r="B213" s="11" t="s">
        <v>518</v>
      </c>
      <c r="C213" s="65"/>
      <c r="D213" s="65" t="n">
        <f aca="false">E213-C213</f>
        <v>416500</v>
      </c>
      <c r="E213" s="66" t="n">
        <v>416500</v>
      </c>
    </row>
    <row r="214" customFormat="false" ht="15" hidden="false" customHeight="false" outlineLevel="0" collapsed="false">
      <c r="A214" s="44" t="n">
        <v>39</v>
      </c>
      <c r="B214" s="11" t="s">
        <v>519</v>
      </c>
      <c r="C214" s="65" t="n">
        <f aca="false">90000+60000+90000+176500</f>
        <v>416500</v>
      </c>
      <c r="D214" s="65" t="n">
        <f aca="false">E214-C214</f>
        <v>0</v>
      </c>
      <c r="E214" s="66" t="n">
        <v>416500</v>
      </c>
    </row>
    <row r="215" customFormat="false" ht="15" hidden="false" customHeight="false" outlineLevel="0" collapsed="false">
      <c r="A215" s="44" t="n">
        <v>40</v>
      </c>
      <c r="B215" s="11" t="s">
        <v>520</v>
      </c>
      <c r="C215" s="65" t="n">
        <f aca="false">100000</f>
        <v>100000</v>
      </c>
      <c r="D215" s="65" t="n">
        <f aca="false">E215-C215</f>
        <v>316500</v>
      </c>
      <c r="E215" s="66" t="n">
        <v>416500</v>
      </c>
    </row>
    <row r="216" customFormat="false" ht="15" hidden="false" customHeight="false" outlineLevel="0" collapsed="false">
      <c r="A216" s="44" t="n">
        <v>41</v>
      </c>
      <c r="B216" s="11" t="s">
        <v>521</v>
      </c>
      <c r="C216" s="65" t="n">
        <f aca="false">100000+100000+216500</f>
        <v>416500</v>
      </c>
      <c r="D216" s="65" t="n">
        <f aca="false">E216-C216</f>
        <v>0</v>
      </c>
      <c r="E216" s="66" t="n">
        <v>416500</v>
      </c>
    </row>
    <row r="217" customFormat="false" ht="15" hidden="false" customHeight="false" outlineLevel="0" collapsed="false">
      <c r="A217" s="44" t="n">
        <v>42</v>
      </c>
      <c r="B217" s="11" t="s">
        <v>522</v>
      </c>
      <c r="C217" s="65" t="n">
        <f aca="false">290000+126500</f>
        <v>416500</v>
      </c>
      <c r="D217" s="65" t="n">
        <f aca="false">E217-C217</f>
        <v>0</v>
      </c>
      <c r="E217" s="66" t="n">
        <v>416500</v>
      </c>
    </row>
    <row r="218" customFormat="false" ht="15" hidden="false" customHeight="false" outlineLevel="0" collapsed="false">
      <c r="A218" s="44" t="n">
        <v>43</v>
      </c>
      <c r="B218" s="11" t="s">
        <v>523</v>
      </c>
      <c r="C218" s="65"/>
      <c r="D218" s="65" t="n">
        <f aca="false">E218-C218</f>
        <v>416500</v>
      </c>
      <c r="E218" s="66" t="n">
        <v>416500</v>
      </c>
    </row>
    <row r="219" customFormat="false" ht="15" hidden="false" customHeight="false" outlineLevel="0" collapsed="false">
      <c r="A219" s="44" t="n">
        <v>44</v>
      </c>
      <c r="B219" s="11" t="s">
        <v>524</v>
      </c>
      <c r="C219" s="65" t="n">
        <f aca="false">216500+200000</f>
        <v>416500</v>
      </c>
      <c r="D219" s="65" t="n">
        <f aca="false">E219-C219</f>
        <v>0</v>
      </c>
      <c r="E219" s="66" t="n">
        <v>416500</v>
      </c>
    </row>
    <row r="220" customFormat="false" ht="15" hidden="false" customHeight="false" outlineLevel="0" collapsed="false">
      <c r="A220" s="44" t="n">
        <v>45</v>
      </c>
      <c r="B220" s="11" t="s">
        <v>525</v>
      </c>
      <c r="C220" s="65" t="n">
        <f aca="false">69000+40000+50000+50000+30000+30000+147500</f>
        <v>416500</v>
      </c>
      <c r="D220" s="65" t="n">
        <f aca="false">E220-C220</f>
        <v>0</v>
      </c>
      <c r="E220" s="66" t="n">
        <v>416500</v>
      </c>
    </row>
    <row r="221" customFormat="false" ht="15" hidden="false" customHeight="false" outlineLevel="0" collapsed="false">
      <c r="A221" s="44" t="n">
        <v>46</v>
      </c>
      <c r="B221" s="11" t="s">
        <v>526</v>
      </c>
      <c r="C221" s="65" t="n">
        <f aca="false">70000+200000+146500</f>
        <v>416500</v>
      </c>
      <c r="D221" s="65" t="n">
        <f aca="false">E221-C221</f>
        <v>0</v>
      </c>
      <c r="E221" s="66" t="n">
        <v>416500</v>
      </c>
    </row>
    <row r="222" customFormat="false" ht="15" hidden="false" customHeight="false" outlineLevel="0" collapsed="false">
      <c r="A222" s="44" t="n">
        <v>47</v>
      </c>
      <c r="B222" s="11" t="s">
        <v>527</v>
      </c>
      <c r="C222" s="65" t="n">
        <f aca="false">416500</f>
        <v>416500</v>
      </c>
      <c r="D222" s="65" t="n">
        <f aca="false">E222-C222</f>
        <v>0</v>
      </c>
      <c r="E222" s="66" t="n">
        <v>416500</v>
      </c>
    </row>
    <row r="223" customFormat="false" ht="15" hidden="false" customHeight="false" outlineLevel="0" collapsed="false">
      <c r="A223" s="44" t="n">
        <v>48</v>
      </c>
      <c r="B223" s="11" t="s">
        <v>528</v>
      </c>
      <c r="C223" s="65"/>
      <c r="D223" s="65" t="n">
        <f aca="false">E223-C223</f>
        <v>416500</v>
      </c>
      <c r="E223" s="66" t="n">
        <v>416500</v>
      </c>
    </row>
    <row r="224" customFormat="false" ht="19.7" hidden="false" customHeight="false" outlineLevel="0" collapsed="false">
      <c r="A224" s="74"/>
      <c r="B224" s="16" t="s">
        <v>60</v>
      </c>
      <c r="C224" s="24" t="n">
        <f aca="false">SUM(C177:C223)</f>
        <v>11006000</v>
      </c>
      <c r="D224" s="18" t="n">
        <f aca="false">SUM(D177:D223)</f>
        <v>8569500</v>
      </c>
      <c r="E224" s="75" t="n">
        <f aca="false">SUM(E177:E223)</f>
        <v>19575500</v>
      </c>
    </row>
    <row r="225" customFormat="false" ht="15" hidden="false" customHeight="false" outlineLevel="0" collapsed="false">
      <c r="A225" s="38"/>
    </row>
    <row r="226" customFormat="false" ht="15" hidden="false" customHeight="false" outlineLevel="0" collapsed="false">
      <c r="A226" s="38"/>
    </row>
    <row r="227" customFormat="false" ht="15" hidden="false" customHeight="false" outlineLevel="0" collapsed="false">
      <c r="A227" s="38"/>
    </row>
    <row r="228" customFormat="false" ht="15" hidden="false" customHeight="false" outlineLevel="0" collapsed="false">
      <c r="A228" s="38"/>
    </row>
    <row r="229" customFormat="false" ht="15" hidden="false" customHeight="false" outlineLevel="0" collapsed="false">
      <c r="A229" s="38"/>
    </row>
    <row r="230" customFormat="false" ht="15" hidden="false" customHeight="false" outlineLevel="0" collapsed="false">
      <c r="A230" s="38"/>
    </row>
    <row r="231" customFormat="false" ht="15" hidden="false" customHeight="false" outlineLevel="0" collapsed="false">
      <c r="A231" s="38"/>
    </row>
    <row r="232" customFormat="false" ht="15" hidden="false" customHeight="false" outlineLevel="0" collapsed="false">
      <c r="A232" s="38"/>
    </row>
    <row r="233" customFormat="false" ht="15" hidden="false" customHeight="false" outlineLevel="0" collapsed="false">
      <c r="A233" s="38"/>
    </row>
    <row r="234" customFormat="false" ht="15" hidden="false" customHeight="false" outlineLevel="0" collapsed="false">
      <c r="A234" s="38"/>
    </row>
    <row r="235" customFormat="false" ht="15" hidden="false" customHeight="false" outlineLevel="0" collapsed="false">
      <c r="A235" s="38"/>
    </row>
    <row r="236" customFormat="false" ht="15" hidden="false" customHeight="false" outlineLevel="0" collapsed="false">
      <c r="A236" s="38"/>
    </row>
    <row r="237" customFormat="false" ht="17.35" hidden="false" customHeight="false" outlineLevel="0" collapsed="false">
      <c r="A237" s="38"/>
      <c r="B237" s="1" t="s">
        <v>0</v>
      </c>
    </row>
    <row r="238" customFormat="false" ht="15" hidden="false" customHeight="false" outlineLevel="0" collapsed="false">
      <c r="A238" s="38"/>
    </row>
    <row r="239" customFormat="false" ht="17.35" hidden="false" customHeight="false" outlineLevel="0" collapsed="false">
      <c r="A239" s="38"/>
      <c r="B239" s="39" t="s">
        <v>411</v>
      </c>
    </row>
    <row r="240" customFormat="false" ht="15" hidden="false" customHeight="false" outlineLevel="0" collapsed="false">
      <c r="A240" s="38"/>
      <c r="B240" s="3" t="s">
        <v>61</v>
      </c>
    </row>
    <row r="241" customFormat="false" ht="15" hidden="false" customHeight="false" outlineLevel="0" collapsed="false">
      <c r="A241" s="38"/>
    </row>
    <row r="242" customFormat="false" ht="15" hidden="false" customHeight="false" outlineLevel="0" collapsed="false">
      <c r="A242" s="40" t="s">
        <v>4</v>
      </c>
      <c r="B242" s="6" t="s">
        <v>5</v>
      </c>
      <c r="C242" s="7" t="s">
        <v>6</v>
      </c>
      <c r="D242" s="8" t="s">
        <v>7</v>
      </c>
      <c r="E242" s="9" t="s">
        <v>8</v>
      </c>
    </row>
    <row r="243" customFormat="false" ht="15" hidden="false" customHeight="false" outlineLevel="0" collapsed="false">
      <c r="A243" s="44" t="n">
        <v>1</v>
      </c>
      <c r="B243" s="11" t="s">
        <v>529</v>
      </c>
      <c r="C243" s="65" t="n">
        <f aca="false">50000+150000+216500</f>
        <v>416500</v>
      </c>
      <c r="D243" s="65" t="n">
        <f aca="false">E243-C243</f>
        <v>0</v>
      </c>
      <c r="E243" s="66" t="n">
        <v>416500</v>
      </c>
    </row>
    <row r="244" customFormat="false" ht="15" hidden="false" customHeight="false" outlineLevel="0" collapsed="false">
      <c r="A244" s="44" t="n">
        <v>2</v>
      </c>
      <c r="B244" s="11" t="s">
        <v>530</v>
      </c>
      <c r="C244" s="65" t="n">
        <f aca="false">30000</f>
        <v>30000</v>
      </c>
      <c r="D244" s="65" t="n">
        <f aca="false">E244-C244</f>
        <v>386500</v>
      </c>
      <c r="E244" s="66" t="n">
        <v>416500</v>
      </c>
    </row>
    <row r="245" customFormat="false" ht="15" hidden="false" customHeight="false" outlineLevel="0" collapsed="false">
      <c r="A245" s="44" t="n">
        <v>3</v>
      </c>
      <c r="B245" s="11" t="s">
        <v>531</v>
      </c>
      <c r="C245" s="65" t="n">
        <f aca="false">150000+266500</f>
        <v>416500</v>
      </c>
      <c r="D245" s="65" t="n">
        <f aca="false">E245-C245</f>
        <v>0</v>
      </c>
      <c r="E245" s="66" t="n">
        <v>416500</v>
      </c>
    </row>
    <row r="246" customFormat="false" ht="15" hidden="false" customHeight="false" outlineLevel="0" collapsed="false">
      <c r="A246" s="44" t="n">
        <v>4</v>
      </c>
      <c r="B246" s="20" t="s">
        <v>532</v>
      </c>
      <c r="C246" s="65" t="n">
        <f aca="false">416500</f>
        <v>416500</v>
      </c>
      <c r="D246" s="65" t="n">
        <f aca="false">E246-C246</f>
        <v>0</v>
      </c>
      <c r="E246" s="66" t="n">
        <v>416500</v>
      </c>
    </row>
    <row r="247" customFormat="false" ht="15" hidden="false" customHeight="false" outlineLevel="0" collapsed="false">
      <c r="A247" s="44" t="n">
        <v>5</v>
      </c>
      <c r="B247" s="11" t="s">
        <v>533</v>
      </c>
      <c r="C247" s="65" t="n">
        <f aca="false">200000+216500</f>
        <v>416500</v>
      </c>
      <c r="D247" s="65" t="n">
        <f aca="false">E247-C247</f>
        <v>0</v>
      </c>
      <c r="E247" s="66" t="n">
        <v>416500</v>
      </c>
    </row>
    <row r="248" customFormat="false" ht="15" hidden="false" customHeight="false" outlineLevel="0" collapsed="false">
      <c r="A248" s="44" t="n">
        <v>6</v>
      </c>
      <c r="B248" s="14" t="s">
        <v>534</v>
      </c>
      <c r="C248" s="65" t="n">
        <f aca="false">216500+200000</f>
        <v>416500</v>
      </c>
      <c r="D248" s="65" t="n">
        <f aca="false">E248-C248</f>
        <v>0</v>
      </c>
      <c r="E248" s="66" t="n">
        <v>416500</v>
      </c>
    </row>
    <row r="249" customFormat="false" ht="15" hidden="false" customHeight="false" outlineLevel="0" collapsed="false">
      <c r="A249" s="44" t="n">
        <v>7</v>
      </c>
      <c r="B249" s="11" t="s">
        <v>535</v>
      </c>
      <c r="C249" s="65" t="n">
        <f aca="false">100000+316500</f>
        <v>416500</v>
      </c>
      <c r="D249" s="65" t="n">
        <f aca="false">E249-C249</f>
        <v>0</v>
      </c>
      <c r="E249" s="66" t="n">
        <v>416500</v>
      </c>
    </row>
    <row r="250" customFormat="false" ht="15" hidden="false" customHeight="false" outlineLevel="0" collapsed="false">
      <c r="A250" s="44" t="n">
        <v>8</v>
      </c>
      <c r="B250" s="11" t="s">
        <v>536</v>
      </c>
      <c r="C250" s="65" t="n">
        <f aca="false">116000+140000+60000</f>
        <v>316000</v>
      </c>
      <c r="D250" s="65" t="n">
        <f aca="false">E250-C250</f>
        <v>100500</v>
      </c>
      <c r="E250" s="66" t="n">
        <v>416500</v>
      </c>
    </row>
    <row r="251" customFormat="false" ht="15" hidden="false" customHeight="false" outlineLevel="0" collapsed="false">
      <c r="A251" s="44" t="n">
        <v>9</v>
      </c>
      <c r="B251" s="11" t="s">
        <v>537</v>
      </c>
      <c r="C251" s="65"/>
      <c r="D251" s="65" t="n">
        <f aca="false">E251-C251</f>
        <v>416500</v>
      </c>
      <c r="E251" s="66" t="n">
        <v>416500</v>
      </c>
    </row>
    <row r="252" customFormat="false" ht="15" hidden="false" customHeight="false" outlineLevel="0" collapsed="false">
      <c r="A252" s="44" t="n">
        <v>10</v>
      </c>
      <c r="B252" s="11" t="s">
        <v>538</v>
      </c>
      <c r="C252" s="65" t="n">
        <v>416500</v>
      </c>
      <c r="D252" s="65" t="n">
        <f aca="false">E252-C252</f>
        <v>0</v>
      </c>
      <c r="E252" s="66" t="n">
        <v>416500</v>
      </c>
    </row>
    <row r="253" customFormat="false" ht="15" hidden="false" customHeight="false" outlineLevel="0" collapsed="false">
      <c r="A253" s="44" t="n">
        <v>11</v>
      </c>
      <c r="B253" s="11" t="s">
        <v>539</v>
      </c>
      <c r="C253" s="65" t="n">
        <f aca="false">300000+116500</f>
        <v>416500</v>
      </c>
      <c r="D253" s="65" t="n">
        <f aca="false">E253-C253</f>
        <v>0</v>
      </c>
      <c r="E253" s="66" t="n">
        <v>416500</v>
      </c>
    </row>
    <row r="254" customFormat="false" ht="15" hidden="false" customHeight="false" outlineLevel="0" collapsed="false">
      <c r="A254" s="44" t="n">
        <v>12</v>
      </c>
      <c r="B254" s="11" t="s">
        <v>540</v>
      </c>
      <c r="C254" s="65" t="n">
        <f aca="false">50000+40000</f>
        <v>90000</v>
      </c>
      <c r="D254" s="65" t="n">
        <f aca="false">E254-C254</f>
        <v>326500</v>
      </c>
      <c r="E254" s="66" t="n">
        <v>416500</v>
      </c>
    </row>
    <row r="255" customFormat="false" ht="15" hidden="false" customHeight="false" outlineLevel="0" collapsed="false">
      <c r="A255" s="44" t="n">
        <v>13</v>
      </c>
      <c r="B255" s="11" t="s">
        <v>541</v>
      </c>
      <c r="C255" s="65" t="n">
        <f aca="false">200000+200000+16500</f>
        <v>416500</v>
      </c>
      <c r="D255" s="65" t="n">
        <f aca="false">E255-C255</f>
        <v>0</v>
      </c>
      <c r="E255" s="66" t="n">
        <v>416500</v>
      </c>
    </row>
    <row r="256" customFormat="false" ht="15" hidden="false" customHeight="false" outlineLevel="0" collapsed="false">
      <c r="A256" s="44" t="n">
        <v>14</v>
      </c>
      <c r="B256" s="11" t="s">
        <v>542</v>
      </c>
      <c r="C256" s="65" t="n">
        <f aca="false">200000+216500</f>
        <v>416500</v>
      </c>
      <c r="D256" s="65" t="n">
        <f aca="false">E256-C256</f>
        <v>0</v>
      </c>
      <c r="E256" s="66" t="n">
        <v>416500</v>
      </c>
    </row>
    <row r="257" customFormat="false" ht="15" hidden="false" customHeight="false" outlineLevel="0" collapsed="false">
      <c r="A257" s="44" t="n">
        <v>15</v>
      </c>
      <c r="B257" s="11" t="s">
        <v>543</v>
      </c>
      <c r="C257" s="65" t="n">
        <f aca="false">115000+100000</f>
        <v>215000</v>
      </c>
      <c r="D257" s="65" t="n">
        <f aca="false">E257-C257</f>
        <v>201500</v>
      </c>
      <c r="E257" s="66" t="n">
        <v>416500</v>
      </c>
    </row>
    <row r="258" customFormat="false" ht="15" hidden="false" customHeight="false" outlineLevel="0" collapsed="false">
      <c r="A258" s="44" t="n">
        <v>16</v>
      </c>
      <c r="B258" s="11" t="s">
        <v>544</v>
      </c>
      <c r="C258" s="65" t="n">
        <f aca="false">200000+216500</f>
        <v>416500</v>
      </c>
      <c r="D258" s="65" t="n">
        <f aca="false">E258-C258</f>
        <v>0</v>
      </c>
      <c r="E258" s="66" t="n">
        <v>416500</v>
      </c>
    </row>
    <row r="259" customFormat="false" ht="15" hidden="false" customHeight="false" outlineLevel="0" collapsed="false">
      <c r="A259" s="44" t="n">
        <v>17</v>
      </c>
      <c r="B259" s="11" t="s">
        <v>545</v>
      </c>
      <c r="C259" s="65" t="n">
        <f aca="false">229585+186925</f>
        <v>416510</v>
      </c>
      <c r="D259" s="65" t="n">
        <f aca="false">E259-C259</f>
        <v>-10</v>
      </c>
      <c r="E259" s="66" t="n">
        <v>416500</v>
      </c>
    </row>
    <row r="260" customFormat="false" ht="15" hidden="false" customHeight="false" outlineLevel="0" collapsed="false">
      <c r="A260" s="44" t="n">
        <v>18</v>
      </c>
      <c r="B260" s="11" t="s">
        <v>546</v>
      </c>
      <c r="C260" s="65" t="n">
        <f aca="false">100000+316500</f>
        <v>416500</v>
      </c>
      <c r="D260" s="65" t="n">
        <f aca="false">E260-C260</f>
        <v>0</v>
      </c>
      <c r="E260" s="66" t="n">
        <v>416500</v>
      </c>
    </row>
    <row r="261" customFormat="false" ht="15" hidden="false" customHeight="false" outlineLevel="0" collapsed="false">
      <c r="A261" s="44" t="n">
        <v>19</v>
      </c>
      <c r="B261" s="11" t="s">
        <v>547</v>
      </c>
      <c r="C261" s="65" t="n">
        <f aca="false">216500+200000</f>
        <v>416500</v>
      </c>
      <c r="D261" s="65" t="n">
        <f aca="false">E261-C261</f>
        <v>0</v>
      </c>
      <c r="E261" s="66" t="n">
        <v>416500</v>
      </c>
    </row>
    <row r="262" customFormat="false" ht="15" hidden="false" customHeight="false" outlineLevel="0" collapsed="false">
      <c r="A262" s="44" t="n">
        <v>20</v>
      </c>
      <c r="B262" s="11" t="s">
        <v>548</v>
      </c>
      <c r="C262" s="65" t="n">
        <f aca="false">25000+110000+200000+81500</f>
        <v>416500</v>
      </c>
      <c r="D262" s="65" t="n">
        <f aca="false">E262-C262</f>
        <v>0</v>
      </c>
      <c r="E262" s="66" t="n">
        <v>416500</v>
      </c>
    </row>
    <row r="263" customFormat="false" ht="15" hidden="false" customHeight="false" outlineLevel="0" collapsed="false">
      <c r="A263" s="44" t="n">
        <v>21</v>
      </c>
      <c r="B263" s="11" t="s">
        <v>549</v>
      </c>
      <c r="C263" s="65" t="n">
        <f aca="false">150000+266500</f>
        <v>416500</v>
      </c>
      <c r="D263" s="65" t="n">
        <f aca="false">E263-C263</f>
        <v>0</v>
      </c>
      <c r="E263" s="66" t="n">
        <v>416500</v>
      </c>
    </row>
    <row r="264" customFormat="false" ht="15" hidden="false" customHeight="false" outlineLevel="0" collapsed="false">
      <c r="A264" s="44" t="n">
        <v>22</v>
      </c>
      <c r="B264" s="11" t="s">
        <v>550</v>
      </c>
      <c r="C264" s="65" t="n">
        <f aca="false">216500+100000+100000</f>
        <v>416500</v>
      </c>
      <c r="D264" s="65" t="n">
        <f aca="false">E264-C264</f>
        <v>0</v>
      </c>
      <c r="E264" s="66" t="n">
        <v>416500</v>
      </c>
    </row>
    <row r="265" customFormat="false" ht="15" hidden="false" customHeight="false" outlineLevel="0" collapsed="false">
      <c r="A265" s="44" t="n">
        <v>23</v>
      </c>
      <c r="B265" s="11" t="s">
        <v>551</v>
      </c>
      <c r="C265" s="65" t="n">
        <f aca="false">100000+316500</f>
        <v>416500</v>
      </c>
      <c r="D265" s="65" t="n">
        <f aca="false">E265-C265</f>
        <v>0</v>
      </c>
      <c r="E265" s="66" t="n">
        <v>416500</v>
      </c>
    </row>
    <row r="266" customFormat="false" ht="15" hidden="false" customHeight="false" outlineLevel="0" collapsed="false">
      <c r="A266" s="44" t="n">
        <v>24</v>
      </c>
      <c r="B266" s="11" t="s">
        <v>552</v>
      </c>
      <c r="C266" s="65"/>
      <c r="D266" s="65" t="n">
        <f aca="false">E266-C266</f>
        <v>416500</v>
      </c>
      <c r="E266" s="66" t="n">
        <v>416500</v>
      </c>
    </row>
    <row r="267" customFormat="false" ht="15" hidden="false" customHeight="false" outlineLevel="0" collapsed="false">
      <c r="A267" s="44" t="n">
        <v>25</v>
      </c>
      <c r="B267" s="11" t="s">
        <v>553</v>
      </c>
      <c r="C267" s="65" t="n">
        <f aca="false">416500</f>
        <v>416500</v>
      </c>
      <c r="D267" s="65" t="n">
        <f aca="false">E267-C267</f>
        <v>0</v>
      </c>
      <c r="E267" s="66" t="n">
        <v>416500</v>
      </c>
    </row>
    <row r="268" customFormat="false" ht="15" hidden="false" customHeight="false" outlineLevel="0" collapsed="false">
      <c r="A268" s="44" t="n">
        <v>26</v>
      </c>
      <c r="B268" s="11" t="s">
        <v>554</v>
      </c>
      <c r="C268" s="65" t="n">
        <f aca="false">216500+100000+100000</f>
        <v>416500</v>
      </c>
      <c r="D268" s="65" t="n">
        <f aca="false">E268-C268</f>
        <v>0</v>
      </c>
      <c r="E268" s="66" t="n">
        <v>416500</v>
      </c>
    </row>
    <row r="269" customFormat="false" ht="15" hidden="false" customHeight="false" outlineLevel="0" collapsed="false">
      <c r="A269" s="44" t="n">
        <v>27</v>
      </c>
      <c r="B269" s="11" t="s">
        <v>555</v>
      </c>
      <c r="C269" s="65" t="n">
        <f aca="false">250000+165500+1000</f>
        <v>416500</v>
      </c>
      <c r="D269" s="65" t="n">
        <f aca="false">E269-C269</f>
        <v>0</v>
      </c>
      <c r="E269" s="66" t="n">
        <v>416500</v>
      </c>
    </row>
    <row r="270" customFormat="false" ht="15" hidden="false" customHeight="false" outlineLevel="0" collapsed="false">
      <c r="A270" s="44" t="n">
        <v>28</v>
      </c>
      <c r="B270" s="11" t="s">
        <v>556</v>
      </c>
      <c r="C270" s="65" t="n">
        <f aca="false">100000+170000+146500</f>
        <v>416500</v>
      </c>
      <c r="D270" s="65" t="n">
        <f aca="false">E270-C270</f>
        <v>0</v>
      </c>
      <c r="E270" s="66" t="n">
        <v>416500</v>
      </c>
    </row>
    <row r="271" customFormat="false" ht="15" hidden="false" customHeight="false" outlineLevel="0" collapsed="false">
      <c r="A271" s="44" t="n">
        <v>29</v>
      </c>
      <c r="B271" s="11" t="s">
        <v>557</v>
      </c>
      <c r="C271" s="65" t="n">
        <f aca="false">100000+316500</f>
        <v>416500</v>
      </c>
      <c r="D271" s="65" t="n">
        <f aca="false">E271-C271</f>
        <v>0</v>
      </c>
      <c r="E271" s="66" t="n">
        <v>416500</v>
      </c>
    </row>
    <row r="272" customFormat="false" ht="15" hidden="false" customHeight="false" outlineLevel="0" collapsed="false">
      <c r="A272" s="44" t="n">
        <v>30</v>
      </c>
      <c r="B272" s="11" t="s">
        <v>558</v>
      </c>
      <c r="C272" s="65" t="n">
        <f aca="false">200000+216500</f>
        <v>416500</v>
      </c>
      <c r="D272" s="65" t="n">
        <f aca="false">E273-C272</f>
        <v>0</v>
      </c>
      <c r="E272" s="79" t="n">
        <v>416500</v>
      </c>
    </row>
    <row r="273" customFormat="false" ht="15" hidden="false" customHeight="false" outlineLevel="0" collapsed="false">
      <c r="A273" s="44" t="n">
        <v>31</v>
      </c>
      <c r="B273" s="11" t="s">
        <v>559</v>
      </c>
      <c r="C273" s="65" t="n">
        <f aca="false">100000+116500</f>
        <v>216500</v>
      </c>
      <c r="D273" s="65" t="n">
        <f aca="false">E274-C273</f>
        <v>200000</v>
      </c>
      <c r="E273" s="66" t="n">
        <v>416500</v>
      </c>
    </row>
    <row r="274" customFormat="false" ht="15" hidden="false" customHeight="false" outlineLevel="0" collapsed="false">
      <c r="A274" s="44" t="n">
        <v>32</v>
      </c>
      <c r="B274" s="11" t="s">
        <v>560</v>
      </c>
      <c r="C274" s="65" t="n">
        <f aca="false">216500+200000</f>
        <v>416500</v>
      </c>
      <c r="D274" s="65" t="n">
        <v>0</v>
      </c>
      <c r="E274" s="66" t="n">
        <v>416500</v>
      </c>
    </row>
    <row r="275" customFormat="false" ht="15" hidden="false" customHeight="false" outlineLevel="0" collapsed="false">
      <c r="A275" s="44" t="n">
        <v>33</v>
      </c>
      <c r="B275" s="11" t="s">
        <v>561</v>
      </c>
      <c r="C275" s="65" t="n">
        <f aca="false">216500+150000+50000</f>
        <v>416500</v>
      </c>
      <c r="D275" s="65" t="n">
        <f aca="false">E275-C275</f>
        <v>0</v>
      </c>
      <c r="E275" s="66" t="n">
        <v>416500</v>
      </c>
    </row>
    <row r="276" customFormat="false" ht="15" hidden="false" customHeight="false" outlineLevel="0" collapsed="false">
      <c r="A276" s="44" t="n">
        <v>34</v>
      </c>
      <c r="B276" s="11" t="s">
        <v>562</v>
      </c>
      <c r="C276" s="65" t="n">
        <f aca="false">25000</f>
        <v>25000</v>
      </c>
      <c r="D276" s="65" t="n">
        <f aca="false">E276-C276</f>
        <v>391500</v>
      </c>
      <c r="E276" s="66" t="n">
        <v>416500</v>
      </c>
    </row>
    <row r="277" customFormat="false" ht="15" hidden="false" customHeight="false" outlineLevel="0" collapsed="false">
      <c r="A277" s="44" t="n">
        <v>35</v>
      </c>
      <c r="B277" s="11" t="s">
        <v>563</v>
      </c>
      <c r="C277" s="65" t="n">
        <f aca="false">100000+80000+80000+100000+56500</f>
        <v>416500</v>
      </c>
      <c r="D277" s="65" t="n">
        <f aca="false">E277-C277</f>
        <v>0</v>
      </c>
      <c r="E277" s="66" t="n">
        <v>416500</v>
      </c>
    </row>
    <row r="278" customFormat="false" ht="15" hidden="false" customHeight="false" outlineLevel="0" collapsed="false">
      <c r="A278" s="44" t="n">
        <v>36</v>
      </c>
      <c r="B278" s="11" t="s">
        <v>564</v>
      </c>
      <c r="C278" s="65" t="n">
        <f aca="false">116500+200000+100000</f>
        <v>416500</v>
      </c>
      <c r="D278" s="65" t="n">
        <f aca="false">E278-C278</f>
        <v>0</v>
      </c>
      <c r="E278" s="66" t="n">
        <v>416500</v>
      </c>
    </row>
    <row r="279" customFormat="false" ht="15" hidden="false" customHeight="false" outlineLevel="0" collapsed="false">
      <c r="A279" s="44" t="n">
        <v>37</v>
      </c>
      <c r="B279" s="11" t="s">
        <v>565</v>
      </c>
      <c r="C279" s="65" t="n">
        <v>116500</v>
      </c>
      <c r="D279" s="65" t="n">
        <f aca="false">E279-C279</f>
        <v>300000</v>
      </c>
      <c r="E279" s="66" t="n">
        <v>416500</v>
      </c>
    </row>
    <row r="280" customFormat="false" ht="15" hidden="false" customHeight="false" outlineLevel="0" collapsed="false">
      <c r="A280" s="44" t="n">
        <v>38</v>
      </c>
      <c r="B280" s="11" t="s">
        <v>566</v>
      </c>
      <c r="C280" s="65" t="n">
        <f aca="false">100000+316500</f>
        <v>416500</v>
      </c>
      <c r="D280" s="65" t="n">
        <f aca="false">E280-C280</f>
        <v>0</v>
      </c>
      <c r="E280" s="66" t="n">
        <v>416500</v>
      </c>
    </row>
    <row r="281" customFormat="false" ht="15" hidden="false" customHeight="false" outlineLevel="0" collapsed="false">
      <c r="A281" s="44" t="n">
        <v>39</v>
      </c>
      <c r="B281" s="11" t="s">
        <v>567</v>
      </c>
      <c r="C281" s="65" t="n">
        <f aca="false">200000+216500</f>
        <v>416500</v>
      </c>
      <c r="D281" s="65" t="n">
        <f aca="false">E281-C281</f>
        <v>0</v>
      </c>
      <c r="E281" s="66" t="n">
        <v>416500</v>
      </c>
    </row>
    <row r="282" customFormat="false" ht="15" hidden="false" customHeight="false" outlineLevel="0" collapsed="false">
      <c r="A282" s="44" t="n">
        <v>40</v>
      </c>
      <c r="B282" s="11" t="s">
        <v>568</v>
      </c>
      <c r="C282" s="65" t="n">
        <f aca="false">10000+400000</f>
        <v>410000</v>
      </c>
      <c r="D282" s="65" t="n">
        <v>416500</v>
      </c>
      <c r="E282" s="66" t="n">
        <v>416500</v>
      </c>
    </row>
    <row r="283" customFormat="false" ht="15" hidden="false" customHeight="false" outlineLevel="0" collapsed="false">
      <c r="A283" s="44" t="n">
        <v>41</v>
      </c>
      <c r="B283" s="11" t="s">
        <v>569</v>
      </c>
      <c r="C283" s="65" t="n">
        <f aca="false">300000+116500</f>
        <v>416500</v>
      </c>
      <c r="D283" s="65" t="n">
        <f aca="false">E283-C283</f>
        <v>0</v>
      </c>
      <c r="E283" s="66" t="n">
        <v>416500</v>
      </c>
    </row>
    <row r="284" customFormat="false" ht="15" hidden="false" customHeight="false" outlineLevel="0" collapsed="false">
      <c r="A284" s="44" t="n">
        <v>42</v>
      </c>
      <c r="B284" s="11" t="s">
        <v>570</v>
      </c>
      <c r="C284" s="65" t="n">
        <f aca="false">56500+150000</f>
        <v>206500</v>
      </c>
      <c r="D284" s="65" t="n">
        <f aca="false">E284-C284</f>
        <v>210000</v>
      </c>
      <c r="E284" s="66" t="n">
        <v>416500</v>
      </c>
    </row>
    <row r="285" customFormat="false" ht="15" hidden="false" customHeight="false" outlineLevel="0" collapsed="false">
      <c r="A285" s="44" t="n">
        <v>43</v>
      </c>
      <c r="B285" s="11" t="s">
        <v>571</v>
      </c>
      <c r="C285" s="65" t="n">
        <f aca="false">100000+116500</f>
        <v>216500</v>
      </c>
      <c r="D285" s="65" t="n">
        <f aca="false">E285-C285</f>
        <v>200000</v>
      </c>
      <c r="E285" s="66" t="n">
        <v>416500</v>
      </c>
    </row>
    <row r="286" customFormat="false" ht="15" hidden="false" customHeight="false" outlineLevel="0" collapsed="false">
      <c r="A286" s="44" t="n">
        <v>44</v>
      </c>
      <c r="B286" s="11" t="s">
        <v>572</v>
      </c>
      <c r="C286" s="65" t="n">
        <f aca="false">160000+60000+99500+97000</f>
        <v>416500</v>
      </c>
      <c r="D286" s="65" t="n">
        <f aca="false">E286-C286</f>
        <v>0</v>
      </c>
      <c r="E286" s="66" t="n">
        <v>416500</v>
      </c>
    </row>
    <row r="287" customFormat="false" ht="15" hidden="false" customHeight="false" outlineLevel="0" collapsed="false">
      <c r="A287" s="44" t="n">
        <v>45</v>
      </c>
      <c r="B287" s="11" t="s">
        <v>573</v>
      </c>
      <c r="C287" s="65" t="n">
        <f aca="false">100000+200000+116500</f>
        <v>416500</v>
      </c>
      <c r="D287" s="65" t="n">
        <f aca="false">E287-C287</f>
        <v>0</v>
      </c>
      <c r="E287" s="66" t="n">
        <v>416500</v>
      </c>
    </row>
    <row r="288" customFormat="false" ht="15" hidden="false" customHeight="false" outlineLevel="0" collapsed="false">
      <c r="A288" s="44" t="n">
        <v>46</v>
      </c>
      <c r="B288" s="11" t="s">
        <v>574</v>
      </c>
      <c r="C288" s="65" t="n">
        <f aca="false">255000+161500</f>
        <v>416500</v>
      </c>
      <c r="D288" s="65" t="n">
        <f aca="false">E288-C288</f>
        <v>0</v>
      </c>
      <c r="E288" s="66" t="n">
        <v>416500</v>
      </c>
    </row>
    <row r="289" customFormat="false" ht="15" hidden="false" customHeight="false" outlineLevel="0" collapsed="false">
      <c r="A289" s="44" t="n">
        <v>47</v>
      </c>
      <c r="B289" s="11" t="s">
        <v>575</v>
      </c>
      <c r="C289" s="65" t="n">
        <f aca="false">200000+216500</f>
        <v>416500</v>
      </c>
      <c r="D289" s="65" t="n">
        <f aca="false">E289-C289</f>
        <v>0</v>
      </c>
      <c r="E289" s="66" t="n">
        <v>416500</v>
      </c>
    </row>
    <row r="290" customFormat="false" ht="15" hidden="false" customHeight="false" outlineLevel="0" collapsed="false">
      <c r="A290" s="44" t="n">
        <v>48</v>
      </c>
      <c r="B290" s="11" t="s">
        <v>576</v>
      </c>
      <c r="C290" s="65" t="n">
        <f aca="false">200000+216500</f>
        <v>416500</v>
      </c>
      <c r="D290" s="65" t="n">
        <f aca="false">E290-C290</f>
        <v>0</v>
      </c>
      <c r="E290" s="66" t="n">
        <v>416500</v>
      </c>
    </row>
    <row r="291" customFormat="false" ht="15" hidden="false" customHeight="false" outlineLevel="0" collapsed="false">
      <c r="A291" s="44" t="n">
        <v>49</v>
      </c>
      <c r="B291" s="11" t="s">
        <v>577</v>
      </c>
      <c r="C291" s="65" t="n">
        <f aca="false">18500+199000+105000+94000</f>
        <v>416500</v>
      </c>
      <c r="D291" s="65" t="n">
        <f aca="false">E291-C291</f>
        <v>0</v>
      </c>
      <c r="E291" s="66" t="n">
        <v>416500</v>
      </c>
    </row>
    <row r="292" customFormat="false" ht="15" hidden="false" customHeight="false" outlineLevel="0" collapsed="false">
      <c r="A292" s="44" t="n">
        <v>50</v>
      </c>
      <c r="B292" s="11" t="s">
        <v>578</v>
      </c>
      <c r="C292" s="65" t="n">
        <v>416500</v>
      </c>
      <c r="D292" s="65" t="n">
        <f aca="false">E292-C292</f>
        <v>0</v>
      </c>
      <c r="E292" s="66" t="n">
        <v>416500</v>
      </c>
    </row>
    <row r="293" customFormat="false" ht="15" hidden="false" customHeight="false" outlineLevel="0" collapsed="false">
      <c r="A293" s="44" t="n">
        <v>51</v>
      </c>
      <c r="B293" s="11" t="s">
        <v>579</v>
      </c>
      <c r="C293" s="65" t="n">
        <f aca="false">100000+186500+40000+90000</f>
        <v>416500</v>
      </c>
      <c r="D293" s="65" t="n">
        <f aca="false">E293-C293</f>
        <v>0</v>
      </c>
      <c r="E293" s="66" t="n">
        <v>416500</v>
      </c>
    </row>
    <row r="294" customFormat="false" ht="15" hidden="false" customHeight="false" outlineLevel="0" collapsed="false">
      <c r="A294" s="44" t="n">
        <v>52</v>
      </c>
      <c r="B294" s="11" t="s">
        <v>580</v>
      </c>
      <c r="C294" s="65" t="n">
        <f aca="false">63500+263000+90000</f>
        <v>416500</v>
      </c>
      <c r="D294" s="65" t="n">
        <f aca="false">E294-C294</f>
        <v>0</v>
      </c>
      <c r="E294" s="66" t="n">
        <v>416500</v>
      </c>
    </row>
    <row r="295" customFormat="false" ht="15" hidden="false" customHeight="false" outlineLevel="0" collapsed="false">
      <c r="A295" s="44" t="n">
        <v>53</v>
      </c>
      <c r="B295" s="11" t="s">
        <v>581</v>
      </c>
      <c r="C295" s="65"/>
      <c r="D295" s="65" t="n">
        <f aca="false">E295-C295</f>
        <v>416500</v>
      </c>
      <c r="E295" s="66" t="n">
        <v>416500</v>
      </c>
    </row>
    <row r="296" customFormat="false" ht="15" hidden="false" customHeight="false" outlineLevel="0" collapsed="false">
      <c r="A296" s="44" t="n">
        <v>54</v>
      </c>
      <c r="B296" s="11" t="s">
        <v>582</v>
      </c>
      <c r="C296" s="65" t="n">
        <f aca="false">160000+256500</f>
        <v>416500</v>
      </c>
      <c r="D296" s="65" t="n">
        <f aca="false">E296-C296</f>
        <v>0</v>
      </c>
      <c r="E296" s="66" t="n">
        <v>416500</v>
      </c>
    </row>
    <row r="297" customFormat="false" ht="15" hidden="false" customHeight="false" outlineLevel="0" collapsed="false">
      <c r="A297" s="44" t="n">
        <v>55</v>
      </c>
      <c r="B297" s="11" t="s">
        <v>583</v>
      </c>
      <c r="C297" s="65" t="n">
        <f aca="false">55000+150000+211500</f>
        <v>416500</v>
      </c>
      <c r="D297" s="65" t="n">
        <f aca="false">E297-C297</f>
        <v>0</v>
      </c>
      <c r="E297" s="66" t="n">
        <v>416500</v>
      </c>
    </row>
    <row r="298" customFormat="false" ht="15" hidden="false" customHeight="false" outlineLevel="0" collapsed="false">
      <c r="A298" s="44" t="n">
        <v>56</v>
      </c>
      <c r="B298" s="11" t="s">
        <v>584</v>
      </c>
      <c r="C298" s="65" t="n">
        <f aca="false">500+80000</f>
        <v>80500</v>
      </c>
      <c r="D298" s="65" t="n">
        <f aca="false">E298-C298</f>
        <v>336000</v>
      </c>
      <c r="E298" s="66" t="n">
        <v>416500</v>
      </c>
    </row>
    <row r="299" customFormat="false" ht="15" hidden="false" customHeight="false" outlineLevel="0" collapsed="false">
      <c r="A299" s="44" t="n">
        <v>57</v>
      </c>
      <c r="B299" s="11" t="s">
        <v>585</v>
      </c>
      <c r="C299" s="65" t="n">
        <f aca="false">103500</f>
        <v>103500</v>
      </c>
      <c r="D299" s="65" t="n">
        <f aca="false">E299-C299</f>
        <v>313000</v>
      </c>
      <c r="E299" s="66" t="n">
        <v>416500</v>
      </c>
    </row>
    <row r="300" customFormat="false" ht="15" hidden="false" customHeight="false" outlineLevel="0" collapsed="false">
      <c r="A300" s="44"/>
      <c r="B300" s="11" t="s">
        <v>586</v>
      </c>
      <c r="C300" s="65" t="n">
        <v>216500</v>
      </c>
      <c r="D300" s="65" t="n">
        <v>200000</v>
      </c>
      <c r="E300" s="66" t="n">
        <v>416500</v>
      </c>
    </row>
    <row r="301" customFormat="false" ht="15" hidden="false" customHeight="false" outlineLevel="0" collapsed="false">
      <c r="A301" s="44" t="n">
        <v>58</v>
      </c>
      <c r="B301" s="11" t="s">
        <v>587</v>
      </c>
      <c r="C301" s="65"/>
      <c r="D301" s="65" t="n">
        <f aca="false">E301-C301</f>
        <v>416500</v>
      </c>
      <c r="E301" s="66" t="n">
        <v>416500</v>
      </c>
    </row>
    <row r="302" customFormat="false" ht="19.7" hidden="false" customHeight="false" outlineLevel="0" collapsed="false">
      <c r="A302" s="38"/>
      <c r="B302" s="16" t="s">
        <v>60</v>
      </c>
      <c r="C302" s="24" t="n">
        <f aca="false">SUM(C243:C301)</f>
        <v>19735510</v>
      </c>
      <c r="D302" s="18" t="n">
        <f aca="false">SUM(D243:D301)</f>
        <v>5247990</v>
      </c>
      <c r="E302" s="75" t="n">
        <f aca="false">SUM(E243:E301)</f>
        <v>24573500</v>
      </c>
    </row>
    <row r="303" customFormat="false" ht="15" hidden="false" customHeight="false" outlineLevel="0" collapsed="false">
      <c r="A303" s="38"/>
    </row>
    <row r="304" customFormat="false" ht="15" hidden="false" customHeight="false" outlineLevel="0" collapsed="false">
      <c r="A304" s="38"/>
    </row>
    <row r="305" customFormat="false" ht="15" hidden="false" customHeight="false" outlineLevel="0" collapsed="false">
      <c r="A305" s="38"/>
    </row>
    <row r="306" customFormat="false" ht="15" hidden="false" customHeight="false" outlineLevel="0" collapsed="false">
      <c r="A306" s="38"/>
    </row>
    <row r="307" customFormat="false" ht="15" hidden="false" customHeight="false" outlineLevel="0" collapsed="false">
      <c r="A307" s="38"/>
    </row>
    <row r="308" customFormat="false" ht="15" hidden="false" customHeight="false" outlineLevel="0" collapsed="false">
      <c r="A308" s="38"/>
    </row>
    <row r="309" customFormat="false" ht="17.35" hidden="false" customHeight="false" outlineLevel="0" collapsed="false">
      <c r="A309" s="38"/>
      <c r="B309" s="1" t="s">
        <v>0</v>
      </c>
    </row>
    <row r="310" customFormat="false" ht="15" hidden="false" customHeight="false" outlineLevel="0" collapsed="false">
      <c r="A310" s="38"/>
    </row>
    <row r="311" customFormat="false" ht="17.35" hidden="false" customHeight="false" outlineLevel="0" collapsed="false">
      <c r="A311" s="38"/>
      <c r="B311" s="39" t="s">
        <v>446</v>
      </c>
    </row>
    <row r="312" customFormat="false" ht="15" hidden="false" customHeight="false" outlineLevel="0" collapsed="false">
      <c r="A312" s="38"/>
      <c r="B312" s="3" t="s">
        <v>61</v>
      </c>
    </row>
    <row r="313" customFormat="false" ht="15" hidden="false" customHeight="false" outlineLevel="0" collapsed="false">
      <c r="A313" s="38"/>
    </row>
    <row r="314" customFormat="false" ht="15" hidden="false" customHeight="false" outlineLevel="0" collapsed="false">
      <c r="A314" s="40" t="s">
        <v>4</v>
      </c>
      <c r="B314" s="6" t="s">
        <v>5</v>
      </c>
      <c r="C314" s="7" t="s">
        <v>6</v>
      </c>
      <c r="D314" s="8" t="s">
        <v>7</v>
      </c>
      <c r="E314" s="9" t="s">
        <v>8</v>
      </c>
    </row>
    <row r="315" customFormat="false" ht="15" hidden="false" customHeight="false" outlineLevel="0" collapsed="false">
      <c r="A315" s="44" t="n">
        <v>1</v>
      </c>
      <c r="B315" s="11" t="s">
        <v>588</v>
      </c>
      <c r="C315" s="65" t="n">
        <f aca="false">392000+24500</f>
        <v>416500</v>
      </c>
      <c r="D315" s="65" t="n">
        <f aca="false">E315-C315</f>
        <v>0</v>
      </c>
      <c r="E315" s="66" t="n">
        <v>416500</v>
      </c>
    </row>
    <row r="316" customFormat="false" ht="15" hidden="false" customHeight="false" outlineLevel="0" collapsed="false">
      <c r="A316" s="44" t="n">
        <v>2</v>
      </c>
      <c r="B316" s="11" t="s">
        <v>589</v>
      </c>
      <c r="C316" s="65" t="n">
        <f aca="false">93500+100000+223000</f>
        <v>416500</v>
      </c>
      <c r="D316" s="65" t="n">
        <f aca="false">E316-C316</f>
        <v>0</v>
      </c>
      <c r="E316" s="66" t="n">
        <v>416500</v>
      </c>
    </row>
    <row r="317" customFormat="false" ht="15" hidden="false" customHeight="false" outlineLevel="0" collapsed="false">
      <c r="A317" s="44" t="n">
        <v>3</v>
      </c>
      <c r="B317" s="11" t="s">
        <v>590</v>
      </c>
      <c r="C317" s="65" t="n">
        <f aca="false">417000</f>
        <v>417000</v>
      </c>
      <c r="D317" s="65" t="n">
        <f aca="false">E317-C317</f>
        <v>-500</v>
      </c>
      <c r="E317" s="66" t="n">
        <v>416500</v>
      </c>
    </row>
    <row r="318" customFormat="false" ht="15" hidden="false" customHeight="false" outlineLevel="0" collapsed="false">
      <c r="A318" s="44" t="n">
        <v>4</v>
      </c>
      <c r="B318" s="20" t="s">
        <v>591</v>
      </c>
      <c r="C318" s="65" t="n">
        <f aca="false">70000+46500+190000+110000</f>
        <v>416500</v>
      </c>
      <c r="D318" s="65" t="n">
        <f aca="false">E318-C318</f>
        <v>0</v>
      </c>
      <c r="E318" s="66" t="n">
        <v>416500</v>
      </c>
    </row>
    <row r="319" customFormat="false" ht="15" hidden="false" customHeight="false" outlineLevel="0" collapsed="false">
      <c r="A319" s="44" t="n">
        <v>5</v>
      </c>
      <c r="B319" s="11" t="s">
        <v>592</v>
      </c>
      <c r="C319" s="65" t="n">
        <f aca="false">50000+366500</f>
        <v>416500</v>
      </c>
      <c r="D319" s="65" t="n">
        <f aca="false">E319-C319</f>
        <v>0</v>
      </c>
      <c r="E319" s="66" t="n">
        <v>416500</v>
      </c>
    </row>
    <row r="320" customFormat="false" ht="15" hidden="false" customHeight="false" outlineLevel="0" collapsed="false">
      <c r="A320" s="44" t="n">
        <v>6</v>
      </c>
      <c r="B320" s="14" t="s">
        <v>593</v>
      </c>
      <c r="C320" s="65" t="n">
        <f aca="false">16500+100000+200000+100000</f>
        <v>416500</v>
      </c>
      <c r="D320" s="65" t="n">
        <f aca="false">E320-C320</f>
        <v>0</v>
      </c>
      <c r="E320" s="66" t="n">
        <v>416500</v>
      </c>
    </row>
    <row r="321" customFormat="false" ht="15" hidden="false" customHeight="false" outlineLevel="0" collapsed="false">
      <c r="A321" s="44" t="n">
        <v>7</v>
      </c>
      <c r="B321" s="11" t="s">
        <v>594</v>
      </c>
      <c r="C321" s="65" t="n">
        <f aca="false">216500+100000+100000</f>
        <v>416500</v>
      </c>
      <c r="D321" s="65" t="n">
        <f aca="false">E321-C321</f>
        <v>0</v>
      </c>
      <c r="E321" s="66" t="n">
        <v>416500</v>
      </c>
    </row>
    <row r="322" customFormat="false" ht="32.25" hidden="false" customHeight="true" outlineLevel="0" collapsed="false">
      <c r="A322" s="44" t="n">
        <v>8</v>
      </c>
      <c r="B322" s="11" t="s">
        <v>595</v>
      </c>
      <c r="C322" s="80" t="n">
        <v>16500</v>
      </c>
      <c r="D322" s="65" t="n">
        <f aca="false">E322-C322</f>
        <v>400000</v>
      </c>
      <c r="E322" s="66" t="n">
        <v>416500</v>
      </c>
    </row>
    <row r="323" customFormat="false" ht="17.25" hidden="false" customHeight="true" outlineLevel="0" collapsed="false">
      <c r="A323" s="44" t="n">
        <v>9</v>
      </c>
      <c r="B323" s="11" t="s">
        <v>596</v>
      </c>
      <c r="C323" s="65" t="n">
        <f aca="false">266500+316500</f>
        <v>583000</v>
      </c>
      <c r="D323" s="65" t="n">
        <f aca="false">E323-C323</f>
        <v>-166500</v>
      </c>
      <c r="E323" s="66" t="n">
        <v>416500</v>
      </c>
    </row>
    <row r="324" customFormat="false" ht="15" hidden="false" customHeight="false" outlineLevel="0" collapsed="false">
      <c r="A324" s="44" t="n">
        <v>10</v>
      </c>
      <c r="B324" s="11" t="s">
        <v>597</v>
      </c>
      <c r="C324" s="65"/>
      <c r="D324" s="65" t="n">
        <f aca="false">E324-C324</f>
        <v>416500</v>
      </c>
      <c r="E324" s="66" t="n">
        <v>416500</v>
      </c>
    </row>
    <row r="325" customFormat="false" ht="15" hidden="false" customHeight="false" outlineLevel="0" collapsed="false">
      <c r="A325" s="44" t="n">
        <v>11</v>
      </c>
      <c r="B325" s="11" t="s">
        <v>598</v>
      </c>
      <c r="C325" s="65" t="n">
        <f aca="false">56500+10000+20000+25000+305000</f>
        <v>416500</v>
      </c>
      <c r="D325" s="65" t="n">
        <f aca="false">E325-C325</f>
        <v>0</v>
      </c>
      <c r="E325" s="66" t="n">
        <v>416500</v>
      </c>
    </row>
    <row r="326" customFormat="false" ht="15" hidden="false" customHeight="false" outlineLevel="0" collapsed="false">
      <c r="A326" s="44" t="n">
        <v>12</v>
      </c>
      <c r="B326" s="11" t="s">
        <v>599</v>
      </c>
      <c r="C326" s="65"/>
      <c r="D326" s="65" t="n">
        <f aca="false">E326-C326</f>
        <v>416500</v>
      </c>
      <c r="E326" s="66" t="n">
        <v>416500</v>
      </c>
    </row>
    <row r="327" customFormat="false" ht="15" hidden="false" customHeight="false" outlineLevel="0" collapsed="false">
      <c r="A327" s="44" t="n">
        <v>13</v>
      </c>
      <c r="B327" s="11" t="s">
        <v>600</v>
      </c>
      <c r="C327" s="65"/>
      <c r="D327" s="65" t="n">
        <f aca="false">E327-C327</f>
        <v>416500</v>
      </c>
      <c r="E327" s="66" t="n">
        <v>416500</v>
      </c>
    </row>
    <row r="328" customFormat="false" ht="15" hidden="false" customHeight="false" outlineLevel="0" collapsed="false">
      <c r="A328" s="44" t="n">
        <v>14</v>
      </c>
      <c r="B328" s="11" t="s">
        <v>601</v>
      </c>
      <c r="C328" s="65"/>
      <c r="D328" s="65" t="n">
        <f aca="false">E328-C328</f>
        <v>416500</v>
      </c>
      <c r="E328" s="66" t="n">
        <v>416500</v>
      </c>
    </row>
    <row r="329" customFormat="false" ht="15" hidden="false" customHeight="false" outlineLevel="0" collapsed="false">
      <c r="A329" s="44" t="n">
        <v>15</v>
      </c>
      <c r="B329" s="11" t="s">
        <v>602</v>
      </c>
      <c r="C329" s="65" t="n">
        <v>416500</v>
      </c>
      <c r="D329" s="65" t="n">
        <f aca="false">E329-C329</f>
        <v>0</v>
      </c>
      <c r="E329" s="66" t="n">
        <v>416500</v>
      </c>
    </row>
    <row r="330" customFormat="false" ht="15" hidden="false" customHeight="false" outlineLevel="0" collapsed="false">
      <c r="A330" s="44" t="n">
        <v>16</v>
      </c>
      <c r="B330" s="11" t="s">
        <v>603</v>
      </c>
      <c r="C330" s="65" t="n">
        <f aca="false">33500+100000+283000</f>
        <v>416500</v>
      </c>
      <c r="D330" s="65" t="n">
        <f aca="false">E330-C330</f>
        <v>0</v>
      </c>
      <c r="E330" s="66" t="n">
        <v>416500</v>
      </c>
    </row>
    <row r="331" customFormat="false" ht="15" hidden="false" customHeight="false" outlineLevel="0" collapsed="false">
      <c r="A331" s="44" t="n">
        <v>17</v>
      </c>
      <c r="B331" s="11" t="s">
        <v>604</v>
      </c>
      <c r="C331" s="65" t="n">
        <f aca="false">100000+100000+216500</f>
        <v>416500</v>
      </c>
      <c r="D331" s="65" t="n">
        <f aca="false">E331-C331</f>
        <v>0</v>
      </c>
      <c r="E331" s="66" t="n">
        <v>416500</v>
      </c>
    </row>
    <row r="332" customFormat="false" ht="15" hidden="false" customHeight="false" outlineLevel="0" collapsed="false">
      <c r="A332" s="44" t="n">
        <v>18</v>
      </c>
      <c r="B332" s="11" t="s">
        <v>605</v>
      </c>
      <c r="C332" s="65" t="n">
        <f aca="false">16500+400000</f>
        <v>416500</v>
      </c>
      <c r="D332" s="65" t="n">
        <f aca="false">E332-C332</f>
        <v>0</v>
      </c>
      <c r="E332" s="66" t="n">
        <v>416500</v>
      </c>
    </row>
    <row r="333" customFormat="false" ht="15" hidden="false" customHeight="false" outlineLevel="0" collapsed="false">
      <c r="A333" s="44" t="n">
        <v>19</v>
      </c>
      <c r="B333" s="11" t="s">
        <v>606</v>
      </c>
      <c r="C333" s="65" t="n">
        <f aca="false">200000+216500</f>
        <v>416500</v>
      </c>
      <c r="D333" s="65" t="n">
        <f aca="false">E333-C333</f>
        <v>0</v>
      </c>
      <c r="E333" s="66" t="n">
        <v>416500</v>
      </c>
    </row>
    <row r="334" customFormat="false" ht="15" hidden="false" customHeight="false" outlineLevel="0" collapsed="false">
      <c r="A334" s="44" t="n">
        <v>20</v>
      </c>
      <c r="B334" s="11" t="s">
        <v>607</v>
      </c>
      <c r="C334" s="65" t="n">
        <f aca="false">416500</f>
        <v>416500</v>
      </c>
      <c r="D334" s="65" t="n">
        <f aca="false">E334-C334</f>
        <v>0</v>
      </c>
      <c r="E334" s="66" t="n">
        <v>416500</v>
      </c>
    </row>
    <row r="335" customFormat="false" ht="15" hidden="false" customHeight="false" outlineLevel="0" collapsed="false">
      <c r="A335" s="44" t="n">
        <v>21</v>
      </c>
      <c r="B335" s="11" t="s">
        <v>608</v>
      </c>
      <c r="C335" s="65" t="n">
        <v>416500</v>
      </c>
      <c r="D335" s="65" t="n">
        <f aca="false">E335-C335</f>
        <v>0</v>
      </c>
      <c r="E335" s="66" t="n">
        <v>416500</v>
      </c>
    </row>
    <row r="336" customFormat="false" ht="15" hidden="false" customHeight="false" outlineLevel="0" collapsed="false">
      <c r="A336" s="44" t="n">
        <v>22</v>
      </c>
      <c r="B336" s="11" t="s">
        <v>609</v>
      </c>
      <c r="C336" s="65" t="n">
        <f aca="false">316500+100000</f>
        <v>416500</v>
      </c>
      <c r="D336" s="65" t="n">
        <f aca="false">E336-C336</f>
        <v>0</v>
      </c>
      <c r="E336" s="66" t="n">
        <v>416500</v>
      </c>
    </row>
    <row r="337" customFormat="false" ht="15" hidden="false" customHeight="false" outlineLevel="0" collapsed="false">
      <c r="A337" s="44" t="n">
        <v>23</v>
      </c>
      <c r="B337" s="11" t="s">
        <v>610</v>
      </c>
      <c r="C337" s="65" t="n">
        <f aca="false">200000+116500+30000+35000+10000+5000+7000+13000</f>
        <v>416500</v>
      </c>
      <c r="D337" s="65" t="n">
        <f aca="false">E337-C337</f>
        <v>0</v>
      </c>
      <c r="E337" s="66" t="n">
        <v>416500</v>
      </c>
    </row>
    <row r="338" customFormat="false" ht="15" hidden="false" customHeight="false" outlineLevel="0" collapsed="false">
      <c r="A338" s="44" t="n">
        <v>24</v>
      </c>
      <c r="B338" s="11" t="s">
        <v>611</v>
      </c>
      <c r="C338" s="65" t="n">
        <f aca="false">83500+100000+233000</f>
        <v>416500</v>
      </c>
      <c r="D338" s="65" t="n">
        <f aca="false">E338-C338</f>
        <v>0</v>
      </c>
      <c r="E338" s="66" t="n">
        <v>416500</v>
      </c>
    </row>
    <row r="339" customFormat="false" ht="15" hidden="false" customHeight="false" outlineLevel="0" collapsed="false">
      <c r="A339" s="44" t="n">
        <v>25</v>
      </c>
      <c r="B339" s="14" t="s">
        <v>612</v>
      </c>
      <c r="C339" s="65"/>
      <c r="D339" s="65" t="n">
        <f aca="false">E339-C339</f>
        <v>416500</v>
      </c>
      <c r="E339" s="66" t="n">
        <v>416500</v>
      </c>
    </row>
    <row r="340" customFormat="false" ht="15" hidden="false" customHeight="false" outlineLevel="0" collapsed="false">
      <c r="A340" s="44" t="n">
        <v>26</v>
      </c>
      <c r="B340" s="11" t="s">
        <v>613</v>
      </c>
      <c r="C340" s="65" t="n">
        <v>101500</v>
      </c>
      <c r="D340" s="65" t="n">
        <f aca="false">E340-C340</f>
        <v>315000</v>
      </c>
      <c r="E340" s="66" t="n">
        <v>416500</v>
      </c>
    </row>
    <row r="341" customFormat="false" ht="15" hidden="false" customHeight="false" outlineLevel="0" collapsed="false">
      <c r="A341" s="44" t="n">
        <v>27</v>
      </c>
      <c r="B341" s="11" t="s">
        <v>614</v>
      </c>
      <c r="C341" s="65" t="n">
        <f aca="false">416500</f>
        <v>416500</v>
      </c>
      <c r="D341" s="65" t="n">
        <f aca="false">E341-C341</f>
        <v>0</v>
      </c>
      <c r="E341" s="66" t="n">
        <v>416500</v>
      </c>
    </row>
    <row r="342" customFormat="false" ht="15" hidden="false" customHeight="false" outlineLevel="0" collapsed="false">
      <c r="A342" s="44" t="n">
        <v>28</v>
      </c>
      <c r="B342" s="11" t="s">
        <v>615</v>
      </c>
      <c r="C342" s="65"/>
      <c r="D342" s="65" t="n">
        <f aca="false">E342-C342</f>
        <v>416500</v>
      </c>
      <c r="E342" s="66" t="n">
        <v>416500</v>
      </c>
    </row>
    <row r="343" customFormat="false" ht="15" hidden="false" customHeight="false" outlineLevel="0" collapsed="false">
      <c r="A343" s="44" t="n">
        <v>29</v>
      </c>
      <c r="B343" s="11" t="s">
        <v>616</v>
      </c>
      <c r="C343" s="65" t="n">
        <f aca="false">316500+100000</f>
        <v>416500</v>
      </c>
      <c r="D343" s="65" t="n">
        <f aca="false">E343-C343</f>
        <v>0</v>
      </c>
      <c r="E343" s="66" t="n">
        <v>416500</v>
      </c>
    </row>
    <row r="344" customFormat="false" ht="15" hidden="false" customHeight="false" outlineLevel="0" collapsed="false">
      <c r="A344" s="44" t="n">
        <v>30</v>
      </c>
      <c r="B344" s="11" t="s">
        <v>617</v>
      </c>
      <c r="C344" s="65"/>
      <c r="D344" s="65" t="n">
        <f aca="false">E344-C344</f>
        <v>416500</v>
      </c>
      <c r="E344" s="66" t="n">
        <v>416500</v>
      </c>
    </row>
    <row r="345" customFormat="false" ht="15" hidden="false" customHeight="false" outlineLevel="0" collapsed="false">
      <c r="A345" s="44" t="n">
        <v>31</v>
      </c>
      <c r="B345" s="11" t="s">
        <v>618</v>
      </c>
      <c r="C345" s="65" t="n">
        <f aca="false">16500+70000+200000+100000+30000</f>
        <v>416500</v>
      </c>
      <c r="D345" s="65" t="n">
        <f aca="false">E345-C345</f>
        <v>0</v>
      </c>
      <c r="E345" s="66" t="n">
        <v>416500</v>
      </c>
    </row>
    <row r="346" customFormat="false" ht="15" hidden="false" customHeight="false" outlineLevel="0" collapsed="false">
      <c r="A346" s="44" t="n">
        <v>32</v>
      </c>
      <c r="B346" s="11" t="s">
        <v>619</v>
      </c>
      <c r="C346" s="65"/>
      <c r="D346" s="65" t="n">
        <f aca="false">E346-C346</f>
        <v>416500</v>
      </c>
      <c r="E346" s="66" t="n">
        <v>416500</v>
      </c>
    </row>
    <row r="347" customFormat="false" ht="15" hidden="false" customHeight="false" outlineLevel="0" collapsed="false">
      <c r="A347" s="44" t="n">
        <v>33</v>
      </c>
      <c r="B347" s="11" t="s">
        <v>620</v>
      </c>
      <c r="C347" s="65" t="n">
        <f aca="false">416000+500</f>
        <v>416500</v>
      </c>
      <c r="D347" s="65" t="n">
        <f aca="false">E347-C347</f>
        <v>0</v>
      </c>
      <c r="E347" s="66" t="n">
        <v>416500</v>
      </c>
    </row>
    <row r="348" customFormat="false" ht="15" hidden="false" customHeight="false" outlineLevel="0" collapsed="false">
      <c r="A348" s="44" t="n">
        <v>34</v>
      </c>
      <c r="B348" s="11" t="s">
        <v>621</v>
      </c>
      <c r="C348" s="65" t="n">
        <f aca="false">416500</f>
        <v>416500</v>
      </c>
      <c r="D348" s="65" t="n">
        <f aca="false">E348-C348</f>
        <v>0</v>
      </c>
      <c r="E348" s="66" t="n">
        <v>416500</v>
      </c>
    </row>
    <row r="349" customFormat="false" ht="15" hidden="false" customHeight="false" outlineLevel="0" collapsed="false">
      <c r="A349" s="44" t="n">
        <v>35</v>
      </c>
      <c r="B349" s="11" t="s">
        <v>622</v>
      </c>
      <c r="C349" s="65"/>
      <c r="D349" s="65" t="n">
        <f aca="false">E349-C349</f>
        <v>416500</v>
      </c>
      <c r="E349" s="66" t="n">
        <v>416500</v>
      </c>
    </row>
    <row r="350" customFormat="false" ht="15" hidden="false" customHeight="false" outlineLevel="0" collapsed="false">
      <c r="A350" s="44" t="n">
        <v>36</v>
      </c>
      <c r="B350" s="11" t="s">
        <v>623</v>
      </c>
      <c r="C350" s="65" t="n">
        <v>416500</v>
      </c>
      <c r="D350" s="65" t="n">
        <f aca="false">E350-C350</f>
        <v>0</v>
      </c>
      <c r="E350" s="66" t="n">
        <v>416500</v>
      </c>
    </row>
    <row r="351" customFormat="false" ht="15" hidden="false" customHeight="false" outlineLevel="0" collapsed="false">
      <c r="A351" s="44" t="n">
        <v>37</v>
      </c>
      <c r="B351" s="11" t="s">
        <v>624</v>
      </c>
      <c r="C351" s="65" t="n">
        <f aca="false">100000+316500</f>
        <v>416500</v>
      </c>
      <c r="D351" s="65" t="n">
        <f aca="false">E351-C351</f>
        <v>0</v>
      </c>
      <c r="E351" s="66" t="n">
        <v>416500</v>
      </c>
    </row>
    <row r="352" customFormat="false" ht="15" hidden="false" customHeight="false" outlineLevel="0" collapsed="false">
      <c r="A352" s="44" t="n">
        <v>38</v>
      </c>
      <c r="B352" s="11" t="s">
        <v>625</v>
      </c>
      <c r="C352" s="65" t="n">
        <f aca="false">81500+235000+100000</f>
        <v>416500</v>
      </c>
      <c r="D352" s="65" t="n">
        <f aca="false">E352-C352</f>
        <v>0</v>
      </c>
      <c r="E352" s="66" t="n">
        <v>416500</v>
      </c>
    </row>
    <row r="353" customFormat="false" ht="15" hidden="false" customHeight="false" outlineLevel="0" collapsed="false">
      <c r="A353" s="44" t="n">
        <v>39</v>
      </c>
      <c r="B353" s="11" t="s">
        <v>626</v>
      </c>
      <c r="C353" s="65" t="n">
        <f aca="false">206500+100000+110000</f>
        <v>416500</v>
      </c>
      <c r="D353" s="65" t="n">
        <f aca="false">E353-C353</f>
        <v>0</v>
      </c>
      <c r="E353" s="66" t="n">
        <v>416500</v>
      </c>
    </row>
    <row r="354" customFormat="false" ht="15" hidden="false" customHeight="false" outlineLevel="0" collapsed="false">
      <c r="A354" s="44" t="n">
        <v>40</v>
      </c>
      <c r="B354" s="11" t="s">
        <v>627</v>
      </c>
      <c r="C354" s="65" t="n">
        <v>416500</v>
      </c>
      <c r="D354" s="65" t="n">
        <f aca="false">E354-C354</f>
        <v>0</v>
      </c>
      <c r="E354" s="66" t="n">
        <v>416500</v>
      </c>
    </row>
    <row r="355" customFormat="false" ht="15" hidden="false" customHeight="false" outlineLevel="0" collapsed="false">
      <c r="A355" s="44" t="n">
        <v>41</v>
      </c>
      <c r="B355" s="11" t="s">
        <v>628</v>
      </c>
      <c r="C355" s="65" t="n">
        <v>416500</v>
      </c>
      <c r="D355" s="65" t="n">
        <f aca="false">E355-C355</f>
        <v>0</v>
      </c>
      <c r="E355" s="66" t="n">
        <v>416500</v>
      </c>
    </row>
    <row r="356" customFormat="false" ht="15" hidden="false" customHeight="false" outlineLevel="0" collapsed="false">
      <c r="A356" s="44" t="n">
        <v>42</v>
      </c>
      <c r="B356" s="11" t="s">
        <v>629</v>
      </c>
      <c r="C356" s="65" t="n">
        <f aca="false">80000+110000+150000+60000+16500</f>
        <v>416500</v>
      </c>
      <c r="D356" s="65" t="n">
        <f aca="false">E356-C356</f>
        <v>0</v>
      </c>
      <c r="E356" s="66" t="n">
        <v>416500</v>
      </c>
    </row>
    <row r="357" customFormat="false" ht="15" hidden="false" customHeight="false" outlineLevel="0" collapsed="false">
      <c r="A357" s="44" t="n">
        <v>43</v>
      </c>
      <c r="B357" s="11" t="s">
        <v>630</v>
      </c>
      <c r="C357" s="65" t="n">
        <f aca="false">66500+350000</f>
        <v>416500</v>
      </c>
      <c r="D357" s="65" t="n">
        <f aca="false">E357-C357</f>
        <v>0</v>
      </c>
      <c r="E357" s="66" t="n">
        <v>416500</v>
      </c>
    </row>
    <row r="358" customFormat="false" ht="15" hidden="false" customHeight="false" outlineLevel="0" collapsed="false">
      <c r="A358" s="44" t="n">
        <v>45</v>
      </c>
      <c r="B358" s="11" t="s">
        <v>631</v>
      </c>
      <c r="C358" s="65"/>
      <c r="D358" s="65" t="n">
        <f aca="false">E358-C358</f>
        <v>416500</v>
      </c>
      <c r="E358" s="66" t="n">
        <v>416500</v>
      </c>
    </row>
    <row r="359" customFormat="false" ht="15" hidden="false" customHeight="false" outlineLevel="0" collapsed="false">
      <c r="A359" s="44" t="n">
        <v>46</v>
      </c>
      <c r="B359" s="11" t="s">
        <v>632</v>
      </c>
      <c r="C359" s="65" t="n">
        <f aca="false">318000+98000+500</f>
        <v>416500</v>
      </c>
      <c r="D359" s="65" t="n">
        <f aca="false">E359-C359</f>
        <v>0</v>
      </c>
      <c r="E359" s="66" t="n">
        <v>416500</v>
      </c>
    </row>
    <row r="360" customFormat="false" ht="15" hidden="false" customHeight="false" outlineLevel="0" collapsed="false">
      <c r="A360" s="44" t="n">
        <v>47</v>
      </c>
      <c r="B360" s="11" t="s">
        <v>633</v>
      </c>
      <c r="C360" s="65"/>
      <c r="D360" s="65" t="n">
        <f aca="false">E360-C360</f>
        <v>416500</v>
      </c>
      <c r="E360" s="66" t="n">
        <v>416500</v>
      </c>
    </row>
    <row r="361" customFormat="false" ht="15" hidden="false" customHeight="false" outlineLevel="0" collapsed="false">
      <c r="A361" s="44" t="n">
        <v>48</v>
      </c>
      <c r="B361" s="78" t="s">
        <v>634</v>
      </c>
      <c r="C361" s="65" t="n">
        <f aca="false">60000+100000+40000+66500+60000+90000</f>
        <v>416500</v>
      </c>
      <c r="D361" s="65" t="n">
        <f aca="false">E361-C361</f>
        <v>0</v>
      </c>
      <c r="E361" s="66" t="n">
        <v>416500</v>
      </c>
    </row>
    <row r="362" customFormat="false" ht="15" hidden="false" customHeight="false" outlineLevel="0" collapsed="false">
      <c r="A362" s="44" t="n">
        <v>49</v>
      </c>
      <c r="B362" s="11" t="s">
        <v>635</v>
      </c>
      <c r="C362" s="65" t="n">
        <f aca="false">416500</f>
        <v>416500</v>
      </c>
      <c r="D362" s="65" t="n">
        <f aca="false">E362-C362</f>
        <v>0</v>
      </c>
      <c r="E362" s="66" t="n">
        <v>416500</v>
      </c>
    </row>
    <row r="363" customFormat="false" ht="15" hidden="false" customHeight="false" outlineLevel="0" collapsed="false">
      <c r="A363" s="44" t="n">
        <v>44</v>
      </c>
      <c r="B363" s="11" t="s">
        <v>636</v>
      </c>
      <c r="C363" s="65" t="n">
        <v>100000</v>
      </c>
      <c r="D363" s="65" t="n">
        <f aca="false">E363-C363</f>
        <v>316500</v>
      </c>
      <c r="E363" s="66" t="n">
        <v>416500</v>
      </c>
    </row>
    <row r="364" customFormat="false" ht="15" hidden="false" customHeight="false" outlineLevel="0" collapsed="false">
      <c r="A364" s="44" t="n">
        <v>50</v>
      </c>
      <c r="B364" s="11" t="s">
        <v>637</v>
      </c>
      <c r="C364" s="65" t="n">
        <f aca="false">360000+56500</f>
        <v>416500</v>
      </c>
      <c r="D364" s="65" t="n">
        <f aca="false">E364-C364</f>
        <v>0</v>
      </c>
      <c r="E364" s="66" t="n">
        <v>416500</v>
      </c>
    </row>
    <row r="365" customFormat="false" ht="15" hidden="false" customHeight="false" outlineLevel="0" collapsed="false">
      <c r="A365" s="44" t="n">
        <v>51</v>
      </c>
      <c r="B365" s="11" t="s">
        <v>638</v>
      </c>
      <c r="C365" s="65" t="n">
        <f aca="false">300000+116500</f>
        <v>416500</v>
      </c>
      <c r="D365" s="65" t="n">
        <f aca="false">E365-C365</f>
        <v>0</v>
      </c>
      <c r="E365" s="66" t="n">
        <v>416500</v>
      </c>
    </row>
    <row r="366" customFormat="false" ht="15" hidden="false" customHeight="false" outlineLevel="0" collapsed="false">
      <c r="A366" s="44" t="n">
        <v>52</v>
      </c>
      <c r="B366" s="11" t="s">
        <v>639</v>
      </c>
      <c r="C366" s="65" t="n">
        <f aca="false">100000+316500</f>
        <v>416500</v>
      </c>
      <c r="D366" s="65" t="n">
        <f aca="false">E366-C366</f>
        <v>0</v>
      </c>
      <c r="E366" s="66" t="n">
        <v>416500</v>
      </c>
    </row>
    <row r="367" customFormat="false" ht="19.7" hidden="false" customHeight="false" outlineLevel="0" collapsed="false">
      <c r="A367" s="38"/>
      <c r="B367" s="16" t="s">
        <v>60</v>
      </c>
      <c r="C367" s="24" t="n">
        <f aca="false">SUM(C315:C366)</f>
        <v>16212000</v>
      </c>
      <c r="D367" s="18" t="n">
        <f aca="false">SUM(D315:D366)</f>
        <v>5446000</v>
      </c>
      <c r="E367" s="75" t="n">
        <f aca="false">SUM(E315:E366)</f>
        <v>21658000</v>
      </c>
    </row>
    <row r="368" customFormat="false" ht="15" hidden="false" customHeight="false" outlineLevel="0" collapsed="false">
      <c r="A368" s="38"/>
    </row>
    <row r="369" customFormat="false" ht="15" hidden="false" customHeight="false" outlineLevel="0" collapsed="false">
      <c r="A369" s="38"/>
    </row>
    <row r="370" customFormat="false" ht="15" hidden="false" customHeight="false" outlineLevel="0" collapsed="false">
      <c r="A370" s="38"/>
    </row>
    <row r="371" customFormat="false" ht="15" hidden="false" customHeight="false" outlineLevel="0" collapsed="false">
      <c r="A371" s="38"/>
    </row>
    <row r="372" customFormat="false" ht="17.35" hidden="false" customHeight="false" outlineLevel="0" collapsed="false">
      <c r="A372" s="38"/>
      <c r="B372" s="1" t="s">
        <v>0</v>
      </c>
      <c r="C372" s="1"/>
      <c r="D372" s="1"/>
    </row>
    <row r="373" customFormat="false" ht="15" hidden="false" customHeight="false" outlineLevel="0" collapsed="false">
      <c r="A373" s="38"/>
    </row>
    <row r="374" customFormat="false" ht="17.35" hidden="false" customHeight="false" outlineLevel="0" collapsed="false">
      <c r="A374" s="38"/>
      <c r="B374" s="39" t="s">
        <v>411</v>
      </c>
    </row>
    <row r="375" customFormat="false" ht="15" hidden="false" customHeight="false" outlineLevel="0" collapsed="false">
      <c r="A375" s="38"/>
      <c r="B375" s="3" t="s">
        <v>112</v>
      </c>
    </row>
    <row r="376" customFormat="false" ht="15" hidden="false" customHeight="false" outlineLevel="0" collapsed="false">
      <c r="A376" s="38"/>
    </row>
    <row r="377" customFormat="false" ht="15" hidden="false" customHeight="false" outlineLevel="0" collapsed="false">
      <c r="A377" s="40" t="s">
        <v>4</v>
      </c>
      <c r="B377" s="6" t="s">
        <v>5</v>
      </c>
      <c r="C377" s="7" t="s">
        <v>6</v>
      </c>
      <c r="D377" s="8" t="s">
        <v>7</v>
      </c>
      <c r="E377" s="9" t="s">
        <v>8</v>
      </c>
    </row>
    <row r="378" customFormat="false" ht="15" hidden="false" customHeight="false" outlineLevel="0" collapsed="false">
      <c r="A378" s="44" t="n">
        <v>1</v>
      </c>
      <c r="B378" s="11" t="s">
        <v>640</v>
      </c>
      <c r="C378" s="65" t="n">
        <f aca="false">41500+52000+64000</f>
        <v>157500</v>
      </c>
      <c r="D378" s="65" t="n">
        <f aca="false">E378-C378</f>
        <v>259000</v>
      </c>
      <c r="E378" s="66" t="n">
        <v>416500</v>
      </c>
    </row>
    <row r="379" customFormat="false" ht="15" hidden="false" customHeight="false" outlineLevel="0" collapsed="false">
      <c r="A379" s="44" t="n">
        <v>2</v>
      </c>
      <c r="B379" s="11" t="s">
        <v>641</v>
      </c>
      <c r="C379" s="65" t="n">
        <f aca="false">116500+100000+100000+100000</f>
        <v>416500</v>
      </c>
      <c r="D379" s="65" t="n">
        <f aca="false">E379-C379</f>
        <v>0</v>
      </c>
      <c r="E379" s="66" t="n">
        <v>416500</v>
      </c>
    </row>
    <row r="380" customFormat="false" ht="15" hidden="false" customHeight="false" outlineLevel="0" collapsed="false">
      <c r="A380" s="44" t="n">
        <v>3</v>
      </c>
      <c r="B380" s="11" t="s">
        <v>642</v>
      </c>
      <c r="C380" s="65" t="n">
        <f aca="false">150000+266500</f>
        <v>416500</v>
      </c>
      <c r="D380" s="65" t="n">
        <f aca="false">E380-C380</f>
        <v>0</v>
      </c>
      <c r="E380" s="66" t="n">
        <v>416500</v>
      </c>
    </row>
    <row r="381" customFormat="false" ht="15" hidden="false" customHeight="false" outlineLevel="0" collapsed="false">
      <c r="A381" s="44" t="n">
        <v>4</v>
      </c>
      <c r="B381" s="11" t="s">
        <v>643</v>
      </c>
      <c r="C381" s="65" t="n">
        <f aca="false">266500+150000</f>
        <v>416500</v>
      </c>
      <c r="D381" s="65" t="n">
        <f aca="false">E381-C381</f>
        <v>0</v>
      </c>
      <c r="E381" s="66" t="n">
        <v>416500</v>
      </c>
    </row>
    <row r="382" customFormat="false" ht="15" hidden="false" customHeight="false" outlineLevel="0" collapsed="false">
      <c r="A382" s="44" t="n">
        <v>5</v>
      </c>
      <c r="B382" s="20" t="s">
        <v>644</v>
      </c>
      <c r="C382" s="65"/>
      <c r="D382" s="65" t="n">
        <f aca="false">E382-C382</f>
        <v>416500</v>
      </c>
      <c r="E382" s="66" t="n">
        <v>416500</v>
      </c>
    </row>
    <row r="383" customFormat="false" ht="15" hidden="false" customHeight="false" outlineLevel="0" collapsed="false">
      <c r="A383" s="44" t="n">
        <v>6</v>
      </c>
      <c r="B383" s="14" t="s">
        <v>645</v>
      </c>
      <c r="C383" s="65" t="n">
        <f aca="false">200000+150000+60000+6500</f>
        <v>416500</v>
      </c>
      <c r="D383" s="65" t="n">
        <f aca="false">E383-C383</f>
        <v>0</v>
      </c>
      <c r="E383" s="66" t="n">
        <v>416500</v>
      </c>
    </row>
    <row r="384" customFormat="false" ht="15" hidden="false" customHeight="false" outlineLevel="0" collapsed="false">
      <c r="A384" s="44" t="n">
        <v>7</v>
      </c>
      <c r="B384" s="11" t="s">
        <v>646</v>
      </c>
      <c r="C384" s="65" t="n">
        <f aca="false">100000+66500+50000+200000</f>
        <v>416500</v>
      </c>
      <c r="D384" s="65" t="n">
        <f aca="false">E384-C384</f>
        <v>0</v>
      </c>
      <c r="E384" s="66" t="n">
        <v>416500</v>
      </c>
    </row>
    <row r="385" customFormat="false" ht="15" hidden="false" customHeight="false" outlineLevel="0" collapsed="false">
      <c r="A385" s="44" t="n">
        <v>8</v>
      </c>
      <c r="B385" s="11" t="s">
        <v>647</v>
      </c>
      <c r="C385" s="65" t="n">
        <f aca="false">100000+27000+200000+70000+19500</f>
        <v>416500</v>
      </c>
      <c r="D385" s="65" t="n">
        <f aca="false">E385-C385</f>
        <v>0</v>
      </c>
      <c r="E385" s="66" t="n">
        <v>416500</v>
      </c>
    </row>
    <row r="386" customFormat="false" ht="15" hidden="false" customHeight="false" outlineLevel="0" collapsed="false">
      <c r="A386" s="44" t="n">
        <v>9</v>
      </c>
      <c r="B386" s="11" t="s">
        <v>648</v>
      </c>
      <c r="C386" s="65"/>
      <c r="D386" s="65" t="n">
        <f aca="false">E386-C386</f>
        <v>416500</v>
      </c>
      <c r="E386" s="66" t="n">
        <v>416500</v>
      </c>
    </row>
    <row r="387" customFormat="false" ht="15" hidden="false" customHeight="false" outlineLevel="0" collapsed="false">
      <c r="A387" s="44" t="n">
        <v>10</v>
      </c>
      <c r="B387" s="11" t="s">
        <v>649</v>
      </c>
      <c r="C387" s="65" t="n">
        <f aca="false">133500</f>
        <v>133500</v>
      </c>
      <c r="D387" s="65" t="n">
        <f aca="false">E387-C387</f>
        <v>283000</v>
      </c>
      <c r="E387" s="66" t="n">
        <v>416500</v>
      </c>
    </row>
    <row r="388" customFormat="false" ht="15" hidden="false" customHeight="false" outlineLevel="0" collapsed="false">
      <c r="A388" s="44" t="n">
        <v>11</v>
      </c>
      <c r="B388" s="11" t="s">
        <v>650</v>
      </c>
      <c r="C388" s="65"/>
      <c r="D388" s="65" t="n">
        <f aca="false">E388-C388</f>
        <v>416500</v>
      </c>
      <c r="E388" s="66" t="n">
        <v>416500</v>
      </c>
    </row>
    <row r="389" customFormat="false" ht="15" hidden="false" customHeight="false" outlineLevel="0" collapsed="false">
      <c r="A389" s="44" t="n">
        <v>12</v>
      </c>
      <c r="B389" s="11" t="s">
        <v>651</v>
      </c>
      <c r="C389" s="65" t="n">
        <f aca="false">206500</f>
        <v>206500</v>
      </c>
      <c r="D389" s="65" t="n">
        <f aca="false">E389-C389</f>
        <v>210000</v>
      </c>
      <c r="E389" s="66" t="n">
        <v>416500</v>
      </c>
    </row>
    <row r="390" customFormat="false" ht="15" hidden="false" customHeight="false" outlineLevel="0" collapsed="false">
      <c r="A390" s="44" t="n">
        <v>13</v>
      </c>
      <c r="B390" s="11" t="s">
        <v>652</v>
      </c>
      <c r="C390" s="65" t="n">
        <f aca="false">100000+100000+216500</f>
        <v>416500</v>
      </c>
      <c r="D390" s="65" t="n">
        <f aca="false">E390-C390</f>
        <v>0</v>
      </c>
      <c r="E390" s="66" t="n">
        <v>416500</v>
      </c>
    </row>
    <row r="391" customFormat="false" ht="15" hidden="false" customHeight="false" outlineLevel="0" collapsed="false">
      <c r="A391" s="44" t="n">
        <v>14</v>
      </c>
      <c r="B391" s="11" t="s">
        <v>653</v>
      </c>
      <c r="C391" s="65" t="n">
        <v>416500</v>
      </c>
      <c r="D391" s="65" t="n">
        <f aca="false">E391-C391</f>
        <v>0</v>
      </c>
      <c r="E391" s="66" t="n">
        <v>416500</v>
      </c>
    </row>
    <row r="392" customFormat="false" ht="15" hidden="false" customHeight="false" outlineLevel="0" collapsed="false">
      <c r="A392" s="44" t="n">
        <v>15</v>
      </c>
      <c r="B392" s="11" t="s">
        <v>654</v>
      </c>
      <c r="C392" s="65" t="n">
        <f aca="false">216500+200000</f>
        <v>416500</v>
      </c>
      <c r="D392" s="65" t="n">
        <f aca="false">E392-C392</f>
        <v>0</v>
      </c>
      <c r="E392" s="66" t="n">
        <v>416500</v>
      </c>
    </row>
    <row r="393" customFormat="false" ht="15" hidden="false" customHeight="false" outlineLevel="0" collapsed="false">
      <c r="A393" s="44" t="n">
        <v>16</v>
      </c>
      <c r="B393" s="11" t="s">
        <v>655</v>
      </c>
      <c r="C393" s="65" t="n">
        <f aca="false">16500+200000+200000</f>
        <v>416500</v>
      </c>
      <c r="D393" s="65" t="n">
        <f aca="false">E393-C393</f>
        <v>0</v>
      </c>
      <c r="E393" s="66" t="n">
        <v>416500</v>
      </c>
    </row>
    <row r="394" customFormat="false" ht="15" hidden="false" customHeight="false" outlineLevel="0" collapsed="false">
      <c r="A394" s="44" t="n">
        <v>17</v>
      </c>
      <c r="B394" s="11" t="s">
        <v>656</v>
      </c>
      <c r="C394" s="65" t="n">
        <f aca="false">136500+280000</f>
        <v>416500</v>
      </c>
      <c r="D394" s="65" t="n">
        <f aca="false">E394-C394</f>
        <v>0</v>
      </c>
      <c r="E394" s="66" t="n">
        <v>416500</v>
      </c>
    </row>
    <row r="395" customFormat="false" ht="15" hidden="false" customHeight="false" outlineLevel="0" collapsed="false">
      <c r="A395" s="44" t="n">
        <v>18</v>
      </c>
      <c r="B395" s="11" t="s">
        <v>657</v>
      </c>
      <c r="C395" s="65" t="n">
        <f aca="false">200000+216500</f>
        <v>416500</v>
      </c>
      <c r="D395" s="65" t="n">
        <f aca="false">E395-C395</f>
        <v>0</v>
      </c>
      <c r="E395" s="66" t="n">
        <v>416500</v>
      </c>
    </row>
    <row r="396" customFormat="false" ht="15" hidden="false" customHeight="false" outlineLevel="0" collapsed="false">
      <c r="A396" s="44" t="n">
        <v>19</v>
      </c>
      <c r="B396" s="11" t="s">
        <v>658</v>
      </c>
      <c r="C396" s="65" t="n">
        <f aca="false">20500+196000+200000</f>
        <v>416500</v>
      </c>
      <c r="D396" s="65" t="n">
        <f aca="false">E396-C396</f>
        <v>0</v>
      </c>
      <c r="E396" s="66" t="n">
        <v>416500</v>
      </c>
    </row>
    <row r="397" customFormat="false" ht="15" hidden="false" customHeight="false" outlineLevel="0" collapsed="false">
      <c r="A397" s="44" t="n">
        <v>20</v>
      </c>
      <c r="B397" s="11" t="s">
        <v>659</v>
      </c>
      <c r="C397" s="65" t="n">
        <f aca="false">100000+100000+216500</f>
        <v>416500</v>
      </c>
      <c r="D397" s="65" t="n">
        <f aca="false">E397-C397</f>
        <v>0</v>
      </c>
      <c r="E397" s="66" t="n">
        <v>416500</v>
      </c>
    </row>
    <row r="398" customFormat="false" ht="15" hidden="false" customHeight="false" outlineLevel="0" collapsed="false">
      <c r="A398" s="44" t="n">
        <v>21</v>
      </c>
      <c r="B398" s="11" t="s">
        <v>660</v>
      </c>
      <c r="C398" s="65" t="n">
        <f aca="false">60000+140000+216500</f>
        <v>416500</v>
      </c>
      <c r="D398" s="65" t="n">
        <f aca="false">E398-C398</f>
        <v>0</v>
      </c>
      <c r="E398" s="66" t="n">
        <v>416500</v>
      </c>
    </row>
    <row r="399" customFormat="false" ht="15" hidden="false" customHeight="false" outlineLevel="0" collapsed="false">
      <c r="A399" s="44" t="n">
        <v>22</v>
      </c>
      <c r="B399" s="11" t="s">
        <v>661</v>
      </c>
      <c r="C399" s="65" t="n">
        <f aca="false">100000+316500</f>
        <v>416500</v>
      </c>
      <c r="D399" s="65" t="n">
        <v>0</v>
      </c>
      <c r="E399" s="66" t="n">
        <v>416500</v>
      </c>
    </row>
    <row r="400" customFormat="false" ht="15" hidden="false" customHeight="false" outlineLevel="0" collapsed="false">
      <c r="A400" s="44" t="n">
        <v>23</v>
      </c>
      <c r="B400" s="11" t="s">
        <v>662</v>
      </c>
      <c r="C400" s="65" t="n">
        <f aca="false">100000+150000</f>
        <v>250000</v>
      </c>
      <c r="D400" s="65" t="n">
        <f aca="false">E400-C400</f>
        <v>166500</v>
      </c>
      <c r="E400" s="66" t="n">
        <v>416500</v>
      </c>
    </row>
    <row r="401" customFormat="false" ht="15" hidden="false" customHeight="false" outlineLevel="0" collapsed="false">
      <c r="A401" s="44" t="n">
        <v>24</v>
      </c>
      <c r="B401" s="11" t="s">
        <v>663</v>
      </c>
      <c r="C401" s="65" t="n">
        <f aca="false">216500+200000</f>
        <v>416500</v>
      </c>
      <c r="D401" s="65" t="n">
        <f aca="false">E401-C401</f>
        <v>0</v>
      </c>
      <c r="E401" s="66" t="n">
        <v>416500</v>
      </c>
    </row>
    <row r="402" customFormat="false" ht="15" hidden="false" customHeight="false" outlineLevel="0" collapsed="false">
      <c r="A402" s="44" t="n">
        <v>25</v>
      </c>
      <c r="B402" s="11" t="s">
        <v>664</v>
      </c>
      <c r="C402" s="65" t="n">
        <f aca="false">216500+200000</f>
        <v>416500</v>
      </c>
      <c r="D402" s="65" t="n">
        <f aca="false">E402-C402</f>
        <v>0</v>
      </c>
      <c r="E402" s="66" t="n">
        <v>416500</v>
      </c>
    </row>
    <row r="403" customFormat="false" ht="19.7" hidden="false" customHeight="false" outlineLevel="0" collapsed="false">
      <c r="A403" s="74"/>
      <c r="B403" s="16" t="s">
        <v>60</v>
      </c>
      <c r="C403" s="24" t="n">
        <f aca="false">SUM(C378:C402)</f>
        <v>8244500</v>
      </c>
      <c r="D403" s="18" t="n">
        <f aca="false">SUM(D378:D402)</f>
        <v>2168000</v>
      </c>
      <c r="E403" s="75" t="n">
        <f aca="false">SUM(E378:E402)</f>
        <v>10412500</v>
      </c>
    </row>
    <row r="404" customFormat="false" ht="15" hidden="false" customHeight="false" outlineLevel="0" collapsed="false">
      <c r="A404" s="38"/>
    </row>
    <row r="405" customFormat="false" ht="15" hidden="false" customHeight="false" outlineLevel="0" collapsed="false">
      <c r="A405" s="38"/>
    </row>
    <row r="406" customFormat="false" ht="15" hidden="false" customHeight="false" outlineLevel="0" collapsed="false">
      <c r="A406" s="38"/>
      <c r="D406" s="76"/>
      <c r="E406" s="77"/>
    </row>
    <row r="407" customFormat="false" ht="15" hidden="false" customHeight="false" outlineLevel="0" collapsed="false">
      <c r="A407" s="38"/>
      <c r="D407" s="76"/>
      <c r="E407" s="77"/>
    </row>
    <row r="408" customFormat="false" ht="15" hidden="false" customHeight="false" outlineLevel="0" collapsed="false">
      <c r="A408" s="38"/>
      <c r="D408" s="76"/>
      <c r="E408" s="77"/>
    </row>
    <row r="409" customFormat="false" ht="15" hidden="false" customHeight="false" outlineLevel="0" collapsed="false">
      <c r="A409" s="38"/>
      <c r="D409" s="76"/>
      <c r="E409" s="77"/>
    </row>
    <row r="410" customFormat="false" ht="15" hidden="false" customHeight="false" outlineLevel="0" collapsed="false">
      <c r="A410" s="38"/>
      <c r="D410" s="76"/>
      <c r="E410" s="77"/>
    </row>
    <row r="411" customFormat="false" ht="17.35" hidden="false" customHeight="false" outlineLevel="0" collapsed="false">
      <c r="A411" s="38"/>
      <c r="B411" s="81" t="s">
        <v>0</v>
      </c>
      <c r="C411" s="81"/>
      <c r="D411" s="81"/>
      <c r="E411" s="81"/>
    </row>
    <row r="412" customFormat="false" ht="15" hidden="false" customHeight="false" outlineLevel="0" collapsed="false">
      <c r="A412" s="38"/>
    </row>
    <row r="413" customFormat="false" ht="17.35" hidden="false" customHeight="false" outlineLevel="0" collapsed="false">
      <c r="A413" s="38"/>
      <c r="B413" s="39" t="s">
        <v>446</v>
      </c>
    </row>
    <row r="414" customFormat="false" ht="15" hidden="false" customHeight="false" outlineLevel="0" collapsed="false">
      <c r="A414" s="38"/>
      <c r="B414" s="3" t="s">
        <v>112</v>
      </c>
    </row>
    <row r="415" customFormat="false" ht="15" hidden="false" customHeight="false" outlineLevel="0" collapsed="false">
      <c r="A415" s="38"/>
    </row>
    <row r="416" customFormat="false" ht="15" hidden="false" customHeight="false" outlineLevel="0" collapsed="false">
      <c r="A416" s="40" t="s">
        <v>4</v>
      </c>
      <c r="B416" s="6" t="s">
        <v>5</v>
      </c>
      <c r="C416" s="7" t="s">
        <v>6</v>
      </c>
      <c r="D416" s="8" t="s">
        <v>7</v>
      </c>
      <c r="E416" s="9" t="s">
        <v>8</v>
      </c>
    </row>
    <row r="417" customFormat="false" ht="15" hidden="false" customHeight="false" outlineLevel="0" collapsed="false">
      <c r="A417" s="44" t="n">
        <v>1</v>
      </c>
      <c r="B417" s="11" t="s">
        <v>665</v>
      </c>
      <c r="C417" s="65"/>
      <c r="D417" s="65" t="n">
        <f aca="false">E417-C417</f>
        <v>416500</v>
      </c>
      <c r="E417" s="66" t="n">
        <v>416500</v>
      </c>
    </row>
    <row r="418" customFormat="false" ht="15" hidden="false" customHeight="false" outlineLevel="0" collapsed="false">
      <c r="A418" s="44" t="n">
        <v>2</v>
      </c>
      <c r="B418" s="11" t="s">
        <v>666</v>
      </c>
      <c r="C418" s="65" t="n">
        <f aca="false">416500</f>
        <v>416500</v>
      </c>
      <c r="D418" s="65" t="n">
        <f aca="false">E418-C418</f>
        <v>0</v>
      </c>
      <c r="E418" s="66" t="n">
        <v>416500</v>
      </c>
    </row>
    <row r="419" customFormat="false" ht="15" hidden="false" customHeight="false" outlineLevel="0" collapsed="false">
      <c r="A419" s="44" t="n">
        <v>3</v>
      </c>
      <c r="B419" s="20" t="s">
        <v>667</v>
      </c>
      <c r="C419" s="65" t="n">
        <v>416500</v>
      </c>
      <c r="D419" s="65" t="n">
        <f aca="false">E419-C419</f>
        <v>0</v>
      </c>
      <c r="E419" s="66" t="n">
        <v>416500</v>
      </c>
    </row>
    <row r="420" customFormat="false" ht="15" hidden="false" customHeight="false" outlineLevel="0" collapsed="false">
      <c r="A420" s="44" t="n">
        <v>4</v>
      </c>
      <c r="B420" s="11" t="s">
        <v>668</v>
      </c>
      <c r="C420" s="65" t="n">
        <f aca="false">200000+216500</f>
        <v>416500</v>
      </c>
      <c r="D420" s="65" t="n">
        <f aca="false">E420-C420</f>
        <v>0</v>
      </c>
      <c r="E420" s="66" t="n">
        <v>416500</v>
      </c>
    </row>
    <row r="421" customFormat="false" ht="15" hidden="false" customHeight="false" outlineLevel="0" collapsed="false">
      <c r="A421" s="44" t="n">
        <v>5</v>
      </c>
      <c r="B421" s="14" t="s">
        <v>669</v>
      </c>
      <c r="C421" s="65"/>
      <c r="D421" s="65" t="n">
        <f aca="false">E421-C421</f>
        <v>416500</v>
      </c>
      <c r="E421" s="66" t="n">
        <v>416500</v>
      </c>
    </row>
    <row r="422" customFormat="false" ht="15" hidden="false" customHeight="false" outlineLevel="0" collapsed="false">
      <c r="A422" s="44" t="n">
        <v>6</v>
      </c>
      <c r="B422" s="11" t="s">
        <v>670</v>
      </c>
      <c r="C422" s="65" t="n">
        <f aca="false">130000+286500</f>
        <v>416500</v>
      </c>
      <c r="D422" s="65" t="n">
        <f aca="false">E422-C422</f>
        <v>0</v>
      </c>
      <c r="E422" s="66" t="n">
        <v>416500</v>
      </c>
    </row>
    <row r="423" customFormat="false" ht="15" hidden="false" customHeight="false" outlineLevel="0" collapsed="false">
      <c r="A423" s="44" t="n">
        <v>7</v>
      </c>
      <c r="B423" s="11" t="s">
        <v>671</v>
      </c>
      <c r="C423" s="65" t="n">
        <f aca="false">116500</f>
        <v>116500</v>
      </c>
      <c r="D423" s="65" t="n">
        <f aca="false">E423-C423</f>
        <v>300000</v>
      </c>
      <c r="E423" s="66" t="n">
        <v>416500</v>
      </c>
    </row>
    <row r="424" customFormat="false" ht="15" hidden="false" customHeight="false" outlineLevel="0" collapsed="false">
      <c r="A424" s="44" t="n">
        <v>8</v>
      </c>
      <c r="B424" s="11" t="s">
        <v>672</v>
      </c>
      <c r="C424" s="65" t="n">
        <v>416500</v>
      </c>
      <c r="D424" s="65" t="n">
        <f aca="false">E424-C424</f>
        <v>0</v>
      </c>
      <c r="E424" s="66" t="n">
        <v>416500</v>
      </c>
    </row>
    <row r="425" customFormat="false" ht="15" hidden="false" customHeight="false" outlineLevel="0" collapsed="false">
      <c r="A425" s="44" t="n">
        <v>9</v>
      </c>
      <c r="B425" s="11" t="s">
        <v>673</v>
      </c>
      <c r="C425" s="65" t="n">
        <f aca="false">136500+130000+150000</f>
        <v>416500</v>
      </c>
      <c r="D425" s="65" t="n">
        <f aca="false">E425-C425</f>
        <v>0</v>
      </c>
      <c r="E425" s="66" t="n">
        <v>416500</v>
      </c>
    </row>
    <row r="426" customFormat="false" ht="15" hidden="false" customHeight="false" outlineLevel="0" collapsed="false">
      <c r="A426" s="44" t="n">
        <v>10</v>
      </c>
      <c r="B426" s="11" t="s">
        <v>674</v>
      </c>
      <c r="C426" s="65" t="n">
        <f aca="false">208000+208500</f>
        <v>416500</v>
      </c>
      <c r="D426" s="65" t="n">
        <f aca="false">E426-C426</f>
        <v>0</v>
      </c>
      <c r="E426" s="66" t="n">
        <v>416500</v>
      </c>
    </row>
    <row r="427" customFormat="false" ht="15" hidden="false" customHeight="false" outlineLevel="0" collapsed="false">
      <c r="A427" s="44" t="n">
        <v>11</v>
      </c>
      <c r="B427" s="11" t="s">
        <v>675</v>
      </c>
      <c r="C427" s="65" t="n">
        <f aca="false">416500</f>
        <v>416500</v>
      </c>
      <c r="D427" s="65" t="n">
        <f aca="false">E427-C427</f>
        <v>0</v>
      </c>
      <c r="E427" s="66" t="n">
        <v>416500</v>
      </c>
    </row>
    <row r="428" customFormat="false" ht="15" hidden="false" customHeight="false" outlineLevel="0" collapsed="false">
      <c r="A428" s="44" t="n">
        <v>12</v>
      </c>
      <c r="B428" s="11" t="s">
        <v>676</v>
      </c>
      <c r="C428" s="65"/>
      <c r="D428" s="65" t="n">
        <f aca="false">E428-C428</f>
        <v>416500</v>
      </c>
      <c r="E428" s="66" t="n">
        <v>416500</v>
      </c>
    </row>
    <row r="429" customFormat="false" ht="15" hidden="false" customHeight="false" outlineLevel="0" collapsed="false">
      <c r="A429" s="44" t="n">
        <v>13</v>
      </c>
      <c r="B429" s="11" t="s">
        <v>677</v>
      </c>
      <c r="C429" s="65" t="n">
        <f aca="false">145000+15000+141500+115000</f>
        <v>416500</v>
      </c>
      <c r="D429" s="65" t="s">
        <v>146</v>
      </c>
      <c r="E429" s="66" t="n">
        <v>416500</v>
      </c>
    </row>
    <row r="430" customFormat="false" ht="15" hidden="false" customHeight="false" outlineLevel="0" collapsed="false">
      <c r="A430" s="44" t="n">
        <v>14</v>
      </c>
      <c r="B430" s="11" t="s">
        <v>678</v>
      </c>
      <c r="C430" s="65" t="n">
        <f aca="false">116500+300000</f>
        <v>416500</v>
      </c>
      <c r="D430" s="65" t="n">
        <f aca="false">E430-C430</f>
        <v>0</v>
      </c>
      <c r="E430" s="66" t="n">
        <v>416500</v>
      </c>
    </row>
    <row r="431" customFormat="false" ht="15" hidden="false" customHeight="false" outlineLevel="0" collapsed="false">
      <c r="A431" s="44" t="n">
        <v>16</v>
      </c>
      <c r="B431" s="11" t="s">
        <v>679</v>
      </c>
      <c r="C431" s="65" t="n">
        <f aca="false">30000+16500+10000+100000+80000+90000+90000</f>
        <v>416500</v>
      </c>
      <c r="D431" s="65" t="n">
        <f aca="false">E431-C431</f>
        <v>0</v>
      </c>
      <c r="E431" s="66" t="n">
        <v>416500</v>
      </c>
    </row>
    <row r="432" customFormat="false" ht="15" hidden="false" customHeight="false" outlineLevel="0" collapsed="false">
      <c r="A432" s="44" t="n">
        <v>17</v>
      </c>
      <c r="B432" s="11" t="s">
        <v>680</v>
      </c>
      <c r="C432" s="65"/>
      <c r="D432" s="65" t="n">
        <f aca="false">E432-C432</f>
        <v>416500</v>
      </c>
      <c r="E432" s="66" t="n">
        <v>416500</v>
      </c>
    </row>
    <row r="433" customFormat="false" ht="15" hidden="false" customHeight="false" outlineLevel="0" collapsed="false">
      <c r="A433" s="44" t="n">
        <v>18</v>
      </c>
      <c r="B433" s="11" t="s">
        <v>681</v>
      </c>
      <c r="C433" s="65"/>
      <c r="D433" s="65" t="n">
        <f aca="false">E433-C433</f>
        <v>416500</v>
      </c>
      <c r="E433" s="66" t="n">
        <v>416500</v>
      </c>
    </row>
    <row r="434" customFormat="false" ht="15" hidden="false" customHeight="false" outlineLevel="0" collapsed="false">
      <c r="A434" s="44" t="n">
        <v>19</v>
      </c>
      <c r="B434" s="11" t="s">
        <v>682</v>
      </c>
      <c r="C434" s="65"/>
      <c r="D434" s="65" t="n">
        <f aca="false">E434-C434</f>
        <v>416500</v>
      </c>
      <c r="E434" s="66" t="n">
        <v>416500</v>
      </c>
    </row>
    <row r="435" customFormat="false" ht="15" hidden="false" customHeight="false" outlineLevel="0" collapsed="false">
      <c r="A435" s="44" t="n">
        <v>20</v>
      </c>
      <c r="B435" s="11" t="s">
        <v>683</v>
      </c>
      <c r="C435" s="65" t="n">
        <f aca="false">216500+200000</f>
        <v>416500</v>
      </c>
      <c r="D435" s="65" t="n">
        <f aca="false">E435-C435</f>
        <v>0</v>
      </c>
      <c r="E435" s="66" t="n">
        <v>416500</v>
      </c>
    </row>
    <row r="436" customFormat="false" ht="15" hidden="false" customHeight="false" outlineLevel="0" collapsed="false">
      <c r="A436" s="44" t="n">
        <v>21</v>
      </c>
      <c r="B436" s="11" t="s">
        <v>684</v>
      </c>
      <c r="C436" s="65" t="n">
        <f aca="false">100000+316500</f>
        <v>416500</v>
      </c>
      <c r="D436" s="65" t="n">
        <f aca="false">E436-C436</f>
        <v>0</v>
      </c>
      <c r="E436" s="66" t="n">
        <v>416500</v>
      </c>
    </row>
    <row r="437" customFormat="false" ht="15" hidden="false" customHeight="false" outlineLevel="0" collapsed="false">
      <c r="A437" s="44" t="n">
        <v>22</v>
      </c>
      <c r="B437" s="20" t="s">
        <v>685</v>
      </c>
      <c r="C437" s="65" t="n">
        <f aca="false">60000+356500</f>
        <v>416500</v>
      </c>
      <c r="D437" s="65" t="n">
        <v>0</v>
      </c>
      <c r="E437" s="66" t="n">
        <v>416500</v>
      </c>
    </row>
    <row r="438" customFormat="false" ht="15" hidden="false" customHeight="false" outlineLevel="0" collapsed="false">
      <c r="A438" s="44" t="n">
        <v>23</v>
      </c>
      <c r="B438" s="11" t="s">
        <v>686</v>
      </c>
      <c r="C438" s="65" t="n">
        <f aca="false">216500+180000+20000</f>
        <v>416500</v>
      </c>
      <c r="D438" s="65" t="n">
        <f aca="false">E438-C438</f>
        <v>0</v>
      </c>
      <c r="E438" s="66" t="n">
        <v>416500</v>
      </c>
    </row>
    <row r="439" customFormat="false" ht="15" hidden="false" customHeight="false" outlineLevel="0" collapsed="false">
      <c r="A439" s="44" t="n">
        <v>24</v>
      </c>
      <c r="B439" s="11" t="s">
        <v>687</v>
      </c>
      <c r="C439" s="65" t="n">
        <f aca="false">180000+50000+46500+140000</f>
        <v>416500</v>
      </c>
      <c r="D439" s="65" t="n">
        <f aca="false">E439-C439</f>
        <v>0</v>
      </c>
      <c r="E439" s="66" t="n">
        <v>416500</v>
      </c>
    </row>
    <row r="440" customFormat="false" ht="15" hidden="false" customHeight="false" outlineLevel="0" collapsed="false">
      <c r="A440" s="44" t="n">
        <v>25</v>
      </c>
      <c r="B440" s="11" t="s">
        <v>688</v>
      </c>
      <c r="C440" s="65" t="n">
        <f aca="false">216500+200000</f>
        <v>416500</v>
      </c>
      <c r="D440" s="65" t="n">
        <f aca="false">E440-C440</f>
        <v>0</v>
      </c>
      <c r="E440" s="66" t="n">
        <v>416500</v>
      </c>
    </row>
    <row r="441" customFormat="false" ht="15" hidden="false" customHeight="false" outlineLevel="0" collapsed="false">
      <c r="A441" s="44" t="n">
        <v>26</v>
      </c>
      <c r="B441" s="11" t="s">
        <v>689</v>
      </c>
      <c r="C441" s="65"/>
      <c r="D441" s="65" t="n">
        <f aca="false">E441-C441</f>
        <v>416500</v>
      </c>
      <c r="E441" s="66" t="n">
        <v>416500</v>
      </c>
    </row>
    <row r="442" customFormat="false" ht="15" hidden="false" customHeight="false" outlineLevel="0" collapsed="false">
      <c r="A442" s="44" t="n">
        <v>27</v>
      </c>
      <c r="B442" s="11" t="s">
        <v>690</v>
      </c>
      <c r="C442" s="65" t="n">
        <f aca="false">200000+200000+5000+11500</f>
        <v>416500</v>
      </c>
      <c r="D442" s="65" t="n">
        <f aca="false">E442-C442</f>
        <v>0</v>
      </c>
      <c r="E442" s="66" t="n">
        <v>416500</v>
      </c>
    </row>
    <row r="443" customFormat="false" ht="15" hidden="false" customHeight="false" outlineLevel="0" collapsed="false">
      <c r="A443" s="44" t="n">
        <v>28</v>
      </c>
      <c r="B443" s="11" t="s">
        <v>691</v>
      </c>
      <c r="C443" s="65"/>
      <c r="D443" s="65" t="n">
        <f aca="false">E443-C443</f>
        <v>416500</v>
      </c>
      <c r="E443" s="66" t="n">
        <v>416500</v>
      </c>
    </row>
    <row r="444" customFormat="false" ht="15" hidden="false" customHeight="false" outlineLevel="0" collapsed="false">
      <c r="A444" s="44" t="n">
        <v>29</v>
      </c>
      <c r="B444" s="11" t="s">
        <v>692</v>
      </c>
      <c r="C444" s="65"/>
      <c r="D444" s="65" t="n">
        <f aca="false">E444-C444</f>
        <v>416500</v>
      </c>
      <c r="E444" s="66" t="n">
        <v>416500</v>
      </c>
    </row>
    <row r="445" customFormat="false" ht="15" hidden="false" customHeight="false" outlineLevel="0" collapsed="false">
      <c r="A445" s="44" t="n">
        <v>30</v>
      </c>
      <c r="B445" s="82" t="s">
        <v>693</v>
      </c>
      <c r="C445" s="83" t="n">
        <f aca="false">416500</f>
        <v>416500</v>
      </c>
      <c r="D445" s="65" t="n">
        <f aca="false">E445-C445</f>
        <v>0</v>
      </c>
      <c r="E445" s="66" t="n">
        <v>416500</v>
      </c>
    </row>
    <row r="446" customFormat="false" ht="19.7" hidden="false" customHeight="false" outlineLevel="0" collapsed="false">
      <c r="A446" s="74"/>
      <c r="B446" s="16" t="s">
        <v>60</v>
      </c>
      <c r="C446" s="24" t="n">
        <f aca="false">SUM(C417:C445)</f>
        <v>8030000</v>
      </c>
      <c r="D446" s="18" t="n">
        <f aca="false">SUM(D417:D445)</f>
        <v>4048500</v>
      </c>
      <c r="E446" s="75" t="n">
        <f aca="false">SUM(E417:E445)</f>
        <v>12078500</v>
      </c>
    </row>
    <row r="447" customFormat="false" ht="15" hidden="false" customHeight="false" outlineLevel="0" collapsed="false">
      <c r="A447" s="38"/>
      <c r="D447" s="76"/>
      <c r="E447" s="77"/>
    </row>
    <row r="448" customFormat="false" ht="15" hidden="false" customHeight="false" outlineLevel="0" collapsed="false">
      <c r="A448" s="38"/>
      <c r="D448" s="76"/>
      <c r="E448" s="77"/>
    </row>
    <row r="449" customFormat="false" ht="15" hidden="false" customHeight="false" outlineLevel="0" collapsed="false">
      <c r="A449" s="38"/>
      <c r="D449" s="76"/>
      <c r="E449" s="77"/>
    </row>
    <row r="450" customFormat="false" ht="15" hidden="false" customHeight="false" outlineLevel="0" collapsed="false">
      <c r="A450" s="38"/>
      <c r="D450" s="76"/>
      <c r="E450" s="77"/>
    </row>
    <row r="451" customFormat="false" ht="15" hidden="false" customHeight="false" outlineLevel="0" collapsed="false">
      <c r="A451" s="38"/>
      <c r="D451" s="76"/>
      <c r="E451" s="77"/>
    </row>
    <row r="452" customFormat="false" ht="15" hidden="false" customHeight="false" outlineLevel="0" collapsed="false">
      <c r="A452" s="38"/>
      <c r="D452" s="76"/>
      <c r="E452" s="77"/>
    </row>
    <row r="453" customFormat="false" ht="15" hidden="false" customHeight="false" outlineLevel="0" collapsed="false">
      <c r="A453" s="38"/>
      <c r="D453" s="76"/>
      <c r="E453" s="77"/>
    </row>
    <row r="454" customFormat="false" ht="15" hidden="false" customHeight="false" outlineLevel="0" collapsed="false">
      <c r="A454" s="38"/>
      <c r="D454" s="76"/>
      <c r="E454" s="77"/>
    </row>
    <row r="455" customFormat="false" ht="15" hidden="false" customHeight="false" outlineLevel="0" collapsed="false">
      <c r="A455" s="38"/>
      <c r="D455" s="76"/>
      <c r="E455" s="77"/>
    </row>
    <row r="456" customFormat="false" ht="15" hidden="false" customHeight="false" outlineLevel="0" collapsed="false">
      <c r="A456" s="38"/>
      <c r="D456" s="76"/>
      <c r="E456" s="77"/>
    </row>
    <row r="457" customFormat="false" ht="17.35" hidden="false" customHeight="false" outlineLevel="0" collapsed="false">
      <c r="A457" s="37"/>
      <c r="B457" s="1" t="s">
        <v>0</v>
      </c>
    </row>
    <row r="458" customFormat="false" ht="15" hidden="false" customHeight="false" outlineLevel="0" collapsed="false">
      <c r="A458" s="38"/>
    </row>
    <row r="459" customFormat="false" ht="17.35" hidden="false" customHeight="false" outlineLevel="0" collapsed="false">
      <c r="A459" s="38"/>
      <c r="B459" s="39" t="s">
        <v>359</v>
      </c>
    </row>
    <row r="460" customFormat="false" ht="15" hidden="false" customHeight="false" outlineLevel="0" collapsed="false">
      <c r="A460" s="38"/>
      <c r="B460" s="3" t="s">
        <v>133</v>
      </c>
    </row>
    <row r="461" customFormat="false" ht="15" hidden="false" customHeight="false" outlineLevel="0" collapsed="false">
      <c r="A461" s="38"/>
    </row>
    <row r="462" customFormat="false" ht="15" hidden="false" customHeight="false" outlineLevel="0" collapsed="false">
      <c r="A462" s="40" t="s">
        <v>4</v>
      </c>
      <c r="B462" s="6" t="s">
        <v>5</v>
      </c>
      <c r="C462" s="7" t="s">
        <v>6</v>
      </c>
      <c r="D462" s="8" t="s">
        <v>7</v>
      </c>
      <c r="E462" s="9" t="s">
        <v>8</v>
      </c>
    </row>
    <row r="463" customFormat="false" ht="15" hidden="false" customHeight="false" outlineLevel="0" collapsed="false">
      <c r="A463" s="44" t="n">
        <v>1</v>
      </c>
      <c r="B463" s="11" t="s">
        <v>694</v>
      </c>
      <c r="C463" s="65" t="n">
        <f aca="false">216500+200000</f>
        <v>416500</v>
      </c>
      <c r="D463" s="65" t="n">
        <f aca="false">E463-C463</f>
        <v>0</v>
      </c>
      <c r="E463" s="66" t="n">
        <v>416500</v>
      </c>
    </row>
    <row r="464" customFormat="false" ht="15" hidden="false" customHeight="false" outlineLevel="0" collapsed="false">
      <c r="A464" s="44" t="n">
        <v>2</v>
      </c>
      <c r="B464" s="11" t="s">
        <v>695</v>
      </c>
      <c r="C464" s="65"/>
      <c r="D464" s="65" t="n">
        <f aca="false">E464-C464</f>
        <v>416500</v>
      </c>
      <c r="E464" s="66" t="n">
        <v>416500</v>
      </c>
    </row>
    <row r="465" customFormat="false" ht="15" hidden="false" customHeight="false" outlineLevel="0" collapsed="false">
      <c r="A465" s="44" t="n">
        <v>3</v>
      </c>
      <c r="B465" s="11" t="s">
        <v>696</v>
      </c>
      <c r="C465" s="65"/>
      <c r="D465" s="65" t="n">
        <f aca="false">E465-C465</f>
        <v>416500</v>
      </c>
      <c r="E465" s="66" t="n">
        <v>416500</v>
      </c>
    </row>
    <row r="466" customFormat="false" ht="15" hidden="false" customHeight="false" outlineLevel="0" collapsed="false">
      <c r="A466" s="44" t="n">
        <v>4</v>
      </c>
      <c r="B466" s="11" t="s">
        <v>697</v>
      </c>
      <c r="C466" s="65" t="n">
        <f aca="false">200000</f>
        <v>200000</v>
      </c>
      <c r="D466" s="65" t="n">
        <f aca="false">E466-C466</f>
        <v>216500</v>
      </c>
      <c r="E466" s="66" t="n">
        <v>416500</v>
      </c>
    </row>
    <row r="467" customFormat="false" ht="15" hidden="false" customHeight="false" outlineLevel="0" collapsed="false">
      <c r="A467" s="44" t="n">
        <v>5</v>
      </c>
      <c r="B467" s="11" t="s">
        <v>698</v>
      </c>
      <c r="C467" s="65" t="n">
        <f aca="false">216500+200000</f>
        <v>416500</v>
      </c>
      <c r="D467" s="65" t="n">
        <f aca="false">E467-C467</f>
        <v>0</v>
      </c>
      <c r="E467" s="66" t="n">
        <v>416500</v>
      </c>
    </row>
    <row r="468" customFormat="false" ht="15" hidden="false" customHeight="false" outlineLevel="0" collapsed="false">
      <c r="A468" s="44" t="n">
        <v>6</v>
      </c>
      <c r="B468" s="11" t="s">
        <v>699</v>
      </c>
      <c r="C468" s="65" t="n">
        <f aca="false">16500+100000+300000</f>
        <v>416500</v>
      </c>
      <c r="D468" s="65" t="n">
        <f aca="false">E468-C468</f>
        <v>0</v>
      </c>
      <c r="E468" s="66" t="n">
        <v>416500</v>
      </c>
    </row>
    <row r="469" customFormat="false" ht="15" hidden="false" customHeight="false" outlineLevel="0" collapsed="false">
      <c r="A469" s="44" t="n">
        <v>7</v>
      </c>
      <c r="B469" s="11" t="s">
        <v>700</v>
      </c>
      <c r="C469" s="65" t="n">
        <f aca="false">200000+116500+100000</f>
        <v>416500</v>
      </c>
      <c r="D469" s="65" t="n">
        <f aca="false">E469-C469</f>
        <v>0</v>
      </c>
      <c r="E469" s="66" t="n">
        <v>416500</v>
      </c>
    </row>
    <row r="470" customFormat="false" ht="15" hidden="false" customHeight="false" outlineLevel="0" collapsed="false">
      <c r="A470" s="44" t="n">
        <v>8</v>
      </c>
      <c r="B470" s="11" t="s">
        <v>701</v>
      </c>
      <c r="C470" s="65" t="n">
        <f aca="false">223500+193000</f>
        <v>416500</v>
      </c>
      <c r="D470" s="65" t="n">
        <f aca="false">E470-C470</f>
        <v>0</v>
      </c>
      <c r="E470" s="66" t="n">
        <v>416500</v>
      </c>
    </row>
    <row r="471" customFormat="false" ht="15" hidden="false" customHeight="false" outlineLevel="0" collapsed="false">
      <c r="A471" s="44" t="n">
        <v>9</v>
      </c>
      <c r="B471" s="11" t="s">
        <v>702</v>
      </c>
      <c r="C471" s="65" t="n">
        <f aca="false">216500+200000</f>
        <v>416500</v>
      </c>
      <c r="D471" s="65" t="n">
        <f aca="false">E471-C471</f>
        <v>0</v>
      </c>
      <c r="E471" s="66" t="n">
        <v>416500</v>
      </c>
    </row>
    <row r="472" customFormat="false" ht="15" hidden="false" customHeight="false" outlineLevel="0" collapsed="false">
      <c r="A472" s="44" t="n">
        <v>10</v>
      </c>
      <c r="B472" s="14" t="s">
        <v>703</v>
      </c>
      <c r="C472" s="65"/>
      <c r="D472" s="65" t="n">
        <f aca="false">E472-C472</f>
        <v>416500</v>
      </c>
      <c r="E472" s="66" t="n">
        <v>416500</v>
      </c>
    </row>
    <row r="473" customFormat="false" ht="15" hidden="false" customHeight="false" outlineLevel="0" collapsed="false">
      <c r="A473" s="44" t="n">
        <v>11</v>
      </c>
      <c r="B473" s="11" t="s">
        <v>704</v>
      </c>
      <c r="C473" s="65"/>
      <c r="D473" s="65" t="n">
        <f aca="false">E473-C473</f>
        <v>416500</v>
      </c>
      <c r="E473" s="66" t="n">
        <v>416500</v>
      </c>
    </row>
    <row r="474" customFormat="false" ht="15" hidden="false" customHeight="false" outlineLevel="0" collapsed="false">
      <c r="A474" s="44" t="n">
        <v>12</v>
      </c>
      <c r="B474" s="11" t="s">
        <v>705</v>
      </c>
      <c r="C474" s="65"/>
      <c r="D474" s="65" t="n">
        <f aca="false">E474-C474</f>
        <v>416500</v>
      </c>
      <c r="E474" s="66" t="n">
        <v>416500</v>
      </c>
    </row>
    <row r="475" customFormat="false" ht="15" hidden="false" customHeight="false" outlineLevel="0" collapsed="false">
      <c r="A475" s="44" t="n">
        <v>13</v>
      </c>
      <c r="B475" s="11" t="s">
        <v>706</v>
      </c>
      <c r="C475" s="65"/>
      <c r="D475" s="65" t="n">
        <f aca="false">E475-C475</f>
        <v>416500</v>
      </c>
      <c r="E475" s="66" t="n">
        <v>416500</v>
      </c>
    </row>
    <row r="476" customFormat="false" ht="15" hidden="false" customHeight="false" outlineLevel="0" collapsed="false">
      <c r="A476" s="44" t="n">
        <v>14</v>
      </c>
      <c r="B476" s="11" t="s">
        <v>707</v>
      </c>
      <c r="C476" s="65" t="n">
        <f aca="false">246500+105000+65000</f>
        <v>416500</v>
      </c>
      <c r="D476" s="65" t="n">
        <f aca="false">E476-C476</f>
        <v>0</v>
      </c>
      <c r="E476" s="66" t="n">
        <v>416500</v>
      </c>
    </row>
    <row r="477" customFormat="false" ht="15" hidden="false" customHeight="false" outlineLevel="0" collapsed="false">
      <c r="A477" s="44" t="n">
        <v>15</v>
      </c>
      <c r="B477" s="11" t="s">
        <v>708</v>
      </c>
      <c r="C477" s="65" t="n">
        <f aca="false">250000</f>
        <v>250000</v>
      </c>
      <c r="D477" s="65" t="n">
        <f aca="false">E477-C477</f>
        <v>166500</v>
      </c>
      <c r="E477" s="66" t="n">
        <v>416500</v>
      </c>
    </row>
    <row r="478" customFormat="false" ht="15" hidden="false" customHeight="false" outlineLevel="0" collapsed="false">
      <c r="A478" s="44" t="n">
        <v>16</v>
      </c>
      <c r="B478" s="11" t="s">
        <v>709</v>
      </c>
      <c r="C478" s="65"/>
      <c r="D478" s="65" t="n">
        <f aca="false">E478-C478</f>
        <v>416500</v>
      </c>
      <c r="E478" s="66" t="n">
        <v>416500</v>
      </c>
    </row>
    <row r="479" customFormat="false" ht="15" hidden="false" customHeight="false" outlineLevel="0" collapsed="false">
      <c r="A479" s="44" t="n">
        <v>17</v>
      </c>
      <c r="B479" s="11" t="s">
        <v>710</v>
      </c>
      <c r="C479" s="65"/>
      <c r="D479" s="65" t="n">
        <f aca="false">E479-C479</f>
        <v>416500</v>
      </c>
      <c r="E479" s="66" t="n">
        <v>416500</v>
      </c>
    </row>
    <row r="480" customFormat="false" ht="15" hidden="false" customHeight="false" outlineLevel="0" collapsed="false">
      <c r="A480" s="44" t="n">
        <v>18</v>
      </c>
      <c r="B480" s="11" t="s">
        <v>711</v>
      </c>
      <c r="C480" s="65" t="n">
        <v>416500</v>
      </c>
      <c r="D480" s="65" t="n">
        <f aca="false">E480-C480</f>
        <v>0</v>
      </c>
      <c r="E480" s="66" t="n">
        <v>416500</v>
      </c>
    </row>
    <row r="481" customFormat="false" ht="15" hidden="false" customHeight="false" outlineLevel="0" collapsed="false">
      <c r="A481" s="44" t="n">
        <v>19</v>
      </c>
      <c r="B481" s="11" t="s">
        <v>712</v>
      </c>
      <c r="C481" s="65" t="n">
        <f aca="false">210000+100000+105000+1500</f>
        <v>416500</v>
      </c>
      <c r="D481" s="65" t="n">
        <f aca="false">E481-C481</f>
        <v>0</v>
      </c>
      <c r="E481" s="66" t="n">
        <v>416500</v>
      </c>
    </row>
    <row r="482" customFormat="false" ht="15" hidden="false" customHeight="false" outlineLevel="0" collapsed="false">
      <c r="A482" s="44" t="n">
        <v>20</v>
      </c>
      <c r="B482" s="11" t="s">
        <v>713</v>
      </c>
      <c r="C482" s="65" t="n">
        <f aca="false">250000</f>
        <v>250000</v>
      </c>
      <c r="D482" s="65" t="n">
        <f aca="false">E482-C482</f>
        <v>166500</v>
      </c>
      <c r="E482" s="66" t="n">
        <v>416500</v>
      </c>
    </row>
    <row r="483" customFormat="false" ht="15" hidden="false" customHeight="false" outlineLevel="0" collapsed="false">
      <c r="A483" s="44" t="n">
        <v>21</v>
      </c>
      <c r="B483" s="11" t="s">
        <v>714</v>
      </c>
      <c r="C483" s="65"/>
      <c r="D483" s="65" t="n">
        <f aca="false">E483-C483</f>
        <v>416500</v>
      </c>
      <c r="E483" s="66" t="n">
        <v>416500</v>
      </c>
    </row>
    <row r="484" customFormat="false" ht="15" hidden="false" customHeight="false" outlineLevel="0" collapsed="false">
      <c r="A484" s="44" t="n">
        <v>22</v>
      </c>
      <c r="B484" s="11" t="s">
        <v>715</v>
      </c>
      <c r="C484" s="65"/>
      <c r="D484" s="65" t="n">
        <f aca="false">E484-C484</f>
        <v>416500</v>
      </c>
      <c r="E484" s="66" t="n">
        <v>416500</v>
      </c>
    </row>
    <row r="485" customFormat="false" ht="15" hidden="false" customHeight="false" outlineLevel="0" collapsed="false">
      <c r="A485" s="44" t="n">
        <v>23</v>
      </c>
      <c r="B485" s="11" t="s">
        <v>716</v>
      </c>
      <c r="C485" s="65" t="n">
        <v>216500</v>
      </c>
      <c r="D485" s="65" t="n">
        <f aca="false">E485-C485</f>
        <v>200000</v>
      </c>
      <c r="E485" s="66" t="n">
        <v>416500</v>
      </c>
    </row>
    <row r="486" customFormat="false" ht="15" hidden="false" customHeight="false" outlineLevel="0" collapsed="false">
      <c r="A486" s="44" t="n">
        <v>24</v>
      </c>
      <c r="B486" s="11" t="s">
        <v>717</v>
      </c>
      <c r="C486" s="65"/>
      <c r="D486" s="65" t="n">
        <f aca="false">E486-C486</f>
        <v>416500</v>
      </c>
      <c r="E486" s="66" t="n">
        <v>416500</v>
      </c>
    </row>
    <row r="487" customFormat="false" ht="15" hidden="false" customHeight="false" outlineLevel="0" collapsed="false">
      <c r="A487" s="44" t="n">
        <v>25</v>
      </c>
      <c r="B487" s="11" t="s">
        <v>718</v>
      </c>
      <c r="C487" s="65" t="n">
        <f aca="false">116500+50000+80000+170000</f>
        <v>416500</v>
      </c>
      <c r="D487" s="65" t="n">
        <f aca="false">E487-C487</f>
        <v>0</v>
      </c>
      <c r="E487" s="66" t="n">
        <v>416500</v>
      </c>
    </row>
    <row r="488" customFormat="false" ht="15" hidden="false" customHeight="false" outlineLevel="0" collapsed="false">
      <c r="A488" s="44" t="n">
        <v>26</v>
      </c>
      <c r="B488" s="11" t="s">
        <v>719</v>
      </c>
      <c r="C488" s="65"/>
      <c r="D488" s="65" t="n">
        <f aca="false">E488-C488</f>
        <v>416500</v>
      </c>
      <c r="E488" s="66" t="n">
        <v>416500</v>
      </c>
    </row>
    <row r="489" customFormat="false" ht="15" hidden="false" customHeight="false" outlineLevel="0" collapsed="false">
      <c r="A489" s="44" t="n">
        <v>27</v>
      </c>
      <c r="B489" s="11" t="s">
        <v>720</v>
      </c>
      <c r="C489" s="65"/>
      <c r="D489" s="65" t="n">
        <f aca="false">E489-C489</f>
        <v>416500</v>
      </c>
      <c r="E489" s="66" t="n">
        <v>416500</v>
      </c>
    </row>
    <row r="490" customFormat="false" ht="15" hidden="false" customHeight="false" outlineLevel="0" collapsed="false">
      <c r="A490" s="44" t="n">
        <v>28</v>
      </c>
      <c r="B490" s="11" t="s">
        <v>721</v>
      </c>
      <c r="C490" s="65" t="n">
        <f aca="false">100000+300000+16500</f>
        <v>416500</v>
      </c>
      <c r="D490" s="65" t="n">
        <f aca="false">E490-C490</f>
        <v>0</v>
      </c>
      <c r="E490" s="66" t="n">
        <v>416500</v>
      </c>
    </row>
    <row r="491" customFormat="false" ht="15" hidden="false" customHeight="false" outlineLevel="0" collapsed="false">
      <c r="A491" s="44" t="n">
        <v>29</v>
      </c>
      <c r="B491" s="11" t="s">
        <v>722</v>
      </c>
      <c r="C491" s="65"/>
      <c r="D491" s="65" t="n">
        <f aca="false">E491-C491</f>
        <v>416500</v>
      </c>
      <c r="E491" s="66" t="n">
        <v>416500</v>
      </c>
    </row>
    <row r="492" customFormat="false" ht="15" hidden="false" customHeight="false" outlineLevel="0" collapsed="false">
      <c r="A492" s="44" t="n">
        <v>30</v>
      </c>
      <c r="B492" s="11" t="s">
        <v>723</v>
      </c>
      <c r="C492" s="65" t="n">
        <f aca="false">120000</f>
        <v>120000</v>
      </c>
      <c r="D492" s="65" t="n">
        <f aca="false">E492-C492</f>
        <v>296500</v>
      </c>
      <c r="E492" s="66" t="n">
        <v>416500</v>
      </c>
    </row>
    <row r="493" customFormat="false" ht="15" hidden="false" customHeight="false" outlineLevel="0" collapsed="false">
      <c r="A493" s="44" t="n">
        <v>31</v>
      </c>
      <c r="B493" s="11" t="s">
        <v>724</v>
      </c>
      <c r="C493" s="65" t="n">
        <f aca="false">99500</f>
        <v>99500</v>
      </c>
      <c r="D493" s="65" t="n">
        <f aca="false">E493-C493</f>
        <v>317000</v>
      </c>
      <c r="E493" s="66" t="n">
        <v>416500</v>
      </c>
    </row>
    <row r="494" customFormat="false" ht="15" hidden="false" customHeight="false" outlineLevel="0" collapsed="false">
      <c r="A494" s="44" t="n">
        <v>32</v>
      </c>
      <c r="B494" s="11" t="s">
        <v>725</v>
      </c>
      <c r="C494" s="65" t="n">
        <f aca="false">286000</f>
        <v>286000</v>
      </c>
      <c r="D494" s="65" t="n">
        <f aca="false">E494-C494</f>
        <v>130500</v>
      </c>
      <c r="E494" s="66" t="n">
        <v>416500</v>
      </c>
    </row>
    <row r="495" customFormat="false" ht="15" hidden="false" customHeight="false" outlineLevel="0" collapsed="false">
      <c r="A495" s="44" t="n">
        <v>33</v>
      </c>
      <c r="B495" s="11" t="s">
        <v>726</v>
      </c>
      <c r="C495" s="65" t="n">
        <f aca="false">200000+100000+90000+26500</f>
        <v>416500</v>
      </c>
      <c r="D495" s="65" t="n">
        <f aca="false">E495-C495</f>
        <v>0</v>
      </c>
      <c r="E495" s="66" t="n">
        <v>416500</v>
      </c>
    </row>
    <row r="496" customFormat="false" ht="15" hidden="false" customHeight="false" outlineLevel="0" collapsed="false">
      <c r="A496" s="44" t="n">
        <v>34</v>
      </c>
      <c r="B496" s="11" t="s">
        <v>727</v>
      </c>
      <c r="C496" s="65" t="n">
        <v>200000</v>
      </c>
      <c r="D496" s="65" t="n">
        <f aca="false">E496-C496</f>
        <v>216500</v>
      </c>
      <c r="E496" s="66" t="n">
        <v>416500</v>
      </c>
    </row>
    <row r="497" customFormat="false" ht="19.7" hidden="false" customHeight="false" outlineLevel="0" collapsed="false">
      <c r="A497" s="74"/>
      <c r="B497" s="16" t="s">
        <v>60</v>
      </c>
      <c r="C497" s="24" t="n">
        <f aca="false">SUM(C463:C496)</f>
        <v>6620000</v>
      </c>
      <c r="D497" s="18" t="n">
        <f aca="false">SUM(D463:D496)</f>
        <v>7541000</v>
      </c>
      <c r="E497" s="75" t="n">
        <f aca="false">SUM(E463:E496)</f>
        <v>14161000</v>
      </c>
    </row>
    <row r="501" customFormat="false" ht="15" hidden="false" customHeight="false" outlineLevel="0" collapsed="false">
      <c r="A501" s="38"/>
    </row>
    <row r="502" customFormat="false" ht="15" hidden="false" customHeight="false" outlineLevel="0" collapsed="false">
      <c r="A502" s="38"/>
    </row>
    <row r="503" customFormat="false" ht="15" hidden="false" customHeight="false" outlineLevel="0" collapsed="false">
      <c r="A503" s="38"/>
    </row>
    <row r="504" customFormat="false" ht="15" hidden="false" customHeight="false" outlineLevel="0" collapsed="false">
      <c r="A504" s="38"/>
    </row>
    <row r="505" customFormat="false" ht="15" hidden="false" customHeight="false" outlineLevel="0" collapsed="false">
      <c r="A505" s="38"/>
    </row>
    <row r="506" customFormat="false" ht="17.35" hidden="false" customHeight="false" outlineLevel="0" collapsed="false">
      <c r="A506" s="37"/>
      <c r="B506" s="1" t="s">
        <v>0</v>
      </c>
    </row>
    <row r="507" customFormat="false" ht="15" hidden="false" customHeight="false" outlineLevel="0" collapsed="false">
      <c r="A507" s="38"/>
    </row>
    <row r="508" customFormat="false" ht="17.35" hidden="false" customHeight="false" outlineLevel="0" collapsed="false">
      <c r="A508" s="38"/>
      <c r="B508" s="39" t="s">
        <v>411</v>
      </c>
    </row>
    <row r="509" customFormat="false" ht="15" hidden="false" customHeight="false" outlineLevel="0" collapsed="false">
      <c r="A509" s="38"/>
      <c r="B509" s="3" t="s">
        <v>133</v>
      </c>
    </row>
    <row r="510" customFormat="false" ht="15" hidden="false" customHeight="false" outlineLevel="0" collapsed="false">
      <c r="A510" s="38"/>
    </row>
    <row r="511" customFormat="false" ht="15" hidden="false" customHeight="false" outlineLevel="0" collapsed="false">
      <c r="A511" s="40" t="s">
        <v>4</v>
      </c>
      <c r="B511" s="6" t="s">
        <v>5</v>
      </c>
      <c r="C511" s="7" t="s">
        <v>6</v>
      </c>
      <c r="D511" s="8" t="s">
        <v>7</v>
      </c>
      <c r="E511" s="9" t="s">
        <v>8</v>
      </c>
    </row>
    <row r="512" customFormat="false" ht="15" hidden="false" customHeight="false" outlineLevel="0" collapsed="false">
      <c r="A512" s="44" t="n">
        <v>1</v>
      </c>
      <c r="B512" s="11" t="s">
        <v>728</v>
      </c>
      <c r="C512" s="65" t="n">
        <f aca="false">100000+100000+36500+116500+63500</f>
        <v>416500</v>
      </c>
      <c r="D512" s="65" t="n">
        <v>0</v>
      </c>
      <c r="E512" s="66" t="n">
        <v>416500</v>
      </c>
    </row>
    <row r="513" customFormat="false" ht="15" hidden="false" customHeight="false" outlineLevel="0" collapsed="false">
      <c r="A513" s="44" t="n">
        <v>2</v>
      </c>
      <c r="B513" s="11" t="s">
        <v>729</v>
      </c>
      <c r="C513" s="65" t="n">
        <f aca="false">200000+216500</f>
        <v>416500</v>
      </c>
      <c r="D513" s="65" t="n">
        <f aca="false">E513-C513</f>
        <v>0</v>
      </c>
      <c r="E513" s="66" t="n">
        <v>416500</v>
      </c>
    </row>
    <row r="514" customFormat="false" ht="15" hidden="false" customHeight="false" outlineLevel="0" collapsed="false">
      <c r="A514" s="44" t="n">
        <v>3</v>
      </c>
      <c r="B514" s="72" t="s">
        <v>730</v>
      </c>
      <c r="C514" s="73" t="s">
        <v>433</v>
      </c>
      <c r="D514" s="67" t="n">
        <v>616500</v>
      </c>
      <c r="E514" s="66" t="n">
        <v>616500</v>
      </c>
    </row>
    <row r="515" customFormat="false" ht="15" hidden="false" customHeight="false" outlineLevel="0" collapsed="false">
      <c r="A515" s="44" t="n">
        <v>4</v>
      </c>
      <c r="B515" s="11" t="s">
        <v>731</v>
      </c>
      <c r="C515" s="65" t="n">
        <f aca="false">30000+80000+46500+40000+50000+120000+50000</f>
        <v>416500</v>
      </c>
      <c r="D515" s="65" t="n">
        <f aca="false">E515-C515</f>
        <v>0</v>
      </c>
      <c r="E515" s="66" t="n">
        <v>416500</v>
      </c>
    </row>
    <row r="516" customFormat="false" ht="15" hidden="false" customHeight="false" outlineLevel="0" collapsed="false">
      <c r="A516" s="44" t="n">
        <v>5</v>
      </c>
      <c r="B516" s="11" t="s">
        <v>732</v>
      </c>
      <c r="C516" s="65"/>
      <c r="D516" s="65" t="n">
        <f aca="false">E516-C516</f>
        <v>416500</v>
      </c>
      <c r="E516" s="66" t="n">
        <v>416500</v>
      </c>
    </row>
    <row r="517" customFormat="false" ht="15" hidden="false" customHeight="false" outlineLevel="0" collapsed="false">
      <c r="A517" s="44" t="n">
        <v>6</v>
      </c>
      <c r="B517" s="72" t="s">
        <v>733</v>
      </c>
      <c r="C517" s="73" t="s">
        <v>433</v>
      </c>
      <c r="D517" s="67" t="n">
        <v>616500</v>
      </c>
      <c r="E517" s="66" t="n">
        <v>616500</v>
      </c>
    </row>
    <row r="518" customFormat="false" ht="15" hidden="false" customHeight="false" outlineLevel="0" collapsed="false">
      <c r="A518" s="44" t="n">
        <v>7</v>
      </c>
      <c r="B518" s="72" t="s">
        <v>734</v>
      </c>
      <c r="C518" s="73" t="s">
        <v>433</v>
      </c>
      <c r="D518" s="67" t="n">
        <v>616500</v>
      </c>
      <c r="E518" s="66" t="n">
        <v>616500</v>
      </c>
    </row>
    <row r="519" customFormat="false" ht="15" hidden="false" customHeight="false" outlineLevel="0" collapsed="false">
      <c r="A519" s="44" t="n">
        <v>8</v>
      </c>
      <c r="B519" s="11" t="s">
        <v>735</v>
      </c>
      <c r="C519" s="65"/>
      <c r="D519" s="65" t="n">
        <f aca="false">E519-C519</f>
        <v>416500</v>
      </c>
      <c r="E519" s="66" t="n">
        <v>416500</v>
      </c>
    </row>
    <row r="520" customFormat="false" ht="15" hidden="false" customHeight="false" outlineLevel="0" collapsed="false">
      <c r="A520" s="44" t="n">
        <v>9</v>
      </c>
      <c r="B520" s="11" t="s">
        <v>736</v>
      </c>
      <c r="C520" s="65" t="n">
        <f aca="false">16500+20000+200000+180000</f>
        <v>416500</v>
      </c>
      <c r="D520" s="65" t="n">
        <f aca="false">E520-C520</f>
        <v>0</v>
      </c>
      <c r="E520" s="66" t="n">
        <v>416500</v>
      </c>
    </row>
    <row r="521" customFormat="false" ht="15" hidden="false" customHeight="false" outlineLevel="0" collapsed="false">
      <c r="A521" s="44" t="n">
        <v>10</v>
      </c>
      <c r="B521" s="11" t="s">
        <v>737</v>
      </c>
      <c r="C521" s="65" t="n">
        <f aca="false">416500</f>
        <v>416500</v>
      </c>
      <c r="D521" s="65" t="n">
        <f aca="false">E521-C521</f>
        <v>0</v>
      </c>
      <c r="E521" s="66" t="n">
        <v>416500</v>
      </c>
    </row>
    <row r="522" customFormat="false" ht="15" hidden="false" customHeight="false" outlineLevel="0" collapsed="false">
      <c r="A522" s="44" t="n">
        <v>11</v>
      </c>
      <c r="B522" s="11" t="s">
        <v>738</v>
      </c>
      <c r="C522" s="65" t="n">
        <f aca="false">50000+100000</f>
        <v>150000</v>
      </c>
      <c r="D522" s="65" t="n">
        <f aca="false">E522-C522</f>
        <v>266500</v>
      </c>
      <c r="E522" s="66" t="n">
        <v>416500</v>
      </c>
    </row>
    <row r="523" customFormat="false" ht="15" hidden="false" customHeight="false" outlineLevel="0" collapsed="false">
      <c r="A523" s="44" t="n">
        <v>12</v>
      </c>
      <c r="B523" s="11" t="s">
        <v>739</v>
      </c>
      <c r="C523" s="65"/>
      <c r="D523" s="65" t="n">
        <f aca="false">E523-C523</f>
        <v>416500</v>
      </c>
      <c r="E523" s="66" t="n">
        <v>416500</v>
      </c>
    </row>
    <row r="524" customFormat="false" ht="15" hidden="false" customHeight="false" outlineLevel="0" collapsed="false">
      <c r="A524" s="44" t="n">
        <v>13</v>
      </c>
      <c r="B524" s="11" t="s">
        <v>740</v>
      </c>
      <c r="C524" s="65"/>
      <c r="D524" s="65" t="n">
        <f aca="false">E524-C524</f>
        <v>416500</v>
      </c>
      <c r="E524" s="66" t="n">
        <v>416500</v>
      </c>
    </row>
    <row r="525" customFormat="false" ht="15" hidden="false" customHeight="false" outlineLevel="0" collapsed="false">
      <c r="A525" s="44" t="n">
        <v>14</v>
      </c>
      <c r="B525" s="11" t="s">
        <v>741</v>
      </c>
      <c r="C525" s="65" t="n">
        <f aca="false">100000+150000+50000+83000+33500</f>
        <v>416500</v>
      </c>
      <c r="D525" s="65" t="n">
        <f aca="false">E525-C525</f>
        <v>0</v>
      </c>
      <c r="E525" s="66" t="n">
        <v>416500</v>
      </c>
    </row>
    <row r="526" customFormat="false" ht="15" hidden="false" customHeight="false" outlineLevel="0" collapsed="false">
      <c r="A526" s="44" t="n">
        <v>15</v>
      </c>
      <c r="B526" s="11" t="s">
        <v>742</v>
      </c>
      <c r="C526" s="65" t="n">
        <f aca="false">120000</f>
        <v>120000</v>
      </c>
      <c r="D526" s="65" t="n">
        <f aca="false">E526-C526</f>
        <v>296500</v>
      </c>
      <c r="E526" s="66" t="n">
        <v>416500</v>
      </c>
    </row>
    <row r="527" customFormat="false" ht="15" hidden="false" customHeight="false" outlineLevel="0" collapsed="false">
      <c r="A527" s="44" t="n">
        <v>16</v>
      </c>
      <c r="B527" s="11" t="s">
        <v>743</v>
      </c>
      <c r="C527" s="84" t="n">
        <f aca="false">400000</f>
        <v>400000</v>
      </c>
      <c r="D527" s="65" t="n">
        <f aca="false">E527-C527</f>
        <v>16500</v>
      </c>
      <c r="E527" s="66" t="n">
        <v>416500</v>
      </c>
    </row>
    <row r="528" customFormat="false" ht="15" hidden="false" customHeight="false" outlineLevel="0" collapsed="false">
      <c r="A528" s="44" t="n">
        <v>17</v>
      </c>
      <c r="B528" s="72" t="s">
        <v>744</v>
      </c>
      <c r="C528" s="73" t="s">
        <v>433</v>
      </c>
      <c r="D528" s="67" t="n">
        <v>616500</v>
      </c>
      <c r="E528" s="66" t="n">
        <v>616500</v>
      </c>
    </row>
    <row r="529" customFormat="false" ht="15" hidden="false" customHeight="false" outlineLevel="0" collapsed="false">
      <c r="A529" s="44" t="n">
        <v>18</v>
      </c>
      <c r="B529" s="11" t="s">
        <v>745</v>
      </c>
      <c r="C529" s="65" t="n">
        <f aca="false">50000+200000+50000+117000</f>
        <v>417000</v>
      </c>
      <c r="D529" s="65" t="n">
        <f aca="false">E529-C529</f>
        <v>-500</v>
      </c>
      <c r="E529" s="66" t="n">
        <v>416500</v>
      </c>
    </row>
    <row r="530" customFormat="false" ht="15" hidden="false" customHeight="false" outlineLevel="0" collapsed="false">
      <c r="A530" s="44" t="n">
        <v>19</v>
      </c>
      <c r="B530" s="11" t="s">
        <v>746</v>
      </c>
      <c r="C530" s="65" t="n">
        <f aca="false">80000+55500+281000</f>
        <v>416500</v>
      </c>
      <c r="D530" s="65" t="n">
        <f aca="false">E530-C530</f>
        <v>0</v>
      </c>
      <c r="E530" s="66" t="n">
        <v>416500</v>
      </c>
    </row>
    <row r="531" customFormat="false" ht="15" hidden="false" customHeight="false" outlineLevel="0" collapsed="false">
      <c r="A531" s="44" t="n">
        <v>20</v>
      </c>
      <c r="B531" s="11" t="s">
        <v>747</v>
      </c>
      <c r="C531" s="65" t="n">
        <v>216000</v>
      </c>
      <c r="D531" s="65" t="n">
        <f aca="false">E531-C531</f>
        <v>200500</v>
      </c>
      <c r="E531" s="66" t="n">
        <v>416500</v>
      </c>
    </row>
    <row r="532" customFormat="false" ht="15" hidden="false" customHeight="false" outlineLevel="0" collapsed="false">
      <c r="A532" s="44" t="n">
        <v>21</v>
      </c>
      <c r="B532" s="11" t="s">
        <v>748</v>
      </c>
      <c r="C532" s="65" t="n">
        <f aca="false">100000+150000+166000+500</f>
        <v>416500</v>
      </c>
      <c r="D532" s="65" t="n">
        <f aca="false">E532-C532</f>
        <v>0</v>
      </c>
      <c r="E532" s="66" t="n">
        <v>416500</v>
      </c>
    </row>
    <row r="533" customFormat="false" ht="15" hidden="false" customHeight="false" outlineLevel="0" collapsed="false">
      <c r="A533" s="44" t="n">
        <v>22</v>
      </c>
      <c r="B533" s="11" t="s">
        <v>749</v>
      </c>
      <c r="C533" s="65"/>
      <c r="D533" s="65" t="n">
        <f aca="false">E533-C533</f>
        <v>416500</v>
      </c>
      <c r="E533" s="66" t="n">
        <v>416500</v>
      </c>
    </row>
    <row r="534" customFormat="false" ht="15" hidden="false" customHeight="false" outlineLevel="0" collapsed="false">
      <c r="A534" s="44" t="n">
        <v>24</v>
      </c>
      <c r="B534" s="11" t="s">
        <v>750</v>
      </c>
      <c r="C534" s="65" t="n">
        <f aca="false">100000+150000</f>
        <v>250000</v>
      </c>
      <c r="D534" s="65" t="n">
        <f aca="false">E534-C534</f>
        <v>166500</v>
      </c>
      <c r="E534" s="66" t="n">
        <v>416500</v>
      </c>
    </row>
    <row r="535" customFormat="false" ht="15" hidden="false" customHeight="false" outlineLevel="0" collapsed="false">
      <c r="A535" s="44" t="n">
        <v>25</v>
      </c>
      <c r="B535" s="11" t="s">
        <v>751</v>
      </c>
      <c r="C535" s="65"/>
      <c r="D535" s="65" t="n">
        <f aca="false">E535-C535</f>
        <v>416500</v>
      </c>
      <c r="E535" s="66" t="n">
        <v>416500</v>
      </c>
    </row>
    <row r="536" customFormat="false" ht="15" hidden="false" customHeight="false" outlineLevel="0" collapsed="false">
      <c r="A536" s="44" t="n">
        <v>26</v>
      </c>
      <c r="B536" s="11" t="s">
        <v>752</v>
      </c>
      <c r="C536" s="65" t="n">
        <f aca="false">126500+290000</f>
        <v>416500</v>
      </c>
      <c r="D536" s="65" t="n">
        <f aca="false">E536-C536</f>
        <v>0</v>
      </c>
      <c r="E536" s="66" t="n">
        <v>416500</v>
      </c>
    </row>
    <row r="537" customFormat="false" ht="19.7" hidden="false" customHeight="false" outlineLevel="0" collapsed="false">
      <c r="A537" s="74"/>
      <c r="B537" s="16" t="s">
        <v>60</v>
      </c>
      <c r="C537" s="24" t="n">
        <f aca="false">SUM(C512:C536)</f>
        <v>5301500</v>
      </c>
      <c r="D537" s="18" t="n">
        <f aca="false">SUM(D512:D536)</f>
        <v>5911000</v>
      </c>
      <c r="E537" s="75" t="n">
        <f aca="false">SUM(E512:E536)</f>
        <v>11212500</v>
      </c>
    </row>
    <row r="543" customFormat="false" ht="15" hidden="false" customHeight="false" outlineLevel="0" collapsed="false">
      <c r="A543" s="38"/>
    </row>
    <row r="544" customFormat="false" ht="15" hidden="false" customHeight="false" outlineLevel="0" collapsed="false">
      <c r="A544" s="38"/>
    </row>
    <row r="545" customFormat="false" ht="15" hidden="false" customHeight="false" outlineLevel="0" collapsed="false">
      <c r="A545" s="38"/>
    </row>
    <row r="546" customFormat="false" ht="15" hidden="false" customHeight="false" outlineLevel="0" collapsed="false">
      <c r="A546" s="38"/>
    </row>
    <row r="547" customFormat="false" ht="15" hidden="false" customHeight="false" outlineLevel="0" collapsed="false">
      <c r="A547" s="38"/>
    </row>
    <row r="548" customFormat="false" ht="15" hidden="false" customHeight="false" outlineLevel="0" collapsed="false">
      <c r="A548" s="38"/>
    </row>
    <row r="549" customFormat="false" ht="15" hidden="false" customHeight="false" outlineLevel="0" collapsed="false">
      <c r="A549" s="38"/>
    </row>
    <row r="550" customFormat="false" ht="15" hidden="false" customHeight="false" outlineLevel="0" collapsed="false">
      <c r="A550" s="38"/>
    </row>
    <row r="551" customFormat="false" ht="15" hidden="false" customHeight="false" outlineLevel="0" collapsed="false">
      <c r="A551" s="38"/>
    </row>
    <row r="552" customFormat="false" ht="15" hidden="false" customHeight="false" outlineLevel="0" collapsed="false">
      <c r="A552" s="38"/>
    </row>
    <row r="553" customFormat="false" ht="15" hidden="false" customHeight="false" outlineLevel="0" collapsed="false">
      <c r="A553" s="38"/>
    </row>
    <row r="554" customFormat="false" ht="17.35" hidden="false" customHeight="false" outlineLevel="0" collapsed="false">
      <c r="A554" s="37"/>
      <c r="B554" s="1" t="s">
        <v>0</v>
      </c>
    </row>
    <row r="555" customFormat="false" ht="15" hidden="false" customHeight="false" outlineLevel="0" collapsed="false">
      <c r="A555" s="38"/>
    </row>
    <row r="556" customFormat="false" ht="17.35" hidden="false" customHeight="false" outlineLevel="0" collapsed="false">
      <c r="A556" s="38"/>
      <c r="B556" s="39" t="s">
        <v>446</v>
      </c>
    </row>
    <row r="557" customFormat="false" ht="15" hidden="false" customHeight="false" outlineLevel="0" collapsed="false">
      <c r="A557" s="38"/>
      <c r="B557" s="3" t="s">
        <v>133</v>
      </c>
    </row>
    <row r="558" customFormat="false" ht="15" hidden="false" customHeight="false" outlineLevel="0" collapsed="false">
      <c r="A558" s="38"/>
    </row>
    <row r="559" customFormat="false" ht="15" hidden="false" customHeight="false" outlineLevel="0" collapsed="false">
      <c r="A559" s="40" t="s">
        <v>4</v>
      </c>
      <c r="B559" s="6" t="s">
        <v>5</v>
      </c>
      <c r="C559" s="7" t="s">
        <v>6</v>
      </c>
      <c r="D559" s="8" t="s">
        <v>7</v>
      </c>
      <c r="E559" s="9" t="s">
        <v>8</v>
      </c>
    </row>
    <row r="560" customFormat="false" ht="15" hidden="false" customHeight="false" outlineLevel="0" collapsed="false">
      <c r="A560" s="44" t="n">
        <v>1</v>
      </c>
      <c r="B560" s="11" t="s">
        <v>753</v>
      </c>
      <c r="C560" s="65"/>
      <c r="D560" s="65" t="n">
        <f aca="false">E560-C560</f>
        <v>416500</v>
      </c>
      <c r="E560" s="66" t="n">
        <v>416500</v>
      </c>
    </row>
    <row r="561" customFormat="false" ht="15" hidden="false" customHeight="false" outlineLevel="0" collapsed="false">
      <c r="A561" s="44" t="n">
        <v>2</v>
      </c>
      <c r="B561" s="11" t="s">
        <v>754</v>
      </c>
      <c r="C561" s="65" t="n">
        <f aca="false">416500</f>
        <v>416500</v>
      </c>
      <c r="D561" s="65" t="n">
        <f aca="false">E561-C561</f>
        <v>0</v>
      </c>
      <c r="E561" s="66" t="n">
        <v>416500</v>
      </c>
    </row>
    <row r="562" customFormat="false" ht="15" hidden="false" customHeight="false" outlineLevel="0" collapsed="false">
      <c r="A562" s="44" t="n">
        <v>3</v>
      </c>
      <c r="B562" s="11" t="s">
        <v>755</v>
      </c>
      <c r="C562" s="65"/>
      <c r="D562" s="65" t="n">
        <f aca="false">E562-C562</f>
        <v>416500</v>
      </c>
      <c r="E562" s="66" t="n">
        <v>416500</v>
      </c>
    </row>
    <row r="563" customFormat="false" ht="15" hidden="false" customHeight="false" outlineLevel="0" collapsed="false">
      <c r="A563" s="44" t="n">
        <v>4</v>
      </c>
      <c r="B563" s="11" t="s">
        <v>756</v>
      </c>
      <c r="C563" s="65"/>
      <c r="D563" s="65" t="n">
        <f aca="false">E563-C563</f>
        <v>416500</v>
      </c>
      <c r="E563" s="66" t="n">
        <v>416500</v>
      </c>
    </row>
    <row r="564" customFormat="false" ht="15" hidden="false" customHeight="false" outlineLevel="0" collapsed="false">
      <c r="A564" s="44" t="n">
        <v>5</v>
      </c>
      <c r="B564" s="11" t="s">
        <v>757</v>
      </c>
      <c r="C564" s="65" t="n">
        <v>200000</v>
      </c>
      <c r="D564" s="65" t="n">
        <f aca="false">E564-C564</f>
        <v>216500</v>
      </c>
      <c r="E564" s="66" t="n">
        <v>416500</v>
      </c>
    </row>
    <row r="565" customFormat="false" ht="15" hidden="false" customHeight="false" outlineLevel="0" collapsed="false">
      <c r="A565" s="44" t="n">
        <v>6</v>
      </c>
      <c r="B565" s="11" t="s">
        <v>758</v>
      </c>
      <c r="C565" s="65"/>
      <c r="D565" s="65" t="n">
        <f aca="false">E565-C565</f>
        <v>416500</v>
      </c>
      <c r="E565" s="66" t="n">
        <v>416500</v>
      </c>
    </row>
    <row r="566" customFormat="false" ht="15" hidden="false" customHeight="false" outlineLevel="0" collapsed="false">
      <c r="A566" s="44" t="n">
        <v>7</v>
      </c>
      <c r="B566" s="11" t="s">
        <v>759</v>
      </c>
      <c r="C566" s="65"/>
      <c r="D566" s="65" t="n">
        <f aca="false">E566-C566</f>
        <v>416500</v>
      </c>
      <c r="E566" s="66" t="n">
        <v>416500</v>
      </c>
    </row>
    <row r="567" customFormat="false" ht="15" hidden="false" customHeight="false" outlineLevel="0" collapsed="false">
      <c r="A567" s="44" t="n">
        <v>8</v>
      </c>
      <c r="B567" s="11" t="s">
        <v>760</v>
      </c>
      <c r="C567" s="65" t="n">
        <f aca="false">300000+16500+100000</f>
        <v>416500</v>
      </c>
      <c r="D567" s="65" t="n">
        <f aca="false">E567-C567</f>
        <v>0</v>
      </c>
      <c r="E567" s="66" t="n">
        <v>416500</v>
      </c>
    </row>
    <row r="568" customFormat="false" ht="15" hidden="false" customHeight="false" outlineLevel="0" collapsed="false">
      <c r="A568" s="44" t="n">
        <v>9</v>
      </c>
      <c r="B568" s="11" t="s">
        <v>761</v>
      </c>
      <c r="C568" s="65" t="n">
        <f aca="false">3500+20000+50000+50000+110000+115000+68000</f>
        <v>416500</v>
      </c>
      <c r="D568" s="65" t="n">
        <f aca="false">E568-C568</f>
        <v>0</v>
      </c>
      <c r="E568" s="66" t="n">
        <v>416500</v>
      </c>
    </row>
    <row r="569" customFormat="false" ht="15" hidden="false" customHeight="false" outlineLevel="0" collapsed="false">
      <c r="A569" s="44" t="n">
        <v>10</v>
      </c>
      <c r="B569" s="11" t="s">
        <v>762</v>
      </c>
      <c r="C569" s="65" t="n">
        <f aca="false">216000+205000</f>
        <v>421000</v>
      </c>
      <c r="D569" s="65" t="n">
        <f aca="false">E569-C569</f>
        <v>-4500</v>
      </c>
      <c r="E569" s="66" t="n">
        <v>416500</v>
      </c>
    </row>
    <row r="570" customFormat="false" ht="15" hidden="false" customHeight="false" outlineLevel="0" collapsed="false">
      <c r="A570" s="44" t="n">
        <v>11</v>
      </c>
      <c r="B570" s="78" t="s">
        <v>763</v>
      </c>
      <c r="C570" s="76" t="n">
        <v>416500</v>
      </c>
      <c r="D570" s="76" t="n">
        <f aca="false">E570-C570</f>
        <v>0</v>
      </c>
      <c r="E570" s="66" t="n">
        <v>416500</v>
      </c>
    </row>
    <row r="571" customFormat="false" ht="15" hidden="false" customHeight="false" outlineLevel="0" collapsed="false">
      <c r="A571" s="44" t="n">
        <v>12</v>
      </c>
      <c r="B571" s="11" t="s">
        <v>764</v>
      </c>
      <c r="C571" s="65"/>
      <c r="D571" s="65" t="n">
        <f aca="false">E571-C571</f>
        <v>416500</v>
      </c>
      <c r="E571" s="66" t="n">
        <v>416500</v>
      </c>
    </row>
    <row r="572" customFormat="false" ht="15" hidden="false" customHeight="false" outlineLevel="0" collapsed="false">
      <c r="A572" s="44" t="n">
        <v>13</v>
      </c>
      <c r="B572" s="11" t="s">
        <v>765</v>
      </c>
      <c r="C572" s="65"/>
      <c r="D572" s="65" t="n">
        <f aca="false">E572-C572</f>
        <v>416500</v>
      </c>
      <c r="E572" s="66" t="n">
        <v>416500</v>
      </c>
    </row>
    <row r="573" customFormat="false" ht="15" hidden="false" customHeight="false" outlineLevel="0" collapsed="false">
      <c r="A573" s="44" t="n">
        <v>14</v>
      </c>
      <c r="B573" s="11" t="s">
        <v>766</v>
      </c>
      <c r="C573" s="65"/>
      <c r="D573" s="65" t="n">
        <f aca="false">E573-C573</f>
        <v>416500</v>
      </c>
      <c r="E573" s="66" t="n">
        <v>416500</v>
      </c>
    </row>
    <row r="574" customFormat="false" ht="15" hidden="false" customHeight="false" outlineLevel="0" collapsed="false">
      <c r="A574" s="44" t="n">
        <v>15</v>
      </c>
      <c r="B574" s="11" t="s">
        <v>767</v>
      </c>
      <c r="C574" s="65"/>
      <c r="D574" s="65" t="n">
        <f aca="false">E574-C574</f>
        <v>416500</v>
      </c>
      <c r="E574" s="66" t="n">
        <v>416500</v>
      </c>
    </row>
    <row r="575" customFormat="false" ht="15" hidden="false" customHeight="false" outlineLevel="0" collapsed="false">
      <c r="A575" s="44" t="n">
        <v>16</v>
      </c>
      <c r="B575" s="11" t="s">
        <v>768</v>
      </c>
      <c r="C575" s="65" t="n">
        <f aca="false">416500</f>
        <v>416500</v>
      </c>
      <c r="D575" s="65" t="n">
        <f aca="false">E575-C575</f>
        <v>0</v>
      </c>
      <c r="E575" s="66" t="n">
        <v>416500</v>
      </c>
    </row>
    <row r="576" customFormat="false" ht="15" hidden="false" customHeight="false" outlineLevel="0" collapsed="false">
      <c r="A576" s="44" t="n">
        <v>17</v>
      </c>
      <c r="B576" s="11" t="s">
        <v>769</v>
      </c>
      <c r="C576" s="65"/>
      <c r="D576" s="65" t="n">
        <f aca="false">E576-C576</f>
        <v>416500</v>
      </c>
      <c r="E576" s="66" t="n">
        <v>416500</v>
      </c>
    </row>
    <row r="577" customFormat="false" ht="15" hidden="false" customHeight="false" outlineLevel="0" collapsed="false">
      <c r="A577" s="44" t="n">
        <v>18</v>
      </c>
      <c r="B577" s="11" t="s">
        <v>770</v>
      </c>
      <c r="C577" s="65"/>
      <c r="D577" s="65" t="n">
        <f aca="false">E577-C577</f>
        <v>416500</v>
      </c>
      <c r="E577" s="66" t="n">
        <v>416500</v>
      </c>
    </row>
    <row r="578" customFormat="false" ht="15" hidden="false" customHeight="false" outlineLevel="0" collapsed="false">
      <c r="A578" s="44" t="n">
        <v>19</v>
      </c>
      <c r="B578" s="11" t="s">
        <v>771</v>
      </c>
      <c r="C578" s="65" t="n">
        <f aca="false">50000+16500+40000+60000+200000+50000</f>
        <v>416500</v>
      </c>
      <c r="D578" s="65" t="n">
        <f aca="false">E578-C578</f>
        <v>0</v>
      </c>
      <c r="E578" s="66" t="n">
        <v>416500</v>
      </c>
    </row>
    <row r="579" customFormat="false" ht="15" hidden="false" customHeight="false" outlineLevel="0" collapsed="false">
      <c r="A579" s="44" t="n">
        <v>20</v>
      </c>
      <c r="B579" s="11" t="s">
        <v>772</v>
      </c>
      <c r="C579" s="65" t="n">
        <f aca="false">416500</f>
        <v>416500</v>
      </c>
      <c r="D579" s="65" t="n">
        <f aca="false">E579-C579</f>
        <v>0</v>
      </c>
      <c r="E579" s="66" t="n">
        <v>416500</v>
      </c>
    </row>
    <row r="580" customFormat="false" ht="15" hidden="false" customHeight="false" outlineLevel="0" collapsed="false">
      <c r="A580" s="44" t="n">
        <v>21</v>
      </c>
      <c r="B580" s="11" t="s">
        <v>773</v>
      </c>
      <c r="C580" s="65"/>
      <c r="D580" s="65" t="n">
        <f aca="false">E580-C580</f>
        <v>416500</v>
      </c>
      <c r="E580" s="66" t="n">
        <v>416500</v>
      </c>
    </row>
    <row r="581" customFormat="false" ht="15" hidden="false" customHeight="false" outlineLevel="0" collapsed="false">
      <c r="A581" s="44" t="n">
        <v>22</v>
      </c>
      <c r="B581" s="11" t="s">
        <v>774</v>
      </c>
      <c r="C581" s="65"/>
      <c r="D581" s="65" t="n">
        <f aca="false">E581-C581</f>
        <v>416500</v>
      </c>
      <c r="E581" s="66" t="n">
        <v>416500</v>
      </c>
    </row>
    <row r="582" customFormat="false" ht="15" hidden="false" customHeight="false" outlineLevel="0" collapsed="false">
      <c r="A582" s="44" t="n">
        <v>23</v>
      </c>
      <c r="B582" s="11" t="s">
        <v>775</v>
      </c>
      <c r="C582" s="65" t="n">
        <v>416500</v>
      </c>
      <c r="D582" s="65" t="n">
        <f aca="false">E582-C582</f>
        <v>0</v>
      </c>
      <c r="E582" s="66" t="n">
        <v>416500</v>
      </c>
    </row>
    <row r="583" customFormat="false" ht="15" hidden="false" customHeight="false" outlineLevel="0" collapsed="false">
      <c r="A583" s="44" t="n">
        <v>24</v>
      </c>
      <c r="B583" s="11" t="s">
        <v>776</v>
      </c>
      <c r="C583" s="65"/>
      <c r="D583" s="65" t="n">
        <f aca="false">E583-C583</f>
        <v>416500</v>
      </c>
      <c r="E583" s="66" t="n">
        <v>416500</v>
      </c>
    </row>
    <row r="584" customFormat="false" ht="15" hidden="false" customHeight="false" outlineLevel="0" collapsed="false">
      <c r="A584" s="44" t="n">
        <v>25</v>
      </c>
      <c r="B584" s="11" t="s">
        <v>777</v>
      </c>
      <c r="C584" s="65" t="n">
        <f aca="false">300000+50000+16500+50000</f>
        <v>416500</v>
      </c>
      <c r="D584" s="65" t="n">
        <f aca="false">E584-C584</f>
        <v>0</v>
      </c>
      <c r="E584" s="66" t="n">
        <v>416500</v>
      </c>
    </row>
    <row r="585" customFormat="false" ht="15" hidden="false" customHeight="false" outlineLevel="0" collapsed="false">
      <c r="A585" s="44" t="n">
        <v>26</v>
      </c>
      <c r="B585" s="11" t="s">
        <v>778</v>
      </c>
      <c r="C585" s="65" t="n">
        <f aca="false">93500+50000+273000</f>
        <v>416500</v>
      </c>
      <c r="D585" s="65" t="n">
        <f aca="false">E585-C585</f>
        <v>0</v>
      </c>
      <c r="E585" s="66" t="n">
        <v>416500</v>
      </c>
    </row>
    <row r="586" customFormat="false" ht="15" hidden="false" customHeight="false" outlineLevel="0" collapsed="false">
      <c r="A586" s="44" t="n">
        <v>27</v>
      </c>
      <c r="B586" s="11" t="s">
        <v>779</v>
      </c>
      <c r="C586" s="65" t="n">
        <f aca="false">100000+316000+500</f>
        <v>416500</v>
      </c>
      <c r="D586" s="65" t="n">
        <f aca="false">E586-C586</f>
        <v>0</v>
      </c>
      <c r="E586" s="66" t="n">
        <v>416500</v>
      </c>
    </row>
    <row r="587" customFormat="false" ht="15" hidden="false" customHeight="false" outlineLevel="0" collapsed="false">
      <c r="A587" s="44" t="n">
        <v>28</v>
      </c>
      <c r="B587" s="11" t="s">
        <v>780</v>
      </c>
      <c r="C587" s="65"/>
      <c r="D587" s="65" t="n">
        <f aca="false">E587-C587</f>
        <v>416500</v>
      </c>
      <c r="E587" s="66" t="n">
        <v>416500</v>
      </c>
    </row>
    <row r="588" customFormat="false" ht="15" hidden="false" customHeight="false" outlineLevel="0" collapsed="false">
      <c r="A588" s="44" t="n">
        <v>29</v>
      </c>
      <c r="B588" s="11" t="s">
        <v>781</v>
      </c>
      <c r="C588" s="65" t="n">
        <f aca="false">199500+100000+119000</f>
        <v>418500</v>
      </c>
      <c r="D588" s="65" t="n">
        <f aca="false">E588-C588</f>
        <v>-2000</v>
      </c>
      <c r="E588" s="66" t="n">
        <v>416500</v>
      </c>
    </row>
    <row r="589" customFormat="false" ht="15" hidden="false" customHeight="false" outlineLevel="0" collapsed="false">
      <c r="A589" s="44" t="n">
        <v>30</v>
      </c>
      <c r="B589" s="11" t="s">
        <v>782</v>
      </c>
      <c r="C589" s="65" t="n">
        <f aca="false">200000+66500+150000</f>
        <v>416500</v>
      </c>
      <c r="D589" s="65" t="n">
        <f aca="false">E589-C589</f>
        <v>0</v>
      </c>
      <c r="E589" s="66" t="n">
        <v>416500</v>
      </c>
    </row>
    <row r="590" customFormat="false" ht="15" hidden="false" customHeight="false" outlineLevel="0" collapsed="false">
      <c r="A590" s="44" t="n">
        <v>31</v>
      </c>
      <c r="B590" s="11" t="s">
        <v>783</v>
      </c>
      <c r="C590" s="65"/>
      <c r="D590" s="65" t="n">
        <f aca="false">E590-C590</f>
        <v>416500</v>
      </c>
      <c r="E590" s="66" t="n">
        <v>416500</v>
      </c>
    </row>
    <row r="591" customFormat="false" ht="15" hidden="false" customHeight="false" outlineLevel="0" collapsed="false">
      <c r="A591" s="44" t="n">
        <v>32</v>
      </c>
      <c r="B591" s="11" t="s">
        <v>784</v>
      </c>
      <c r="C591" s="65" t="n">
        <f aca="false">30000+250000+136500</f>
        <v>416500</v>
      </c>
      <c r="D591" s="65" t="n">
        <f aca="false">E591-C591</f>
        <v>0</v>
      </c>
      <c r="E591" s="66" t="n">
        <v>416500</v>
      </c>
    </row>
    <row r="592" customFormat="false" ht="15" hidden="false" customHeight="false" outlineLevel="0" collapsed="false">
      <c r="A592" s="44" t="n">
        <v>33</v>
      </c>
      <c r="B592" s="11" t="s">
        <v>785</v>
      </c>
      <c r="C592" s="65" t="n">
        <f aca="false">416500</f>
        <v>416500</v>
      </c>
      <c r="D592" s="65" t="n">
        <f aca="false">E592-C592</f>
        <v>0</v>
      </c>
      <c r="E592" s="66" t="n">
        <v>416500</v>
      </c>
    </row>
    <row r="593" customFormat="false" ht="15" hidden="false" customHeight="false" outlineLevel="0" collapsed="false">
      <c r="A593" s="44" t="n">
        <v>34</v>
      </c>
      <c r="B593" s="11" t="s">
        <v>786</v>
      </c>
      <c r="C593" s="65"/>
      <c r="D593" s="65" t="n">
        <f aca="false">E593-C593</f>
        <v>416500</v>
      </c>
      <c r="E593" s="66" t="n">
        <v>416500</v>
      </c>
    </row>
    <row r="594" customFormat="false" ht="15" hidden="false" customHeight="false" outlineLevel="0" collapsed="false">
      <c r="A594" s="44" t="n">
        <v>35</v>
      </c>
      <c r="B594" s="11" t="s">
        <v>787</v>
      </c>
      <c r="C594" s="65" t="n">
        <f aca="false">83500+333000</f>
        <v>416500</v>
      </c>
      <c r="D594" s="65" t="n">
        <f aca="false">E594-C594</f>
        <v>0</v>
      </c>
      <c r="E594" s="66" t="n">
        <v>416500</v>
      </c>
    </row>
    <row r="595" customFormat="false" ht="19.7" hidden="false" customHeight="false" outlineLevel="0" collapsed="false">
      <c r="A595" s="74"/>
      <c r="B595" s="16" t="s">
        <v>60</v>
      </c>
      <c r="C595" s="24" t="s">
        <v>788</v>
      </c>
      <c r="D595" s="18" t="n">
        <f aca="false">SUM(D560:D594)</f>
        <v>7290500</v>
      </c>
      <c r="E595" s="75" t="n">
        <f aca="false">SUM(E560:E594)</f>
        <v>14577500</v>
      </c>
    </row>
    <row r="598" customFormat="false" ht="15" hidden="false" customHeight="false" outlineLevel="0" collapsed="false">
      <c r="A598" s="38"/>
    </row>
    <row r="599" customFormat="false" ht="15" hidden="false" customHeight="false" outlineLevel="0" collapsed="false">
      <c r="A599" s="38"/>
    </row>
    <row r="600" customFormat="false" ht="17.35" hidden="false" customHeight="false" outlineLevel="0" collapsed="false">
      <c r="A600" s="37"/>
      <c r="B600" s="1" t="s">
        <v>0</v>
      </c>
    </row>
    <row r="601" customFormat="false" ht="15" hidden="false" customHeight="false" outlineLevel="0" collapsed="false">
      <c r="A601" s="38"/>
    </row>
    <row r="602" customFormat="false" ht="17.35" hidden="false" customHeight="false" outlineLevel="0" collapsed="false">
      <c r="A602" s="38"/>
      <c r="B602" s="39" t="s">
        <v>789</v>
      </c>
    </row>
    <row r="603" customFormat="false" ht="15" hidden="false" customHeight="false" outlineLevel="0" collapsed="false">
      <c r="A603" s="38"/>
      <c r="B603" s="3" t="s">
        <v>191</v>
      </c>
    </row>
    <row r="604" customFormat="false" ht="15" hidden="false" customHeight="false" outlineLevel="0" collapsed="false">
      <c r="A604" s="38"/>
    </row>
    <row r="605" customFormat="false" ht="15" hidden="false" customHeight="false" outlineLevel="0" collapsed="false">
      <c r="A605" s="40" t="s">
        <v>4</v>
      </c>
      <c r="B605" s="6" t="s">
        <v>5</v>
      </c>
      <c r="C605" s="7" t="s">
        <v>6</v>
      </c>
      <c r="D605" s="8" t="s">
        <v>7</v>
      </c>
      <c r="E605" s="9" t="s">
        <v>8</v>
      </c>
    </row>
    <row r="606" customFormat="false" ht="15" hidden="false" customHeight="false" outlineLevel="0" collapsed="false">
      <c r="A606" s="44" t="n">
        <v>1</v>
      </c>
      <c r="B606" s="11" t="s">
        <v>790</v>
      </c>
      <c r="C606" s="65" t="n">
        <f aca="false">193500+56500+50000+50000+66500</f>
        <v>416500</v>
      </c>
      <c r="D606" s="65" t="n">
        <f aca="false">E606-C606</f>
        <v>0</v>
      </c>
      <c r="E606" s="66" t="n">
        <v>416500</v>
      </c>
    </row>
    <row r="607" customFormat="false" ht="15" hidden="false" customHeight="false" outlineLevel="0" collapsed="false">
      <c r="A607" s="44" t="n">
        <v>2</v>
      </c>
      <c r="B607" s="11" t="s">
        <v>791</v>
      </c>
      <c r="C607" s="65" t="n">
        <f aca="false">200000+150000+66500</f>
        <v>416500</v>
      </c>
      <c r="D607" s="65" t="n">
        <f aca="false">E607-C607</f>
        <v>0</v>
      </c>
      <c r="E607" s="66" t="n">
        <v>416500</v>
      </c>
    </row>
    <row r="608" customFormat="false" ht="15" hidden="false" customHeight="false" outlineLevel="0" collapsed="false">
      <c r="A608" s="44" t="n">
        <v>3</v>
      </c>
      <c r="B608" s="11" t="s">
        <v>792</v>
      </c>
      <c r="C608" s="65" t="n">
        <f aca="false">50000+100000+106500+70000+90000</f>
        <v>416500</v>
      </c>
      <c r="D608" s="65" t="n">
        <f aca="false">E608-C608</f>
        <v>0</v>
      </c>
      <c r="E608" s="66" t="n">
        <v>416500</v>
      </c>
    </row>
    <row r="609" customFormat="false" ht="15" hidden="false" customHeight="false" outlineLevel="0" collapsed="false">
      <c r="A609" s="44" t="n">
        <v>4</v>
      </c>
      <c r="B609" s="11" t="s">
        <v>793</v>
      </c>
      <c r="C609" s="65"/>
      <c r="D609" s="65" t="n">
        <f aca="false">E609-C609</f>
        <v>416500</v>
      </c>
      <c r="E609" s="66" t="n">
        <v>416500</v>
      </c>
    </row>
    <row r="610" customFormat="false" ht="15" hidden="false" customHeight="false" outlineLevel="0" collapsed="false">
      <c r="A610" s="44" t="n">
        <v>5</v>
      </c>
      <c r="B610" s="11" t="s">
        <v>794</v>
      </c>
      <c r="C610" s="65" t="n">
        <f aca="false">200000+216500</f>
        <v>416500</v>
      </c>
      <c r="D610" s="65" t="n">
        <f aca="false">E610-C610</f>
        <v>0</v>
      </c>
      <c r="E610" s="66" t="n">
        <v>416500</v>
      </c>
    </row>
    <row r="611" customFormat="false" ht="15" hidden="false" customHeight="false" outlineLevel="0" collapsed="false">
      <c r="A611" s="44" t="n">
        <v>6</v>
      </c>
      <c r="B611" s="11" t="s">
        <v>795</v>
      </c>
      <c r="C611" s="65" t="n">
        <f aca="false">50000+100000+116500+150000</f>
        <v>416500</v>
      </c>
      <c r="D611" s="65" t="n">
        <f aca="false">E611-C611</f>
        <v>0</v>
      </c>
      <c r="E611" s="66" t="n">
        <v>416500</v>
      </c>
    </row>
    <row r="612" customFormat="false" ht="15" hidden="false" customHeight="false" outlineLevel="0" collapsed="false">
      <c r="A612" s="44" t="n">
        <v>7</v>
      </c>
      <c r="B612" s="11" t="s">
        <v>796</v>
      </c>
      <c r="C612" s="65" t="n">
        <f aca="false">250000+150000+16500</f>
        <v>416500</v>
      </c>
      <c r="D612" s="65" t="n">
        <f aca="false">E612-C612</f>
        <v>0</v>
      </c>
      <c r="E612" s="66" t="n">
        <v>416500</v>
      </c>
    </row>
    <row r="613" customFormat="false" ht="15" hidden="false" customHeight="false" outlineLevel="0" collapsed="false">
      <c r="A613" s="44" t="n">
        <v>8</v>
      </c>
      <c r="B613" s="11" t="s">
        <v>797</v>
      </c>
      <c r="C613" s="65" t="n">
        <f aca="false">216000+200500</f>
        <v>416500</v>
      </c>
      <c r="D613" s="65" t="n">
        <f aca="false">E613-C613</f>
        <v>0</v>
      </c>
      <c r="E613" s="66" t="n">
        <v>416500</v>
      </c>
    </row>
    <row r="614" customFormat="false" ht="15" hidden="false" customHeight="false" outlineLevel="0" collapsed="false">
      <c r="A614" s="44" t="n">
        <v>9</v>
      </c>
      <c r="B614" s="11" t="s">
        <v>798</v>
      </c>
      <c r="C614" s="65" t="n">
        <f aca="false">50000+200000+166500</f>
        <v>416500</v>
      </c>
      <c r="D614" s="65" t="n">
        <f aca="false">E614-C614</f>
        <v>0</v>
      </c>
      <c r="E614" s="66" t="n">
        <v>416500</v>
      </c>
    </row>
    <row r="615" customFormat="false" ht="15" hidden="false" customHeight="false" outlineLevel="0" collapsed="false">
      <c r="A615" s="44" t="n">
        <v>10</v>
      </c>
      <c r="B615" s="11" t="s">
        <v>799</v>
      </c>
      <c r="C615" s="65" t="n">
        <f aca="false">16500+220000+80000+80000+20000</f>
        <v>416500</v>
      </c>
      <c r="D615" s="65" t="n">
        <f aca="false">E615-C615</f>
        <v>0</v>
      </c>
      <c r="E615" s="66" t="n">
        <v>416500</v>
      </c>
    </row>
    <row r="616" customFormat="false" ht="15" hidden="false" customHeight="false" outlineLevel="0" collapsed="false">
      <c r="A616" s="44" t="n">
        <v>11</v>
      </c>
      <c r="B616" s="11" t="s">
        <v>800</v>
      </c>
      <c r="C616" s="65" t="n">
        <f aca="false">50000+116500+300000</f>
        <v>466500</v>
      </c>
      <c r="D616" s="65" t="n">
        <f aca="false">E616-C616</f>
        <v>-50000</v>
      </c>
      <c r="E616" s="66" t="n">
        <v>416500</v>
      </c>
    </row>
    <row r="617" customFormat="false" ht="15" hidden="false" customHeight="false" outlineLevel="0" collapsed="false">
      <c r="A617" s="44" t="n">
        <v>12</v>
      </c>
      <c r="B617" s="11" t="s">
        <v>801</v>
      </c>
      <c r="C617" s="65" t="n">
        <f aca="false">300000+116500</f>
        <v>416500</v>
      </c>
      <c r="D617" s="65" t="n">
        <f aca="false">E617-C617</f>
        <v>0</v>
      </c>
      <c r="E617" s="66" t="n">
        <v>416500</v>
      </c>
    </row>
    <row r="618" customFormat="false" ht="15" hidden="false" customHeight="false" outlineLevel="0" collapsed="false">
      <c r="A618" s="44" t="n">
        <v>13</v>
      </c>
      <c r="B618" s="11" t="s">
        <v>802</v>
      </c>
      <c r="C618" s="65" t="n">
        <f aca="false">200000+216500</f>
        <v>416500</v>
      </c>
      <c r="D618" s="65" t="n">
        <f aca="false">E618-C618</f>
        <v>0</v>
      </c>
      <c r="E618" s="66" t="n">
        <v>416500</v>
      </c>
    </row>
    <row r="619" customFormat="false" ht="15" hidden="false" customHeight="false" outlineLevel="0" collapsed="false">
      <c r="A619" s="44" t="n">
        <v>14</v>
      </c>
      <c r="B619" s="11" t="s">
        <v>803</v>
      </c>
      <c r="C619" s="65" t="n">
        <f aca="false">300000+116500</f>
        <v>416500</v>
      </c>
      <c r="D619" s="65" t="n">
        <f aca="false">E619-C619</f>
        <v>0</v>
      </c>
      <c r="E619" s="66" t="n">
        <v>416500</v>
      </c>
    </row>
    <row r="620" customFormat="false" ht="15" hidden="false" customHeight="false" outlineLevel="0" collapsed="false">
      <c r="A620" s="44" t="n">
        <v>15</v>
      </c>
      <c r="B620" s="11" t="s">
        <v>804</v>
      </c>
      <c r="C620" s="65" t="n">
        <f aca="false">200000+116500+100000</f>
        <v>416500</v>
      </c>
      <c r="D620" s="65" t="n">
        <f aca="false">E620-C620</f>
        <v>0</v>
      </c>
      <c r="E620" s="66" t="n">
        <v>416500</v>
      </c>
    </row>
    <row r="621" customFormat="false" ht="15" hidden="false" customHeight="false" outlineLevel="0" collapsed="false">
      <c r="A621" s="44" t="n">
        <v>16</v>
      </c>
      <c r="B621" s="11" t="s">
        <v>805</v>
      </c>
      <c r="C621" s="65" t="n">
        <f aca="false">100000+180000+136500</f>
        <v>416500</v>
      </c>
      <c r="D621" s="65" t="n">
        <f aca="false">E621-C621</f>
        <v>0</v>
      </c>
      <c r="E621" s="66" t="n">
        <v>416500</v>
      </c>
    </row>
    <row r="622" customFormat="false" ht="15" hidden="false" customHeight="false" outlineLevel="0" collapsed="false">
      <c r="A622" s="44" t="n">
        <v>17</v>
      </c>
      <c r="B622" s="11" t="s">
        <v>806</v>
      </c>
      <c r="C622" s="65" t="n">
        <f aca="false">100000+261500+50000+5000</f>
        <v>416500</v>
      </c>
      <c r="D622" s="65" t="n">
        <f aca="false">E622-C622</f>
        <v>0</v>
      </c>
      <c r="E622" s="66" t="n">
        <v>416500</v>
      </c>
    </row>
    <row r="623" customFormat="false" ht="15" hidden="false" customHeight="false" outlineLevel="0" collapsed="false">
      <c r="A623" s="44" t="n">
        <v>18</v>
      </c>
      <c r="B623" s="11" t="s">
        <v>807</v>
      </c>
      <c r="C623" s="65" t="n">
        <f aca="false">100000+100000+216500</f>
        <v>416500</v>
      </c>
      <c r="D623" s="65" t="n">
        <f aca="false">E623-C623</f>
        <v>0</v>
      </c>
      <c r="E623" s="66" t="n">
        <v>416500</v>
      </c>
    </row>
    <row r="624" customFormat="false" ht="19.7" hidden="false" customHeight="false" outlineLevel="0" collapsed="false">
      <c r="A624" s="74"/>
      <c r="B624" s="16" t="s">
        <v>60</v>
      </c>
      <c r="C624" s="24" t="n">
        <f aca="false">SUM(C606:C623)</f>
        <v>7130500</v>
      </c>
      <c r="D624" s="18" t="n">
        <f aca="false">SUM(D606:D623)</f>
        <v>366500</v>
      </c>
      <c r="E624" s="19" t="n">
        <f aca="false">SUM(E606:E623)</f>
        <v>7497000</v>
      </c>
    </row>
    <row r="627" customFormat="false" ht="15" hidden="false" customHeight="false" outlineLevel="0" collapsed="false">
      <c r="A627" s="38"/>
    </row>
    <row r="628" customFormat="false" ht="15" hidden="false" customHeight="false" outlineLevel="0" collapsed="false">
      <c r="A628" s="38"/>
    </row>
    <row r="629" customFormat="false" ht="15" hidden="false" customHeight="false" outlineLevel="0" collapsed="false">
      <c r="A629" s="38"/>
    </row>
    <row r="630" customFormat="false" ht="17.35" hidden="false" customHeight="false" outlineLevel="0" collapsed="false">
      <c r="A630" s="37"/>
      <c r="B630" s="1" t="s">
        <v>0</v>
      </c>
    </row>
    <row r="631" customFormat="false" ht="15" hidden="false" customHeight="false" outlineLevel="0" collapsed="false">
      <c r="A631" s="38"/>
    </row>
    <row r="632" customFormat="false" ht="17.35" hidden="false" customHeight="false" outlineLevel="0" collapsed="false">
      <c r="A632" s="38"/>
      <c r="B632" s="39" t="s">
        <v>808</v>
      </c>
    </row>
    <row r="633" customFormat="false" ht="15" hidden="false" customHeight="false" outlineLevel="0" collapsed="false">
      <c r="A633" s="38"/>
      <c r="B633" s="3" t="s">
        <v>191</v>
      </c>
    </row>
    <row r="634" customFormat="false" ht="15" hidden="false" customHeight="false" outlineLevel="0" collapsed="false">
      <c r="A634" s="38"/>
    </row>
    <row r="635" customFormat="false" ht="15" hidden="false" customHeight="false" outlineLevel="0" collapsed="false">
      <c r="A635" s="40" t="s">
        <v>4</v>
      </c>
      <c r="B635" s="6" t="s">
        <v>5</v>
      </c>
      <c r="C635" s="7" t="s">
        <v>6</v>
      </c>
      <c r="D635" s="8" t="s">
        <v>7</v>
      </c>
      <c r="E635" s="9" t="s">
        <v>8</v>
      </c>
    </row>
    <row r="636" customFormat="false" ht="15" hidden="false" customHeight="false" outlineLevel="0" collapsed="false">
      <c r="A636" s="44" t="n">
        <v>1</v>
      </c>
      <c r="B636" s="11" t="s">
        <v>809</v>
      </c>
      <c r="C636" s="65" t="n">
        <f aca="false">100000+100000</f>
        <v>200000</v>
      </c>
      <c r="D636" s="65" t="n">
        <f aca="false">E636-C636</f>
        <v>216500</v>
      </c>
      <c r="E636" s="66" t="n">
        <v>416500</v>
      </c>
    </row>
    <row r="637" customFormat="false" ht="15" hidden="false" customHeight="false" outlineLevel="0" collapsed="false">
      <c r="A637" s="44" t="n">
        <v>2</v>
      </c>
      <c r="B637" s="11" t="s">
        <v>810</v>
      </c>
      <c r="C637" s="65" t="n">
        <f aca="false">70000+50000+180000+116500</f>
        <v>416500</v>
      </c>
      <c r="D637" s="65" t="n">
        <f aca="false">E637-C637</f>
        <v>0</v>
      </c>
      <c r="E637" s="66" t="n">
        <v>416500</v>
      </c>
    </row>
    <row r="638" customFormat="false" ht="15" hidden="false" customHeight="false" outlineLevel="0" collapsed="false">
      <c r="A638" s="44" t="n">
        <v>3</v>
      </c>
      <c r="B638" s="11" t="s">
        <v>811</v>
      </c>
      <c r="C638" s="65" t="n">
        <f aca="false">80000+120000+50000</f>
        <v>250000</v>
      </c>
      <c r="D638" s="65" t="n">
        <f aca="false">E638-C638</f>
        <v>166500</v>
      </c>
      <c r="E638" s="66" t="n">
        <v>416500</v>
      </c>
    </row>
    <row r="639" customFormat="false" ht="15" hidden="false" customHeight="false" outlineLevel="0" collapsed="false">
      <c r="A639" s="44" t="n">
        <v>4</v>
      </c>
      <c r="B639" s="11" t="s">
        <v>812</v>
      </c>
      <c r="C639" s="65" t="n">
        <f aca="false">100000+100000+216500</f>
        <v>416500</v>
      </c>
      <c r="D639" s="65" t="n">
        <f aca="false">E639-C639</f>
        <v>0</v>
      </c>
      <c r="E639" s="66" t="n">
        <v>416500</v>
      </c>
    </row>
    <row r="640" customFormat="false" ht="15" hidden="false" customHeight="false" outlineLevel="0" collapsed="false">
      <c r="A640" s="44" t="n">
        <v>5</v>
      </c>
      <c r="B640" s="11" t="s">
        <v>813</v>
      </c>
      <c r="C640" s="65" t="n">
        <f aca="false">180000+236000+500</f>
        <v>416500</v>
      </c>
      <c r="D640" s="65" t="n">
        <f aca="false">E640-C640</f>
        <v>0</v>
      </c>
      <c r="E640" s="66" t="n">
        <v>416500</v>
      </c>
    </row>
    <row r="641" customFormat="false" ht="15" hidden="false" customHeight="false" outlineLevel="0" collapsed="false">
      <c r="A641" s="44" t="n">
        <v>6</v>
      </c>
      <c r="B641" s="11" t="s">
        <v>814</v>
      </c>
      <c r="C641" s="65" t="n">
        <f aca="false">100000+100000+216500</f>
        <v>416500</v>
      </c>
      <c r="D641" s="65" t="n">
        <f aca="false">E641-C641</f>
        <v>0</v>
      </c>
      <c r="E641" s="66" t="n">
        <v>416500</v>
      </c>
    </row>
    <row r="642" customFormat="false" ht="15" hidden="false" customHeight="false" outlineLevel="0" collapsed="false">
      <c r="A642" s="44" t="n">
        <v>7</v>
      </c>
      <c r="B642" s="11" t="s">
        <v>815</v>
      </c>
      <c r="C642" s="65" t="n">
        <f aca="false">100000+50000+250000+16500</f>
        <v>416500</v>
      </c>
      <c r="D642" s="65" t="n">
        <f aca="false">E642-C642</f>
        <v>0</v>
      </c>
      <c r="E642" s="66" t="n">
        <v>416500</v>
      </c>
    </row>
    <row r="643" customFormat="false" ht="15" hidden="false" customHeight="false" outlineLevel="0" collapsed="false">
      <c r="A643" s="44" t="n">
        <v>8</v>
      </c>
      <c r="B643" s="11" t="s">
        <v>816</v>
      </c>
      <c r="C643" s="65" t="n">
        <v>216500</v>
      </c>
      <c r="D643" s="65" t="n">
        <f aca="false">E643-C643</f>
        <v>200000</v>
      </c>
      <c r="E643" s="66" t="n">
        <v>416500</v>
      </c>
    </row>
    <row r="644" customFormat="false" ht="15" hidden="false" customHeight="false" outlineLevel="0" collapsed="false">
      <c r="A644" s="44" t="n">
        <v>9</v>
      </c>
      <c r="B644" s="11" t="s">
        <v>817</v>
      </c>
      <c r="C644" s="65" t="n">
        <f aca="false">50000+70000+40000+50000+206500</f>
        <v>416500</v>
      </c>
      <c r="D644" s="65" t="n">
        <f aca="false">E644-C644</f>
        <v>0</v>
      </c>
      <c r="E644" s="66" t="n">
        <v>416500</v>
      </c>
    </row>
    <row r="645" customFormat="false" ht="15" hidden="false" customHeight="false" outlineLevel="0" collapsed="false">
      <c r="A645" s="44" t="n">
        <v>10</v>
      </c>
      <c r="B645" s="11" t="s">
        <v>818</v>
      </c>
      <c r="C645" s="65" t="n">
        <f aca="false">40000+160000+100000+100000+16500</f>
        <v>416500</v>
      </c>
      <c r="D645" s="65" t="n">
        <f aca="false">E645-C645</f>
        <v>0</v>
      </c>
      <c r="E645" s="66" t="n">
        <v>416500</v>
      </c>
    </row>
    <row r="646" customFormat="false" ht="15" hidden="false" customHeight="false" outlineLevel="0" collapsed="false">
      <c r="A646" s="44" t="n">
        <v>12</v>
      </c>
      <c r="B646" s="11" t="s">
        <v>819</v>
      </c>
      <c r="C646" s="65" t="n">
        <f aca="false">100000+216000+100500</f>
        <v>416500</v>
      </c>
      <c r="D646" s="65" t="n">
        <f aca="false">E646-C646</f>
        <v>0</v>
      </c>
      <c r="E646" s="66" t="n">
        <v>416500</v>
      </c>
    </row>
    <row r="647" customFormat="false" ht="15" hidden="false" customHeight="false" outlineLevel="0" collapsed="false">
      <c r="A647" s="44" t="n">
        <v>13</v>
      </c>
      <c r="B647" s="11" t="s">
        <v>820</v>
      </c>
      <c r="C647" s="65" t="n">
        <f aca="false">100000+50000+200000+66500</f>
        <v>416500</v>
      </c>
      <c r="D647" s="65" t="n">
        <f aca="false">E647-C647</f>
        <v>0</v>
      </c>
      <c r="E647" s="66" t="n">
        <v>416500</v>
      </c>
    </row>
    <row r="648" customFormat="false" ht="15" hidden="false" customHeight="false" outlineLevel="0" collapsed="false">
      <c r="A648" s="44" t="n">
        <v>14</v>
      </c>
      <c r="B648" s="11" t="s">
        <v>821</v>
      </c>
      <c r="C648" s="65" t="n">
        <f aca="false">170000+40000+206500</f>
        <v>416500</v>
      </c>
      <c r="D648" s="65" t="n">
        <f aca="false">E648-C648</f>
        <v>0</v>
      </c>
      <c r="E648" s="66" t="n">
        <v>416500</v>
      </c>
    </row>
    <row r="649" customFormat="false" ht="15" hidden="false" customHeight="false" outlineLevel="0" collapsed="false">
      <c r="A649" s="44" t="n">
        <v>1</v>
      </c>
      <c r="B649" s="11" t="s">
        <v>822</v>
      </c>
      <c r="C649" s="65" t="n">
        <f aca="false">144399+80000+192105</f>
        <v>416504</v>
      </c>
      <c r="D649" s="65" t="n">
        <f aca="false">E649-C649</f>
        <v>-4</v>
      </c>
      <c r="E649" s="66" t="n">
        <v>416500</v>
      </c>
    </row>
    <row r="650" customFormat="false" ht="15" hidden="false" customHeight="false" outlineLevel="0" collapsed="false">
      <c r="A650" s="44" t="n">
        <v>15</v>
      </c>
      <c r="B650" s="11" t="s">
        <v>823</v>
      </c>
      <c r="C650" s="65" t="n">
        <f aca="false">40000+160000+130000+50000+36500</f>
        <v>416500</v>
      </c>
      <c r="D650" s="65" t="n">
        <f aca="false">E650-C650</f>
        <v>0</v>
      </c>
      <c r="E650" s="66" t="n">
        <v>416500</v>
      </c>
    </row>
    <row r="651" customFormat="false" ht="15" hidden="false" customHeight="false" outlineLevel="0" collapsed="false">
      <c r="A651" s="44" t="n">
        <v>16</v>
      </c>
      <c r="B651" s="11" t="s">
        <v>824</v>
      </c>
      <c r="C651" s="65" t="n">
        <f aca="false">100000+100000+216500</f>
        <v>416500</v>
      </c>
      <c r="D651" s="65" t="n">
        <f aca="false">E651-C651</f>
        <v>0</v>
      </c>
      <c r="E651" s="66" t="n">
        <v>416500</v>
      </c>
    </row>
    <row r="652" customFormat="false" ht="19.7" hidden="false" customHeight="false" outlineLevel="0" collapsed="false">
      <c r="A652" s="74"/>
      <c r="B652" s="16" t="s">
        <v>60</v>
      </c>
      <c r="C652" s="24" t="n">
        <f aca="false">SUM(C636:C651)</f>
        <v>6081004</v>
      </c>
      <c r="D652" s="18" t="n">
        <f aca="false">SUM(D636:D651)</f>
        <v>582996</v>
      </c>
      <c r="E652" s="75" t="n">
        <f aca="false">SUM(E636:E651)</f>
        <v>6664000</v>
      </c>
    </row>
    <row r="655" customFormat="false" ht="15" hidden="false" customHeight="false" outlineLevel="0" collapsed="false">
      <c r="A655" s="38"/>
    </row>
    <row r="656" customFormat="false" ht="15" hidden="false" customHeight="false" outlineLevel="0" collapsed="false">
      <c r="A656" s="38"/>
    </row>
    <row r="657" customFormat="false" ht="17.35" hidden="false" customHeight="false" outlineLevel="0" collapsed="false">
      <c r="A657" s="37"/>
      <c r="B657" s="1" t="s">
        <v>0</v>
      </c>
    </row>
    <row r="658" customFormat="false" ht="15" hidden="false" customHeight="false" outlineLevel="0" collapsed="false">
      <c r="A658" s="38"/>
    </row>
    <row r="659" customFormat="false" ht="17.35" hidden="false" customHeight="false" outlineLevel="0" collapsed="false">
      <c r="A659" s="38"/>
      <c r="B659" s="39" t="s">
        <v>825</v>
      </c>
    </row>
    <row r="660" customFormat="false" ht="15" hidden="false" customHeight="false" outlineLevel="0" collapsed="false">
      <c r="A660" s="38"/>
      <c r="B660" s="3" t="s">
        <v>191</v>
      </c>
    </row>
    <row r="661" customFormat="false" ht="15" hidden="false" customHeight="false" outlineLevel="0" collapsed="false">
      <c r="A661" s="38"/>
    </row>
    <row r="662" customFormat="false" ht="15" hidden="false" customHeight="false" outlineLevel="0" collapsed="false">
      <c r="A662" s="40" t="s">
        <v>4</v>
      </c>
      <c r="B662" s="6" t="s">
        <v>5</v>
      </c>
      <c r="C662" s="7" t="s">
        <v>6</v>
      </c>
      <c r="D662" s="8" t="s">
        <v>7</v>
      </c>
      <c r="E662" s="9" t="s">
        <v>8</v>
      </c>
    </row>
    <row r="663" customFormat="false" ht="15" hidden="false" customHeight="false" outlineLevel="0" collapsed="false">
      <c r="A663" s="44" t="n">
        <v>1</v>
      </c>
      <c r="B663" s="11" t="s">
        <v>826</v>
      </c>
      <c r="C663" s="65" t="n">
        <f aca="false">63500+300000+53000</f>
        <v>416500</v>
      </c>
      <c r="D663" s="65" t="n">
        <f aca="false">E663-C663</f>
        <v>0</v>
      </c>
      <c r="E663" s="66" t="n">
        <v>416500</v>
      </c>
    </row>
    <row r="664" customFormat="false" ht="15" hidden="false" customHeight="false" outlineLevel="0" collapsed="false">
      <c r="A664" s="44" t="n">
        <v>2</v>
      </c>
      <c r="B664" s="11" t="s">
        <v>827</v>
      </c>
      <c r="C664" s="65"/>
      <c r="D664" s="65" t="n">
        <f aca="false">E664-C664</f>
        <v>416500</v>
      </c>
      <c r="E664" s="66" t="n">
        <v>416500</v>
      </c>
    </row>
    <row r="665" customFormat="false" ht="15" hidden="false" customHeight="false" outlineLevel="0" collapsed="false">
      <c r="A665" s="44" t="n">
        <v>3</v>
      </c>
      <c r="B665" s="11" t="s">
        <v>828</v>
      </c>
      <c r="C665" s="65" t="n">
        <f aca="false">200000+216500</f>
        <v>416500</v>
      </c>
      <c r="D665" s="65" t="n">
        <f aca="false">E665-C665</f>
        <v>0</v>
      </c>
      <c r="E665" s="66" t="n">
        <v>416500</v>
      </c>
    </row>
    <row r="666" customFormat="false" ht="15" hidden="false" customHeight="false" outlineLevel="0" collapsed="false">
      <c r="A666" s="44" t="n">
        <v>4</v>
      </c>
      <c r="B666" s="11" t="s">
        <v>829</v>
      </c>
      <c r="C666" s="65" t="n">
        <f aca="false">333500+87000</f>
        <v>420500</v>
      </c>
      <c r="D666" s="65" t="n">
        <f aca="false">E666-C666</f>
        <v>-4000</v>
      </c>
      <c r="E666" s="66" t="n">
        <v>416500</v>
      </c>
    </row>
    <row r="667" customFormat="false" ht="15" hidden="false" customHeight="false" outlineLevel="0" collapsed="false">
      <c r="A667" s="44" t="n">
        <v>5</v>
      </c>
      <c r="B667" s="11" t="s">
        <v>830</v>
      </c>
      <c r="C667" s="65" t="n">
        <f aca="false">110000+112500+184500+9500</f>
        <v>416500</v>
      </c>
      <c r="D667" s="65" t="n">
        <f aca="false">E667-C667</f>
        <v>0</v>
      </c>
      <c r="E667" s="66" t="n">
        <v>416500</v>
      </c>
    </row>
    <row r="668" customFormat="false" ht="15" hidden="false" customHeight="false" outlineLevel="0" collapsed="false">
      <c r="A668" s="44" t="n">
        <v>6</v>
      </c>
      <c r="B668" s="11" t="s">
        <v>831</v>
      </c>
      <c r="C668" s="65" t="n">
        <f aca="false">350000+67000</f>
        <v>417000</v>
      </c>
      <c r="D668" s="65" t="n">
        <f aca="false">E668-C668</f>
        <v>-500</v>
      </c>
      <c r="E668" s="66" t="n">
        <v>416500</v>
      </c>
    </row>
    <row r="669" customFormat="false" ht="15" hidden="false" customHeight="false" outlineLevel="0" collapsed="false">
      <c r="A669" s="44" t="n">
        <v>7</v>
      </c>
      <c r="B669" s="11" t="s">
        <v>832</v>
      </c>
      <c r="C669" s="65"/>
      <c r="D669" s="65" t="n">
        <f aca="false">E669-C669</f>
        <v>416500</v>
      </c>
      <c r="E669" s="66" t="n">
        <v>416500</v>
      </c>
    </row>
    <row r="670" customFormat="false" ht="15" hidden="false" customHeight="false" outlineLevel="0" collapsed="false">
      <c r="A670" s="44" t="n">
        <v>8</v>
      </c>
      <c r="B670" s="11" t="s">
        <v>833</v>
      </c>
      <c r="C670" s="65" t="n">
        <v>416500</v>
      </c>
      <c r="D670" s="65" t="n">
        <f aca="false">E670-C670</f>
        <v>0</v>
      </c>
      <c r="E670" s="66" t="n">
        <v>416500</v>
      </c>
    </row>
    <row r="671" customFormat="false" ht="15" hidden="false" customHeight="false" outlineLevel="0" collapsed="false">
      <c r="A671" s="44" t="n">
        <v>9</v>
      </c>
      <c r="B671" s="11" t="s">
        <v>834</v>
      </c>
      <c r="C671" s="65" t="n">
        <f aca="false">50000+10000+10000+363000-16500</f>
        <v>416500</v>
      </c>
      <c r="D671" s="65" t="n">
        <f aca="false">E671-C671</f>
        <v>0</v>
      </c>
      <c r="E671" s="66" t="n">
        <v>416500</v>
      </c>
    </row>
    <row r="672" customFormat="false" ht="15" hidden="false" customHeight="false" outlineLevel="0" collapsed="false">
      <c r="A672" s="44" t="n">
        <v>10</v>
      </c>
      <c r="B672" s="11" t="s">
        <v>835</v>
      </c>
      <c r="C672" s="65" t="s">
        <v>836</v>
      </c>
      <c r="D672" s="65" t="n">
        <v>416500</v>
      </c>
      <c r="E672" s="66" t="n">
        <v>416500</v>
      </c>
    </row>
    <row r="673" customFormat="false" ht="15" hidden="false" customHeight="false" outlineLevel="0" collapsed="false">
      <c r="A673" s="44" t="n">
        <v>11</v>
      </c>
      <c r="B673" s="11" t="s">
        <v>837</v>
      </c>
      <c r="C673" s="65" t="n">
        <f aca="false">416500</f>
        <v>416500</v>
      </c>
      <c r="D673" s="65" t="n">
        <f aca="false">E673-C673</f>
        <v>0</v>
      </c>
      <c r="E673" s="66" t="n">
        <v>416500</v>
      </c>
    </row>
    <row r="674" customFormat="false" ht="19.7" hidden="false" customHeight="false" outlineLevel="0" collapsed="false">
      <c r="A674" s="74"/>
      <c r="B674" s="16" t="s">
        <v>60</v>
      </c>
      <c r="C674" s="24" t="n">
        <f aca="false">SUM(C663:C673)</f>
        <v>3336500</v>
      </c>
      <c r="D674" s="18" t="n">
        <f aca="false">SUM(D663:D673)</f>
        <v>1245000</v>
      </c>
      <c r="E674" s="75" t="n">
        <f aca="false">SUM(E663:E673)</f>
        <v>4581500</v>
      </c>
    </row>
    <row r="676" customFormat="false" ht="15" hidden="false" customHeight="false" outlineLevel="0" collapsed="false">
      <c r="A676" s="38"/>
    </row>
    <row r="677" customFormat="false" ht="15" hidden="false" customHeight="false" outlineLevel="0" collapsed="false">
      <c r="A677" s="38"/>
    </row>
    <row r="678" customFormat="false" ht="17.35" hidden="false" customHeight="false" outlineLevel="0" collapsed="false">
      <c r="A678" s="37"/>
      <c r="B678" s="1" t="s">
        <v>0</v>
      </c>
      <c r="C678" s="1"/>
    </row>
    <row r="679" customFormat="false" ht="15" hidden="false" customHeight="false" outlineLevel="0" collapsed="false">
      <c r="A679" s="38"/>
    </row>
    <row r="680" customFormat="false" ht="17.35" hidden="false" customHeight="false" outlineLevel="0" collapsed="false">
      <c r="A680" s="38"/>
      <c r="B680" s="39" t="s">
        <v>838</v>
      </c>
    </row>
    <row r="681" customFormat="false" ht="15" hidden="false" customHeight="false" outlineLevel="0" collapsed="false">
      <c r="A681" s="38"/>
      <c r="B681" s="3" t="s">
        <v>222</v>
      </c>
    </row>
    <row r="682" customFormat="false" ht="15" hidden="false" customHeight="false" outlineLevel="0" collapsed="false">
      <c r="A682" s="38"/>
    </row>
    <row r="683" customFormat="false" ht="15" hidden="false" customHeight="false" outlineLevel="0" collapsed="false">
      <c r="A683" s="40" t="s">
        <v>4</v>
      </c>
      <c r="B683" s="6" t="s">
        <v>5</v>
      </c>
      <c r="C683" s="7" t="s">
        <v>6</v>
      </c>
      <c r="D683" s="8" t="s">
        <v>7</v>
      </c>
      <c r="E683" s="9" t="s">
        <v>8</v>
      </c>
    </row>
    <row r="684" customFormat="false" ht="15" hidden="false" customHeight="false" outlineLevel="0" collapsed="false">
      <c r="A684" s="44" t="n">
        <v>1</v>
      </c>
      <c r="B684" s="11" t="s">
        <v>223</v>
      </c>
      <c r="C684" s="65"/>
      <c r="D684" s="65" t="n">
        <f aca="false">E684-C684</f>
        <v>416500</v>
      </c>
      <c r="E684" s="66" t="n">
        <v>416500</v>
      </c>
    </row>
    <row r="685" customFormat="false" ht="15" hidden="false" customHeight="false" outlineLevel="0" collapsed="false">
      <c r="A685" s="44" t="n">
        <v>2</v>
      </c>
      <c r="B685" s="11" t="s">
        <v>839</v>
      </c>
      <c r="C685" s="65" t="n">
        <f aca="false">100000+150000+106000+60000+500</f>
        <v>416500</v>
      </c>
      <c r="D685" s="65" t="n">
        <f aca="false">E685-C685</f>
        <v>0</v>
      </c>
      <c r="E685" s="66" t="n">
        <v>416500</v>
      </c>
    </row>
    <row r="686" customFormat="false" ht="15" hidden="false" customHeight="false" outlineLevel="0" collapsed="false">
      <c r="A686" s="44" t="n">
        <v>3</v>
      </c>
      <c r="B686" s="11" t="s">
        <v>840</v>
      </c>
      <c r="C686" s="65"/>
      <c r="D686" s="65" t="n">
        <f aca="false">E686-C686</f>
        <v>416500</v>
      </c>
      <c r="E686" s="66" t="n">
        <v>416500</v>
      </c>
    </row>
    <row r="687" customFormat="false" ht="15" hidden="false" customHeight="false" outlineLevel="0" collapsed="false">
      <c r="A687" s="44" t="n">
        <v>4</v>
      </c>
      <c r="B687" s="11" t="s">
        <v>841</v>
      </c>
      <c r="C687" s="65" t="n">
        <f aca="false">100000+316500</f>
        <v>416500</v>
      </c>
      <c r="D687" s="65" t="n">
        <f aca="false">E687-C687</f>
        <v>0</v>
      </c>
      <c r="E687" s="66" t="n">
        <v>416500</v>
      </c>
    </row>
    <row r="688" customFormat="false" ht="15" hidden="false" customHeight="false" outlineLevel="0" collapsed="false">
      <c r="A688" s="44" t="n">
        <v>5</v>
      </c>
      <c r="B688" s="11" t="s">
        <v>842</v>
      </c>
      <c r="C688" s="65" t="n">
        <f aca="false">116500+100000+100000+100000</f>
        <v>416500</v>
      </c>
      <c r="D688" s="65" t="n">
        <f aca="false">E688-C688</f>
        <v>0</v>
      </c>
      <c r="E688" s="66" t="n">
        <v>416500</v>
      </c>
    </row>
    <row r="689" customFormat="false" ht="15" hidden="false" customHeight="false" outlineLevel="0" collapsed="false">
      <c r="A689" s="44" t="n">
        <v>6</v>
      </c>
      <c r="B689" s="11" t="s">
        <v>843</v>
      </c>
      <c r="C689" s="65"/>
      <c r="D689" s="65" t="n">
        <f aca="false">E689-C689</f>
        <v>416500</v>
      </c>
      <c r="E689" s="66" t="n">
        <v>416500</v>
      </c>
    </row>
    <row r="690" customFormat="false" ht="15" hidden="false" customHeight="false" outlineLevel="0" collapsed="false">
      <c r="A690" s="44" t="n">
        <v>7</v>
      </c>
      <c r="B690" s="11" t="s">
        <v>844</v>
      </c>
      <c r="C690" s="65"/>
      <c r="D690" s="65" t="n">
        <f aca="false">E690-C690</f>
        <v>416500</v>
      </c>
      <c r="E690" s="66" t="n">
        <v>416500</v>
      </c>
    </row>
    <row r="691" customFormat="false" ht="15" hidden="false" customHeight="false" outlineLevel="0" collapsed="false">
      <c r="A691" s="44" t="n">
        <v>8</v>
      </c>
      <c r="B691" s="11" t="s">
        <v>845</v>
      </c>
      <c r="C691" s="65"/>
      <c r="D691" s="65" t="n">
        <f aca="false">E691-C691</f>
        <v>416500</v>
      </c>
      <c r="E691" s="66" t="n">
        <v>416500</v>
      </c>
    </row>
    <row r="692" customFormat="false" ht="15" hidden="false" customHeight="false" outlineLevel="0" collapsed="false">
      <c r="A692" s="44" t="n">
        <v>9</v>
      </c>
      <c r="B692" s="11" t="s">
        <v>846</v>
      </c>
      <c r="C692" s="65" t="n">
        <f aca="false">300000+116500</f>
        <v>416500</v>
      </c>
      <c r="D692" s="65" t="n">
        <f aca="false">E692-C692</f>
        <v>0</v>
      </c>
      <c r="E692" s="66" t="n">
        <v>416500</v>
      </c>
    </row>
    <row r="693" customFormat="false" ht="15" hidden="false" customHeight="false" outlineLevel="0" collapsed="false">
      <c r="A693" s="44" t="n">
        <v>10</v>
      </c>
      <c r="B693" s="20" t="s">
        <v>847</v>
      </c>
      <c r="C693" s="65"/>
      <c r="D693" s="65" t="n">
        <f aca="false">E693-C693</f>
        <v>416500</v>
      </c>
      <c r="E693" s="66" t="n">
        <v>416500</v>
      </c>
    </row>
    <row r="694" customFormat="false" ht="15" hidden="false" customHeight="false" outlineLevel="0" collapsed="false">
      <c r="A694" s="44" t="n">
        <v>11</v>
      </c>
      <c r="B694" s="11" t="s">
        <v>848</v>
      </c>
      <c r="C694" s="65" t="n">
        <f aca="false">212500+50000+50000</f>
        <v>312500</v>
      </c>
      <c r="D694" s="65" t="n">
        <f aca="false">E694-C694</f>
        <v>104000</v>
      </c>
      <c r="E694" s="66" t="n">
        <v>416500</v>
      </c>
    </row>
    <row r="695" customFormat="false" ht="15" hidden="false" customHeight="false" outlineLevel="0" collapsed="false">
      <c r="A695" s="44" t="n">
        <v>12</v>
      </c>
      <c r="B695" s="11" t="s">
        <v>849</v>
      </c>
      <c r="C695" s="65" t="n">
        <f aca="false">216500+200000</f>
        <v>416500</v>
      </c>
      <c r="D695" s="65" t="n">
        <f aca="false">E695-C695</f>
        <v>0</v>
      </c>
      <c r="E695" s="66" t="n">
        <v>416500</v>
      </c>
    </row>
    <row r="696" customFormat="false" ht="15" hidden="false" customHeight="false" outlineLevel="0" collapsed="false">
      <c r="A696" s="44" t="n">
        <v>13</v>
      </c>
      <c r="B696" s="11" t="s">
        <v>850</v>
      </c>
      <c r="C696" s="65" t="n">
        <f aca="false">99500+150000+100000+67000</f>
        <v>416500</v>
      </c>
      <c r="D696" s="65" t="n">
        <f aca="false">E696-C696</f>
        <v>0</v>
      </c>
      <c r="E696" s="66" t="n">
        <v>416500</v>
      </c>
    </row>
    <row r="697" customFormat="false" ht="15" hidden="false" customHeight="false" outlineLevel="0" collapsed="false">
      <c r="A697" s="44" t="n">
        <v>14</v>
      </c>
      <c r="B697" s="11" t="s">
        <v>851</v>
      </c>
      <c r="C697" s="65"/>
      <c r="D697" s="65" t="n">
        <f aca="false">E697-C697</f>
        <v>416500</v>
      </c>
      <c r="E697" s="66" t="n">
        <v>416500</v>
      </c>
    </row>
    <row r="698" customFormat="false" ht="15" hidden="false" customHeight="false" outlineLevel="0" collapsed="false">
      <c r="A698" s="44" t="n">
        <v>15</v>
      </c>
      <c r="B698" s="11" t="s">
        <v>852</v>
      </c>
      <c r="C698" s="65"/>
      <c r="D698" s="65" t="n">
        <f aca="false">E698-C698</f>
        <v>416500</v>
      </c>
      <c r="E698" s="66" t="n">
        <v>416500</v>
      </c>
    </row>
    <row r="699" customFormat="false" ht="15" hidden="false" customHeight="false" outlineLevel="0" collapsed="false">
      <c r="A699" s="44" t="n">
        <v>16</v>
      </c>
      <c r="B699" s="11" t="s">
        <v>853</v>
      </c>
      <c r="C699" s="65"/>
      <c r="D699" s="65" t="n">
        <f aca="false">E699-C699</f>
        <v>416500</v>
      </c>
      <c r="E699" s="66" t="n">
        <v>416500</v>
      </c>
    </row>
    <row r="700" customFormat="false" ht="15" hidden="false" customHeight="false" outlineLevel="0" collapsed="false">
      <c r="A700" s="44" t="n">
        <v>17</v>
      </c>
      <c r="B700" s="20" t="s">
        <v>854</v>
      </c>
      <c r="C700" s="65" t="n">
        <f aca="false">200000+216500</f>
        <v>416500</v>
      </c>
      <c r="D700" s="65" t="n">
        <f aca="false">E700-C700</f>
        <v>0</v>
      </c>
      <c r="E700" s="66" t="n">
        <v>416500</v>
      </c>
    </row>
    <row r="701" customFormat="false" ht="15" hidden="false" customHeight="false" outlineLevel="0" collapsed="false">
      <c r="A701" s="44" t="n">
        <v>18</v>
      </c>
      <c r="B701" s="11" t="s">
        <v>238</v>
      </c>
      <c r="C701" s="65"/>
      <c r="D701" s="65" t="n">
        <f aca="false">E701-C701</f>
        <v>416500</v>
      </c>
      <c r="E701" s="66" t="n">
        <v>416500</v>
      </c>
    </row>
    <row r="702" customFormat="false" ht="15" hidden="false" customHeight="false" outlineLevel="0" collapsed="false">
      <c r="A702" s="44" t="n">
        <v>19</v>
      </c>
      <c r="B702" s="11" t="s">
        <v>855</v>
      </c>
      <c r="C702" s="65"/>
      <c r="D702" s="65" t="n">
        <f aca="false">E702-C702</f>
        <v>416500</v>
      </c>
      <c r="E702" s="66" t="n">
        <v>416500</v>
      </c>
    </row>
    <row r="703" customFormat="false" ht="19.7" hidden="false" customHeight="false" outlineLevel="0" collapsed="false">
      <c r="A703" s="38"/>
      <c r="B703" s="16" t="s">
        <v>60</v>
      </c>
      <c r="C703" s="24" t="n">
        <f aca="false">SUM(C684:C702)</f>
        <v>3228000</v>
      </c>
      <c r="D703" s="18" t="n">
        <f aca="false">SUM(D684:D702)</f>
        <v>4685500</v>
      </c>
      <c r="E703" s="19" t="n">
        <f aca="false">SUM(E684:E702)</f>
        <v>7913500</v>
      </c>
    </row>
    <row r="706" customFormat="false" ht="15" hidden="false" customHeight="false" outlineLevel="0" collapsed="false">
      <c r="A706" s="38"/>
    </row>
    <row r="707" customFormat="false" ht="15" hidden="false" customHeight="false" outlineLevel="0" collapsed="false">
      <c r="A707" s="38"/>
    </row>
    <row r="708" customFormat="false" ht="15" hidden="false" customHeight="false" outlineLevel="0" collapsed="false">
      <c r="A708" s="38"/>
    </row>
    <row r="709" customFormat="false" ht="17.35" hidden="false" customHeight="false" outlineLevel="0" collapsed="false">
      <c r="A709" s="37"/>
      <c r="B709" s="1" t="s">
        <v>0</v>
      </c>
      <c r="C709" s="1"/>
    </row>
    <row r="710" customFormat="false" ht="15" hidden="false" customHeight="false" outlineLevel="0" collapsed="false">
      <c r="A710" s="38"/>
    </row>
    <row r="711" customFormat="false" ht="17.35" hidden="false" customHeight="false" outlineLevel="0" collapsed="false">
      <c r="A711" s="38"/>
      <c r="B711" s="39" t="s">
        <v>856</v>
      </c>
    </row>
    <row r="712" customFormat="false" ht="15" hidden="false" customHeight="false" outlineLevel="0" collapsed="false">
      <c r="A712" s="38"/>
      <c r="B712" s="3" t="s">
        <v>222</v>
      </c>
    </row>
    <row r="713" customFormat="false" ht="15" hidden="false" customHeight="false" outlineLevel="0" collapsed="false">
      <c r="A713" s="38"/>
    </row>
    <row r="714" customFormat="false" ht="15" hidden="false" customHeight="false" outlineLevel="0" collapsed="false">
      <c r="A714" s="40" t="s">
        <v>4</v>
      </c>
      <c r="B714" s="6" t="s">
        <v>5</v>
      </c>
      <c r="C714" s="7" t="s">
        <v>6</v>
      </c>
      <c r="D714" s="8" t="s">
        <v>7</v>
      </c>
      <c r="E714" s="9" t="s">
        <v>8</v>
      </c>
    </row>
    <row r="715" customFormat="false" ht="15" hidden="false" customHeight="false" outlineLevel="0" collapsed="false">
      <c r="A715" s="44" t="n">
        <v>1</v>
      </c>
      <c r="B715" s="11" t="s">
        <v>857</v>
      </c>
      <c r="C715" s="65"/>
      <c r="D715" s="65" t="n">
        <f aca="false">E715-C715</f>
        <v>416500</v>
      </c>
      <c r="E715" s="66" t="n">
        <v>416500</v>
      </c>
    </row>
    <row r="716" customFormat="false" ht="15" hidden="false" customHeight="false" outlineLevel="0" collapsed="false">
      <c r="A716" s="44" t="n">
        <v>2</v>
      </c>
      <c r="B716" s="11" t="s">
        <v>858</v>
      </c>
      <c r="C716" s="65" t="n">
        <f aca="false">30000+100000+286500</f>
        <v>416500</v>
      </c>
      <c r="D716" s="65" t="n">
        <f aca="false">E716-C716</f>
        <v>0</v>
      </c>
      <c r="E716" s="66" t="n">
        <v>416500</v>
      </c>
    </row>
    <row r="717" customFormat="false" ht="15" hidden="false" customHeight="false" outlineLevel="0" collapsed="false">
      <c r="A717" s="44" t="n">
        <v>3</v>
      </c>
      <c r="B717" s="11" t="s">
        <v>859</v>
      </c>
      <c r="C717" s="65" t="n">
        <f aca="false">100000+216500</f>
        <v>316500</v>
      </c>
      <c r="D717" s="65" t="n">
        <f aca="false">E717-C717</f>
        <v>100000</v>
      </c>
      <c r="E717" s="66" t="n">
        <v>416500</v>
      </c>
    </row>
    <row r="718" customFormat="false" ht="15" hidden="false" customHeight="false" outlineLevel="0" collapsed="false">
      <c r="A718" s="44" t="n">
        <v>4</v>
      </c>
      <c r="B718" s="11" t="s">
        <v>860</v>
      </c>
      <c r="C718" s="65" t="n">
        <v>416500</v>
      </c>
      <c r="D718" s="65" t="n">
        <f aca="false">E718-C718</f>
        <v>0</v>
      </c>
      <c r="E718" s="66" t="n">
        <v>416500</v>
      </c>
    </row>
    <row r="719" customFormat="false" ht="15" hidden="false" customHeight="false" outlineLevel="0" collapsed="false">
      <c r="A719" s="44" t="n">
        <v>5</v>
      </c>
      <c r="B719" s="11" t="s">
        <v>861</v>
      </c>
      <c r="C719" s="65" t="n">
        <f aca="false">200000+200000+16500</f>
        <v>416500</v>
      </c>
      <c r="D719" s="65" t="n">
        <f aca="false">E719-C719</f>
        <v>0</v>
      </c>
      <c r="E719" s="66" t="n">
        <v>416500</v>
      </c>
    </row>
    <row r="720" customFormat="false" ht="15" hidden="false" customHeight="false" outlineLevel="0" collapsed="false">
      <c r="A720" s="44" t="n">
        <v>6</v>
      </c>
      <c r="B720" s="11" t="s">
        <v>862</v>
      </c>
      <c r="C720" s="65" t="n">
        <f aca="false">100000+316500</f>
        <v>416500</v>
      </c>
      <c r="D720" s="65" t="n">
        <f aca="false">E720-C720</f>
        <v>0</v>
      </c>
      <c r="E720" s="66" t="n">
        <v>416500</v>
      </c>
    </row>
    <row r="721" customFormat="false" ht="15" hidden="false" customHeight="false" outlineLevel="0" collapsed="false">
      <c r="A721" s="44" t="n">
        <v>7</v>
      </c>
      <c r="B721" s="11" t="s">
        <v>863</v>
      </c>
      <c r="C721" s="65" t="n">
        <f aca="false">416500</f>
        <v>416500</v>
      </c>
      <c r="D721" s="65" t="n">
        <f aca="false">E721-C721</f>
        <v>0</v>
      </c>
      <c r="E721" s="66" t="n">
        <v>416500</v>
      </c>
    </row>
    <row r="722" customFormat="false" ht="15" hidden="false" customHeight="false" outlineLevel="0" collapsed="false">
      <c r="A722" s="44" t="n">
        <v>8</v>
      </c>
      <c r="B722" s="11" t="s">
        <v>864</v>
      </c>
      <c r="C722" s="65" t="n">
        <f aca="false">416000+500</f>
        <v>416500</v>
      </c>
      <c r="D722" s="65" t="n">
        <f aca="false">E722-C722</f>
        <v>0</v>
      </c>
      <c r="E722" s="66" t="n">
        <v>416500</v>
      </c>
    </row>
    <row r="723" customFormat="false" ht="15" hidden="false" customHeight="false" outlineLevel="0" collapsed="false">
      <c r="A723" s="44" t="n">
        <v>9</v>
      </c>
      <c r="B723" s="11" t="s">
        <v>865</v>
      </c>
      <c r="C723" s="65" t="n">
        <f aca="false">100000+316500</f>
        <v>416500</v>
      </c>
      <c r="D723" s="65" t="n">
        <f aca="false">E723-C723</f>
        <v>0</v>
      </c>
      <c r="E723" s="66" t="n">
        <v>416500</v>
      </c>
    </row>
    <row r="724" customFormat="false" ht="15" hidden="false" customHeight="false" outlineLevel="0" collapsed="false">
      <c r="A724" s="44" t="n">
        <v>10</v>
      </c>
      <c r="B724" s="11" t="s">
        <v>866</v>
      </c>
      <c r="C724" s="65" t="n">
        <f aca="false">116000+300500</f>
        <v>416500</v>
      </c>
      <c r="D724" s="65" t="n">
        <f aca="false">E724-C724</f>
        <v>0</v>
      </c>
      <c r="E724" s="66" t="n">
        <v>416500</v>
      </c>
    </row>
    <row r="725" customFormat="false" ht="15" hidden="false" customHeight="false" outlineLevel="0" collapsed="false">
      <c r="A725" s="44" t="n">
        <v>11</v>
      </c>
      <c r="B725" s="11" t="s">
        <v>867</v>
      </c>
      <c r="C725" s="0" t="n">
        <f aca="false">210000</f>
        <v>210000</v>
      </c>
      <c r="D725" s="65" t="n">
        <f aca="false">E725-E729</f>
        <v>206500</v>
      </c>
      <c r="E725" s="66" t="n">
        <v>416500</v>
      </c>
    </row>
    <row r="726" customFormat="false" ht="15" hidden="false" customHeight="false" outlineLevel="0" collapsed="false">
      <c r="A726" s="44" t="n">
        <v>12</v>
      </c>
      <c r="B726" s="11" t="s">
        <v>868</v>
      </c>
      <c r="C726" s="65" t="n">
        <f aca="false">30000+150000+236500</f>
        <v>416500</v>
      </c>
      <c r="D726" s="65" t="n">
        <f aca="false">E726-C726</f>
        <v>0</v>
      </c>
      <c r="E726" s="66" t="n">
        <v>416500</v>
      </c>
    </row>
    <row r="727" customFormat="false" ht="15" hidden="false" customHeight="false" outlineLevel="0" collapsed="false">
      <c r="A727" s="44" t="n">
        <v>13</v>
      </c>
      <c r="B727" s="11" t="s">
        <v>869</v>
      </c>
      <c r="C727" s="65" t="n">
        <f aca="false">150000+265000+1500</f>
        <v>416500</v>
      </c>
      <c r="D727" s="65" t="n">
        <f aca="false">E727-C727</f>
        <v>0</v>
      </c>
      <c r="E727" s="66" t="n">
        <v>416500</v>
      </c>
    </row>
    <row r="728" customFormat="false" ht="19.7" hidden="false" customHeight="false" outlineLevel="0" collapsed="false">
      <c r="A728" s="38"/>
      <c r="B728" s="16" t="s">
        <v>60</v>
      </c>
      <c r="C728" s="24" t="n">
        <f aca="false">SUM(C715:C727)</f>
        <v>4691500</v>
      </c>
      <c r="D728" s="18" t="n">
        <f aca="false">SUM(D715:D727)</f>
        <v>723000</v>
      </c>
      <c r="E728" s="75" t="n">
        <f aca="false">SUM(E715:E727)</f>
        <v>5414500</v>
      </c>
    </row>
    <row r="729" customFormat="false" ht="15" hidden="false" customHeight="false" outlineLevel="0" collapsed="false">
      <c r="E729" s="65" t="n">
        <v>210000</v>
      </c>
    </row>
    <row r="731" customFormat="false" ht="15" hidden="false" customHeight="false" outlineLevel="0" collapsed="false">
      <c r="A731" s="38"/>
    </row>
    <row r="732" customFormat="false" ht="15" hidden="false" customHeight="false" outlineLevel="0" collapsed="false">
      <c r="A732" s="38"/>
    </row>
    <row r="733" customFormat="false" ht="17.35" hidden="false" customHeight="false" outlineLevel="0" collapsed="false">
      <c r="A733" s="37"/>
      <c r="B733" s="1" t="s">
        <v>0</v>
      </c>
      <c r="C733" s="1"/>
    </row>
    <row r="734" customFormat="false" ht="15" hidden="false" customHeight="false" outlineLevel="0" collapsed="false">
      <c r="A734" s="38"/>
    </row>
    <row r="735" customFormat="false" ht="17.35" hidden="false" customHeight="false" outlineLevel="0" collapsed="false">
      <c r="A735" s="38"/>
      <c r="B735" s="39" t="s">
        <v>870</v>
      </c>
    </row>
    <row r="736" customFormat="false" ht="15" hidden="false" customHeight="false" outlineLevel="0" collapsed="false">
      <c r="A736" s="38"/>
      <c r="B736" s="3" t="s">
        <v>222</v>
      </c>
    </row>
    <row r="737" customFormat="false" ht="15" hidden="false" customHeight="false" outlineLevel="0" collapsed="false">
      <c r="A737" s="38"/>
    </row>
    <row r="738" customFormat="false" ht="15" hidden="false" customHeight="false" outlineLevel="0" collapsed="false">
      <c r="A738" s="40" t="s">
        <v>4</v>
      </c>
      <c r="B738" s="6" t="s">
        <v>5</v>
      </c>
      <c r="C738" s="7" t="s">
        <v>6</v>
      </c>
      <c r="D738" s="8" t="s">
        <v>7</v>
      </c>
      <c r="E738" s="9" t="s">
        <v>8</v>
      </c>
    </row>
    <row r="739" customFormat="false" ht="15" hidden="false" customHeight="false" outlineLevel="0" collapsed="false">
      <c r="A739" s="44" t="n">
        <v>1</v>
      </c>
      <c r="B739" s="11" t="s">
        <v>871</v>
      </c>
      <c r="C739" s="65" t="n">
        <v>416500</v>
      </c>
      <c r="D739" s="65" t="n">
        <f aca="false">E739-C739</f>
        <v>0</v>
      </c>
      <c r="E739" s="66" t="n">
        <v>416500</v>
      </c>
    </row>
    <row r="740" customFormat="false" ht="15" hidden="false" customHeight="false" outlineLevel="0" collapsed="false">
      <c r="A740" s="44" t="n">
        <v>2</v>
      </c>
      <c r="B740" s="11" t="s">
        <v>872</v>
      </c>
      <c r="C740" s="65" t="n">
        <f aca="false">303500+100000+13000</f>
        <v>416500</v>
      </c>
      <c r="D740" s="65" t="n">
        <f aca="false">E740-C740</f>
        <v>0</v>
      </c>
      <c r="E740" s="66" t="n">
        <v>416500</v>
      </c>
    </row>
    <row r="741" customFormat="false" ht="15" hidden="false" customHeight="false" outlineLevel="0" collapsed="false">
      <c r="A741" s="44" t="n">
        <v>3</v>
      </c>
      <c r="B741" s="11" t="s">
        <v>873</v>
      </c>
      <c r="C741" s="65" t="n">
        <v>416500</v>
      </c>
      <c r="D741" s="65" t="n">
        <f aca="false">E741-C741</f>
        <v>0</v>
      </c>
      <c r="E741" s="66" t="n">
        <v>416500</v>
      </c>
    </row>
    <row r="742" customFormat="false" ht="15" hidden="false" customHeight="false" outlineLevel="0" collapsed="false">
      <c r="A742" s="44" t="n">
        <v>4</v>
      </c>
      <c r="B742" s="11" t="s">
        <v>874</v>
      </c>
      <c r="C742" s="65" t="n">
        <f aca="false">383500+33000</f>
        <v>416500</v>
      </c>
      <c r="D742" s="65" t="n">
        <f aca="false">E742-C742</f>
        <v>0</v>
      </c>
      <c r="E742" s="66" t="n">
        <v>416500</v>
      </c>
    </row>
    <row r="743" customFormat="false" ht="15" hidden="false" customHeight="false" outlineLevel="0" collapsed="false">
      <c r="A743" s="44" t="n">
        <v>5</v>
      </c>
      <c r="B743" s="11" t="s">
        <v>875</v>
      </c>
      <c r="C743" s="65"/>
      <c r="D743" s="65" t="n">
        <f aca="false">E743-C743</f>
        <v>416500</v>
      </c>
      <c r="E743" s="66" t="n">
        <v>416500</v>
      </c>
    </row>
    <row r="744" customFormat="false" ht="15" hidden="false" customHeight="false" outlineLevel="0" collapsed="false">
      <c r="A744" s="44" t="n">
        <v>6</v>
      </c>
      <c r="B744" s="11" t="s">
        <v>876</v>
      </c>
      <c r="C744" s="65" t="n">
        <v>416500</v>
      </c>
      <c r="D744" s="65" t="n">
        <f aca="false">E744-C744</f>
        <v>0</v>
      </c>
      <c r="E744" s="66" t="n">
        <v>416500</v>
      </c>
    </row>
    <row r="745" customFormat="false" ht="15" hidden="false" customHeight="false" outlineLevel="0" collapsed="false">
      <c r="A745" s="44" t="n">
        <v>7</v>
      </c>
      <c r="B745" s="11" t="s">
        <v>877</v>
      </c>
      <c r="C745" s="65" t="n">
        <v>416500</v>
      </c>
      <c r="D745" s="65" t="n">
        <f aca="false">E745-C745</f>
        <v>0</v>
      </c>
      <c r="E745" s="66" t="n">
        <v>416500</v>
      </c>
    </row>
    <row r="746" customFormat="false" ht="15" hidden="false" customHeight="false" outlineLevel="0" collapsed="false">
      <c r="A746" s="44" t="n">
        <v>8</v>
      </c>
      <c r="B746" s="11" t="s">
        <v>878</v>
      </c>
      <c r="C746" s="65" t="n">
        <f aca="false">416500</f>
        <v>416500</v>
      </c>
      <c r="D746" s="65" t="n">
        <f aca="false">E746-C746</f>
        <v>0</v>
      </c>
      <c r="E746" s="66" t="n">
        <v>416500</v>
      </c>
    </row>
    <row r="747" customFormat="false" ht="15" hidden="false" customHeight="false" outlineLevel="0" collapsed="false">
      <c r="A747" s="44" t="n">
        <v>9</v>
      </c>
      <c r="B747" s="11" t="s">
        <v>879</v>
      </c>
      <c r="C747" s="65"/>
      <c r="D747" s="65" t="n">
        <f aca="false">E747-C747</f>
        <v>416500</v>
      </c>
      <c r="E747" s="66" t="n">
        <v>416500</v>
      </c>
    </row>
    <row r="748" customFormat="false" ht="15" hidden="false" customHeight="false" outlineLevel="0" collapsed="false">
      <c r="A748" s="44" t="n">
        <v>10</v>
      </c>
      <c r="B748" s="11" t="s">
        <v>880</v>
      </c>
      <c r="C748" s="65"/>
      <c r="D748" s="65" t="n">
        <f aca="false">E748-C748</f>
        <v>416500</v>
      </c>
      <c r="E748" s="66" t="n">
        <v>416500</v>
      </c>
    </row>
    <row r="749" customFormat="false" ht="19.7" hidden="false" customHeight="false" outlineLevel="0" collapsed="false">
      <c r="A749" s="38"/>
      <c r="B749" s="16" t="s">
        <v>60</v>
      </c>
      <c r="C749" s="24" t="n">
        <f aca="false">SUM(C739:C748)</f>
        <v>2915500</v>
      </c>
      <c r="D749" s="18" t="n">
        <f aca="false">SUM(D739:D748)</f>
        <v>1249500</v>
      </c>
      <c r="E749" s="19" t="n">
        <f aca="false">SUM(E739:E748)</f>
        <v>4165000</v>
      </c>
    </row>
    <row r="752" customFormat="false" ht="15" hidden="false" customHeight="false" outlineLevel="0" collapsed="false">
      <c r="A752" s="38"/>
    </row>
    <row r="753" customFormat="false" ht="15" hidden="false" customHeight="false" outlineLevel="0" collapsed="false">
      <c r="A753" s="38"/>
    </row>
    <row r="754" customFormat="false" ht="15" hidden="false" customHeight="false" outlineLevel="0" collapsed="false">
      <c r="A754" s="38"/>
    </row>
    <row r="755" customFormat="false" ht="15" hidden="false" customHeight="false" outlineLevel="0" collapsed="false">
      <c r="A755" s="38"/>
    </row>
    <row r="756" customFormat="false" ht="15" hidden="false" customHeight="false" outlineLevel="0" collapsed="false">
      <c r="A756" s="38"/>
    </row>
    <row r="757" customFormat="false" ht="17.35" hidden="false" customHeight="false" outlineLevel="0" collapsed="false">
      <c r="A757" s="37"/>
      <c r="B757" s="1" t="s">
        <v>0</v>
      </c>
    </row>
    <row r="758" customFormat="false" ht="15" hidden="false" customHeight="false" outlineLevel="0" collapsed="false">
      <c r="A758" s="38"/>
    </row>
    <row r="759" customFormat="false" ht="17.35" hidden="false" customHeight="false" outlineLevel="0" collapsed="false">
      <c r="A759" s="38"/>
      <c r="B759" s="39" t="s">
        <v>881</v>
      </c>
    </row>
    <row r="760" customFormat="false" ht="15" hidden="false" customHeight="false" outlineLevel="0" collapsed="false">
      <c r="A760" s="38"/>
      <c r="B760" s="3" t="s">
        <v>240</v>
      </c>
    </row>
    <row r="761" customFormat="false" ht="15" hidden="false" customHeight="false" outlineLevel="0" collapsed="false">
      <c r="A761" s="38"/>
    </row>
    <row r="762" customFormat="false" ht="15" hidden="false" customHeight="false" outlineLevel="0" collapsed="false">
      <c r="A762" s="40" t="s">
        <v>4</v>
      </c>
      <c r="B762" s="6" t="s">
        <v>5</v>
      </c>
      <c r="C762" s="7" t="s">
        <v>6</v>
      </c>
      <c r="D762" s="8" t="s">
        <v>7</v>
      </c>
      <c r="E762" s="9" t="s">
        <v>8</v>
      </c>
    </row>
    <row r="763" customFormat="false" ht="15" hidden="false" customHeight="false" outlineLevel="0" collapsed="false">
      <c r="A763" s="44" t="n">
        <v>1</v>
      </c>
      <c r="B763" s="11" t="s">
        <v>882</v>
      </c>
      <c r="C763" s="65" t="n">
        <f aca="false">116500+120000+180000</f>
        <v>416500</v>
      </c>
      <c r="D763" s="65" t="n">
        <f aca="false">E763-C763</f>
        <v>0</v>
      </c>
      <c r="E763" s="66" t="n">
        <v>416500</v>
      </c>
    </row>
    <row r="764" customFormat="false" ht="15" hidden="false" customHeight="false" outlineLevel="0" collapsed="false">
      <c r="A764" s="44" t="n">
        <v>2</v>
      </c>
      <c r="B764" s="11" t="s">
        <v>883</v>
      </c>
      <c r="C764" s="65" t="n">
        <f aca="false">40000+376500</f>
        <v>416500</v>
      </c>
      <c r="D764" s="65" t="n">
        <f aca="false">E764-C764</f>
        <v>0</v>
      </c>
      <c r="E764" s="66" t="n">
        <v>416500</v>
      </c>
    </row>
    <row r="765" customFormat="false" ht="15" hidden="false" customHeight="false" outlineLevel="0" collapsed="false">
      <c r="A765" s="44" t="n">
        <v>3</v>
      </c>
      <c r="B765" s="14" t="s">
        <v>884</v>
      </c>
      <c r="C765" s="65" t="n">
        <f aca="false">100000</f>
        <v>100000</v>
      </c>
      <c r="D765" s="65" t="n">
        <f aca="false">E765-C765</f>
        <v>316500</v>
      </c>
      <c r="E765" s="66" t="n">
        <v>416500</v>
      </c>
    </row>
    <row r="766" customFormat="false" ht="15" hidden="false" customHeight="false" outlineLevel="0" collapsed="false">
      <c r="A766" s="44" t="n">
        <v>4</v>
      </c>
      <c r="B766" s="11" t="s">
        <v>885</v>
      </c>
      <c r="C766" s="65" t="n">
        <f aca="false">100000+316500</f>
        <v>416500</v>
      </c>
      <c r="D766" s="65" t="n">
        <v>0</v>
      </c>
      <c r="E766" s="66" t="n">
        <v>416500</v>
      </c>
    </row>
    <row r="767" customFormat="false" ht="15" hidden="false" customHeight="false" outlineLevel="0" collapsed="false">
      <c r="A767" s="44" t="n">
        <v>5</v>
      </c>
      <c r="B767" s="11" t="s">
        <v>886</v>
      </c>
      <c r="C767" s="65" t="n">
        <f aca="false">116500+280000+20000</f>
        <v>416500</v>
      </c>
      <c r="D767" s="65" t="n">
        <f aca="false">E767-C767</f>
        <v>0</v>
      </c>
      <c r="E767" s="66" t="n">
        <v>416500</v>
      </c>
    </row>
    <row r="768" customFormat="false" ht="15" hidden="false" customHeight="false" outlineLevel="0" collapsed="false">
      <c r="A768" s="44" t="n">
        <v>6</v>
      </c>
      <c r="B768" s="11" t="s">
        <v>887</v>
      </c>
      <c r="C768" s="65" t="n">
        <f aca="false">120000+80000+120000+96500</f>
        <v>416500</v>
      </c>
      <c r="D768" s="65" t="n">
        <f aca="false">E768-C768</f>
        <v>0</v>
      </c>
      <c r="E768" s="66" t="n">
        <v>416500</v>
      </c>
    </row>
    <row r="769" customFormat="false" ht="15" hidden="false" customHeight="false" outlineLevel="0" collapsed="false">
      <c r="A769" s="44" t="n">
        <v>7</v>
      </c>
      <c r="B769" s="20" t="s">
        <v>888</v>
      </c>
      <c r="C769" s="65"/>
      <c r="D769" s="65" t="n">
        <f aca="false">E769-C769</f>
        <v>416500</v>
      </c>
      <c r="E769" s="66" t="n">
        <v>416500</v>
      </c>
    </row>
    <row r="770" customFormat="false" ht="15" hidden="false" customHeight="false" outlineLevel="0" collapsed="false">
      <c r="A770" s="44" t="n">
        <v>8</v>
      </c>
      <c r="B770" s="11" t="s">
        <v>889</v>
      </c>
      <c r="C770" s="65" t="n">
        <f aca="false">49500+100000+267000</f>
        <v>416500</v>
      </c>
      <c r="D770" s="65" t="n">
        <f aca="false">E770-C770</f>
        <v>0</v>
      </c>
      <c r="E770" s="66" t="n">
        <v>416500</v>
      </c>
    </row>
    <row r="771" customFormat="false" ht="15" hidden="false" customHeight="false" outlineLevel="0" collapsed="false">
      <c r="A771" s="44" t="n">
        <v>9</v>
      </c>
      <c r="B771" s="11" t="s">
        <v>890</v>
      </c>
      <c r="C771" s="65" t="n">
        <f aca="false">60000+270000+86500</f>
        <v>416500</v>
      </c>
      <c r="D771" s="65" t="n">
        <f aca="false">E771-C771</f>
        <v>0</v>
      </c>
      <c r="E771" s="66" t="n">
        <v>416500</v>
      </c>
    </row>
    <row r="772" customFormat="false" ht="15" hidden="false" customHeight="false" outlineLevel="0" collapsed="false">
      <c r="A772" s="44" t="n">
        <v>10</v>
      </c>
      <c r="B772" s="11" t="s">
        <v>891</v>
      </c>
      <c r="C772" s="65" t="n">
        <f aca="false">50000</f>
        <v>50000</v>
      </c>
      <c r="D772" s="65" t="n">
        <f aca="false">E772-C772</f>
        <v>366500</v>
      </c>
      <c r="E772" s="66" t="n">
        <v>416500</v>
      </c>
    </row>
    <row r="773" customFormat="false" ht="15" hidden="false" customHeight="false" outlineLevel="0" collapsed="false">
      <c r="A773" s="44" t="n">
        <v>11</v>
      </c>
      <c r="B773" s="11" t="s">
        <v>892</v>
      </c>
      <c r="C773" s="65" t="n">
        <f aca="false">135000+50000+70000+161500</f>
        <v>416500</v>
      </c>
      <c r="D773" s="65" t="n">
        <f aca="false">E773-C773</f>
        <v>0</v>
      </c>
      <c r="E773" s="66" t="n">
        <v>416500</v>
      </c>
    </row>
    <row r="774" customFormat="false" ht="15" hidden="false" customHeight="false" outlineLevel="0" collapsed="false">
      <c r="A774" s="44" t="n">
        <v>12</v>
      </c>
      <c r="B774" s="11" t="s">
        <v>893</v>
      </c>
      <c r="C774" s="65" t="n">
        <v>416500</v>
      </c>
      <c r="D774" s="65" t="n">
        <v>0</v>
      </c>
      <c r="E774" s="66" t="n">
        <v>416500</v>
      </c>
    </row>
    <row r="775" customFormat="false" ht="15" hidden="false" customHeight="false" outlineLevel="0" collapsed="false">
      <c r="A775" s="44" t="n">
        <v>13</v>
      </c>
      <c r="B775" s="11" t="s">
        <v>894</v>
      </c>
      <c r="C775" s="65"/>
      <c r="D775" s="65" t="n">
        <f aca="false">E775-C775</f>
        <v>416500</v>
      </c>
      <c r="E775" s="66" t="n">
        <v>416500</v>
      </c>
    </row>
    <row r="776" customFormat="false" ht="15" hidden="false" customHeight="false" outlineLevel="0" collapsed="false">
      <c r="A776" s="44" t="n">
        <v>14</v>
      </c>
      <c r="B776" s="11" t="s">
        <v>895</v>
      </c>
      <c r="C776" s="65" t="n">
        <v>200000</v>
      </c>
      <c r="D776" s="65" t="n">
        <v>216500</v>
      </c>
      <c r="E776" s="66" t="n">
        <v>416500</v>
      </c>
    </row>
    <row r="777" customFormat="false" ht="15" hidden="false" customHeight="false" outlineLevel="0" collapsed="false">
      <c r="A777" s="44" t="n">
        <v>15</v>
      </c>
      <c r="B777" s="11" t="s">
        <v>896</v>
      </c>
      <c r="C777" s="65" t="n">
        <v>15000</v>
      </c>
      <c r="D777" s="65" t="n">
        <f aca="false">E777-C777</f>
        <v>401500</v>
      </c>
      <c r="E777" s="66" t="n">
        <v>416500</v>
      </c>
    </row>
    <row r="778" customFormat="false" ht="19.7" hidden="false" customHeight="false" outlineLevel="0" collapsed="false">
      <c r="A778" s="74"/>
      <c r="B778" s="16" t="s">
        <v>60</v>
      </c>
      <c r="C778" s="24" t="n">
        <f aca="false">SUM(C763:C777)</f>
        <v>4113500</v>
      </c>
      <c r="D778" s="18" t="n">
        <f aca="false">SUM(D763:D777)</f>
        <v>2134000</v>
      </c>
      <c r="E778" s="75" t="n">
        <f aca="false">SUM(E763:E777)</f>
        <v>6247500</v>
      </c>
    </row>
    <row r="781" customFormat="false" ht="15" hidden="false" customHeight="false" outlineLevel="0" collapsed="false">
      <c r="A781" s="38"/>
    </row>
    <row r="782" customFormat="false" ht="15" hidden="false" customHeight="false" outlineLevel="0" collapsed="false">
      <c r="A782" s="38"/>
    </row>
    <row r="783" customFormat="false" ht="15" hidden="false" customHeight="false" outlineLevel="0" collapsed="false">
      <c r="A783" s="38"/>
    </row>
    <row r="784" customFormat="false" ht="17.35" hidden="false" customHeight="false" outlineLevel="0" collapsed="false">
      <c r="A784" s="37"/>
      <c r="B784" s="1" t="s">
        <v>0</v>
      </c>
    </row>
    <row r="785" customFormat="false" ht="15" hidden="false" customHeight="false" outlineLevel="0" collapsed="false">
      <c r="A785" s="38"/>
    </row>
    <row r="786" customFormat="false" ht="17.35" hidden="false" customHeight="false" outlineLevel="0" collapsed="false">
      <c r="A786" s="38"/>
      <c r="B786" s="39" t="s">
        <v>897</v>
      </c>
    </row>
    <row r="787" customFormat="false" ht="15" hidden="false" customHeight="false" outlineLevel="0" collapsed="false">
      <c r="A787" s="38"/>
      <c r="B787" s="3" t="s">
        <v>240</v>
      </c>
    </row>
    <row r="788" customFormat="false" ht="15" hidden="false" customHeight="false" outlineLevel="0" collapsed="false">
      <c r="A788" s="38"/>
    </row>
    <row r="789" customFormat="false" ht="15" hidden="false" customHeight="false" outlineLevel="0" collapsed="false">
      <c r="A789" s="40" t="s">
        <v>4</v>
      </c>
      <c r="B789" s="6" t="s">
        <v>5</v>
      </c>
      <c r="C789" s="7" t="s">
        <v>6</v>
      </c>
      <c r="D789" s="8" t="s">
        <v>7</v>
      </c>
      <c r="E789" s="9" t="s">
        <v>8</v>
      </c>
    </row>
    <row r="790" customFormat="false" ht="15" hidden="false" customHeight="false" outlineLevel="0" collapsed="false">
      <c r="A790" s="44" t="n">
        <v>1</v>
      </c>
      <c r="B790" s="11" t="s">
        <v>898</v>
      </c>
      <c r="C790" s="65" t="n">
        <f aca="false">206500+100000+110000</f>
        <v>416500</v>
      </c>
      <c r="D790" s="65" t="n">
        <f aca="false">E790-C790</f>
        <v>0</v>
      </c>
      <c r="E790" s="66" t="n">
        <v>416500</v>
      </c>
    </row>
    <row r="791" customFormat="false" ht="15" hidden="false" customHeight="false" outlineLevel="0" collapsed="false">
      <c r="A791" s="44" t="n">
        <v>2</v>
      </c>
      <c r="B791" s="11" t="s">
        <v>899</v>
      </c>
      <c r="C791" s="65" t="n">
        <f aca="false">150000+200000+66500</f>
        <v>416500</v>
      </c>
      <c r="D791" s="65" t="n">
        <f aca="false">E791-C791</f>
        <v>0</v>
      </c>
      <c r="E791" s="66" t="n">
        <v>416500</v>
      </c>
    </row>
    <row r="792" customFormat="false" ht="15" hidden="false" customHeight="false" outlineLevel="0" collapsed="false">
      <c r="A792" s="44" t="n">
        <v>3</v>
      </c>
      <c r="B792" s="11" t="s">
        <v>900</v>
      </c>
      <c r="C792" s="65" t="n">
        <f aca="false">200000+216500</f>
        <v>416500</v>
      </c>
      <c r="D792" s="65" t="n">
        <f aca="false">E792-C792</f>
        <v>0</v>
      </c>
      <c r="E792" s="66" t="n">
        <v>416500</v>
      </c>
    </row>
    <row r="793" customFormat="false" ht="15" hidden="false" customHeight="false" outlineLevel="0" collapsed="false">
      <c r="A793" s="44" t="n">
        <v>4</v>
      </c>
      <c r="B793" s="11" t="s">
        <v>901</v>
      </c>
      <c r="C793" s="65" t="n">
        <f aca="false">120000+196500+100000</f>
        <v>416500</v>
      </c>
      <c r="D793" s="65" t="n">
        <f aca="false">E793-C793</f>
        <v>0</v>
      </c>
      <c r="E793" s="66" t="n">
        <v>416500</v>
      </c>
    </row>
    <row r="794" customFormat="false" ht="15" hidden="false" customHeight="false" outlineLevel="0" collapsed="false">
      <c r="A794" s="44" t="n">
        <v>5</v>
      </c>
      <c r="B794" s="11" t="s">
        <v>902</v>
      </c>
      <c r="C794" s="65" t="n">
        <f aca="false">100000+316500</f>
        <v>416500</v>
      </c>
      <c r="D794" s="65" t="n">
        <f aca="false">E794-C794</f>
        <v>0</v>
      </c>
      <c r="E794" s="66" t="n">
        <v>416500</v>
      </c>
    </row>
    <row r="795" customFormat="false" ht="15" hidden="false" customHeight="false" outlineLevel="0" collapsed="false">
      <c r="A795" s="44" t="n">
        <v>6</v>
      </c>
      <c r="B795" s="11" t="s">
        <v>903</v>
      </c>
      <c r="C795" s="65" t="n">
        <f aca="false">100000+200000+116+500+116500</f>
        <v>417116</v>
      </c>
      <c r="D795" s="65" t="n">
        <f aca="false">E795-C795</f>
        <v>-616</v>
      </c>
      <c r="E795" s="66" t="n">
        <v>416500</v>
      </c>
    </row>
    <row r="796" customFormat="false" ht="15" hidden="false" customHeight="false" outlineLevel="0" collapsed="false">
      <c r="A796" s="44" t="n">
        <v>7</v>
      </c>
      <c r="B796" s="11" t="s">
        <v>904</v>
      </c>
      <c r="C796" s="65" t="n">
        <f aca="false">40000+300000</f>
        <v>340000</v>
      </c>
      <c r="D796" s="65" t="n">
        <f aca="false">E796-C796</f>
        <v>76500</v>
      </c>
      <c r="E796" s="66" t="n">
        <v>416500</v>
      </c>
    </row>
    <row r="797" customFormat="false" ht="15" hidden="false" customHeight="false" outlineLevel="0" collapsed="false">
      <c r="A797" s="44" t="n">
        <v>8</v>
      </c>
      <c r="B797" s="20" t="s">
        <v>905</v>
      </c>
      <c r="C797" s="65" t="n">
        <f aca="false">100000+200000</f>
        <v>300000</v>
      </c>
      <c r="D797" s="65" t="n">
        <v>116500</v>
      </c>
      <c r="E797" s="66" t="n">
        <v>416500</v>
      </c>
    </row>
    <row r="798" customFormat="false" ht="15" hidden="false" customHeight="false" outlineLevel="0" collapsed="false">
      <c r="A798" s="44" t="n">
        <v>9</v>
      </c>
      <c r="B798" s="11" t="s">
        <v>906</v>
      </c>
      <c r="C798" s="65" t="n">
        <f aca="false">40000+340000+30500+6000</f>
        <v>416500</v>
      </c>
      <c r="D798" s="65" t="n">
        <f aca="false">E798-C798</f>
        <v>0</v>
      </c>
      <c r="E798" s="66" t="n">
        <v>416500</v>
      </c>
    </row>
    <row r="799" customFormat="false" ht="15" hidden="false" customHeight="false" outlineLevel="0" collapsed="false">
      <c r="A799" s="44" t="n">
        <v>10</v>
      </c>
      <c r="B799" s="11" t="s">
        <v>907</v>
      </c>
      <c r="C799" s="65" t="n">
        <f aca="false">50000+50000+100000+216500</f>
        <v>416500</v>
      </c>
      <c r="D799" s="65" t="n">
        <f aca="false">E799-C799</f>
        <v>0</v>
      </c>
      <c r="E799" s="66" t="n">
        <v>416500</v>
      </c>
    </row>
    <row r="800" customFormat="false" ht="15" hidden="false" customHeight="false" outlineLevel="0" collapsed="false">
      <c r="A800" s="44" t="n">
        <v>11</v>
      </c>
      <c r="B800" s="11" t="s">
        <v>908</v>
      </c>
      <c r="C800" s="65" t="n">
        <f aca="false">200000+50000+50000+116500</f>
        <v>416500</v>
      </c>
      <c r="D800" s="65" t="n">
        <f aca="false">E800-C800</f>
        <v>0</v>
      </c>
      <c r="E800" s="66" t="n">
        <v>416500</v>
      </c>
    </row>
    <row r="801" customFormat="false" ht="15" hidden="false" customHeight="false" outlineLevel="0" collapsed="false">
      <c r="A801" s="44" t="n">
        <v>12</v>
      </c>
      <c r="B801" s="11" t="s">
        <v>909</v>
      </c>
      <c r="C801" s="65" t="n">
        <f aca="false">100000+196500+120000</f>
        <v>416500</v>
      </c>
      <c r="D801" s="65" t="n">
        <f aca="false">E801-C801</f>
        <v>0</v>
      </c>
      <c r="E801" s="66" t="n">
        <v>416500</v>
      </c>
    </row>
    <row r="802" customFormat="false" ht="15" hidden="false" customHeight="false" outlineLevel="0" collapsed="false">
      <c r="A802" s="44" t="n">
        <v>13</v>
      </c>
      <c r="B802" s="11" t="s">
        <v>910</v>
      </c>
      <c r="C802" s="65" t="n">
        <f aca="false">100500</f>
        <v>100500</v>
      </c>
      <c r="D802" s="65" t="n">
        <f aca="false">E802-C802</f>
        <v>316000</v>
      </c>
      <c r="E802" s="66" t="n">
        <v>416500</v>
      </c>
    </row>
    <row r="803" customFormat="false" ht="15" hidden="false" customHeight="false" outlineLevel="0" collapsed="false">
      <c r="A803" s="44" t="n">
        <v>14</v>
      </c>
      <c r="B803" s="11" t="s">
        <v>896</v>
      </c>
      <c r="C803" s="65" t="n">
        <f aca="false">190000+15000+150000</f>
        <v>355000</v>
      </c>
      <c r="D803" s="65" t="n">
        <f aca="false">E803-C803</f>
        <v>61500</v>
      </c>
      <c r="E803" s="66" t="n">
        <v>416500</v>
      </c>
    </row>
    <row r="804" customFormat="false" ht="15" hidden="false" customHeight="false" outlineLevel="0" collapsed="false">
      <c r="A804" s="44" t="n">
        <v>15</v>
      </c>
      <c r="B804" s="11" t="s">
        <v>911</v>
      </c>
      <c r="C804" s="65" t="n">
        <f aca="false">100000+160000+100000+50000+6500</f>
        <v>416500</v>
      </c>
      <c r="D804" s="65" t="n">
        <f aca="false">E804-C804</f>
        <v>0</v>
      </c>
      <c r="E804" s="66" t="n">
        <v>416500</v>
      </c>
    </row>
    <row r="805" customFormat="false" ht="19.7" hidden="false" customHeight="false" outlineLevel="0" collapsed="false">
      <c r="A805" s="85"/>
      <c r="B805" s="16" t="s">
        <v>60</v>
      </c>
      <c r="C805" s="24" t="n">
        <f aca="false">SUM(C790:C804)</f>
        <v>5677616</v>
      </c>
      <c r="D805" s="18" t="n">
        <f aca="false">SUM(D790:D804)</f>
        <v>569884</v>
      </c>
      <c r="E805" s="75" t="n">
        <f aca="false">SUM(E790:E804)</f>
        <v>6247500</v>
      </c>
    </row>
    <row r="808" customFormat="false" ht="15" hidden="false" customHeight="false" outlineLevel="0" collapsed="false">
      <c r="A808" s="38"/>
    </row>
    <row r="809" customFormat="false" ht="15" hidden="false" customHeight="false" outlineLevel="0" collapsed="false">
      <c r="A809" s="38"/>
    </row>
    <row r="810" customFormat="false" ht="15" hidden="false" customHeight="false" outlineLevel="0" collapsed="false">
      <c r="A810" s="38"/>
    </row>
    <row r="811" customFormat="false" ht="15" hidden="false" customHeight="false" outlineLevel="0" collapsed="false">
      <c r="A811" s="38"/>
    </row>
    <row r="812" customFormat="false" ht="17.35" hidden="false" customHeight="false" outlineLevel="0" collapsed="false">
      <c r="A812" s="37"/>
      <c r="B812" s="1" t="s">
        <v>0</v>
      </c>
    </row>
    <row r="813" customFormat="false" ht="15" hidden="false" customHeight="false" outlineLevel="0" collapsed="false">
      <c r="A813" s="38"/>
    </row>
    <row r="814" customFormat="false" ht="17.35" hidden="false" customHeight="false" outlineLevel="0" collapsed="false">
      <c r="A814" s="38"/>
      <c r="B814" s="39" t="s">
        <v>912</v>
      </c>
    </row>
    <row r="815" customFormat="false" ht="15" hidden="false" customHeight="false" outlineLevel="0" collapsed="false">
      <c r="A815" s="38"/>
      <c r="B815" s="3" t="s">
        <v>240</v>
      </c>
    </row>
    <row r="816" customFormat="false" ht="15" hidden="false" customHeight="false" outlineLevel="0" collapsed="false">
      <c r="A816" s="38"/>
    </row>
    <row r="817" customFormat="false" ht="15" hidden="false" customHeight="false" outlineLevel="0" collapsed="false">
      <c r="A817" s="40" t="s">
        <v>4</v>
      </c>
      <c r="B817" s="6" t="s">
        <v>5</v>
      </c>
      <c r="C817" s="7" t="s">
        <v>6</v>
      </c>
      <c r="D817" s="8" t="s">
        <v>7</v>
      </c>
      <c r="E817" s="9" t="s">
        <v>8</v>
      </c>
    </row>
    <row r="818" customFormat="false" ht="15" hidden="false" customHeight="false" outlineLevel="0" collapsed="false">
      <c r="A818" s="44" t="n">
        <v>1</v>
      </c>
      <c r="B818" s="11" t="s">
        <v>913</v>
      </c>
      <c r="C818" s="65"/>
      <c r="D818" s="65" t="n">
        <f aca="false">E818-C818</f>
        <v>416500</v>
      </c>
      <c r="E818" s="66" t="n">
        <v>416500</v>
      </c>
    </row>
    <row r="819" customFormat="false" ht="15" hidden="false" customHeight="false" outlineLevel="0" collapsed="false">
      <c r="A819" s="44" t="n">
        <v>2</v>
      </c>
      <c r="B819" s="11" t="s">
        <v>914</v>
      </c>
      <c r="C819" s="65" t="n">
        <f aca="false">200000+200000+16500</f>
        <v>416500</v>
      </c>
      <c r="D819" s="65" t="n">
        <f aca="false">E819-C819</f>
        <v>0</v>
      </c>
      <c r="E819" s="66" t="n">
        <v>416500</v>
      </c>
    </row>
    <row r="820" customFormat="false" ht="15" hidden="false" customHeight="false" outlineLevel="0" collapsed="false">
      <c r="A820" s="44" t="n">
        <v>3</v>
      </c>
      <c r="B820" s="11" t="s">
        <v>915</v>
      </c>
      <c r="C820" s="65"/>
      <c r="D820" s="65" t="n">
        <f aca="false">E820-C820</f>
        <v>416500</v>
      </c>
      <c r="E820" s="66" t="n">
        <v>416500</v>
      </c>
    </row>
    <row r="821" customFormat="false" ht="15" hidden="false" customHeight="false" outlineLevel="0" collapsed="false">
      <c r="A821" s="44" t="n">
        <v>4</v>
      </c>
      <c r="B821" s="11" t="s">
        <v>916</v>
      </c>
      <c r="C821" s="65" t="n">
        <v>416500</v>
      </c>
      <c r="D821" s="65" t="n">
        <f aca="false">E821-C821</f>
        <v>0</v>
      </c>
      <c r="E821" s="66" t="n">
        <v>416500</v>
      </c>
    </row>
    <row r="822" customFormat="false" ht="15" hidden="false" customHeight="false" outlineLevel="0" collapsed="false">
      <c r="A822" s="44" t="n">
        <v>5</v>
      </c>
      <c r="B822" s="11" t="s">
        <v>917</v>
      </c>
      <c r="C822" s="65" t="n">
        <f aca="false">416500</f>
        <v>416500</v>
      </c>
      <c r="D822" s="65" t="n">
        <f aca="false">E822-C822</f>
        <v>0</v>
      </c>
      <c r="E822" s="66" t="n">
        <v>416500</v>
      </c>
    </row>
    <row r="823" customFormat="false" ht="15" hidden="false" customHeight="false" outlineLevel="0" collapsed="false">
      <c r="A823" s="44" t="n">
        <v>6</v>
      </c>
      <c r="B823" s="11" t="s">
        <v>918</v>
      </c>
      <c r="C823" s="65"/>
      <c r="D823" s="65" t="n">
        <f aca="false">E823-C823</f>
        <v>416500</v>
      </c>
      <c r="E823" s="66" t="n">
        <v>416500</v>
      </c>
    </row>
    <row r="824" customFormat="false" ht="15" hidden="false" customHeight="false" outlineLevel="0" collapsed="false">
      <c r="A824" s="44" t="n">
        <v>7</v>
      </c>
      <c r="B824" s="11" t="s">
        <v>919</v>
      </c>
      <c r="C824" s="65" t="n">
        <v>416500</v>
      </c>
      <c r="D824" s="65" t="n">
        <f aca="false">E824-C824</f>
        <v>0</v>
      </c>
      <c r="E824" s="66" t="n">
        <v>416500</v>
      </c>
    </row>
    <row r="825" customFormat="false" ht="15" hidden="false" customHeight="false" outlineLevel="0" collapsed="false">
      <c r="A825" s="44" t="n">
        <v>8</v>
      </c>
      <c r="B825" s="11" t="s">
        <v>920</v>
      </c>
      <c r="C825" s="65" t="n">
        <f aca="false">416500</f>
        <v>416500</v>
      </c>
      <c r="D825" s="65" t="n">
        <f aca="false">E825-C825</f>
        <v>0</v>
      </c>
      <c r="E825" s="66" t="n">
        <v>416500</v>
      </c>
    </row>
    <row r="826" customFormat="false" ht="15" hidden="false" customHeight="false" outlineLevel="0" collapsed="false">
      <c r="A826" s="44" t="n">
        <v>9</v>
      </c>
      <c r="B826" s="11" t="s">
        <v>921</v>
      </c>
      <c r="C826" s="65"/>
      <c r="D826" s="65" t="n">
        <f aca="false">E826-C826</f>
        <v>416500</v>
      </c>
      <c r="E826" s="66" t="n">
        <v>416500</v>
      </c>
    </row>
    <row r="827" customFormat="false" ht="15" hidden="false" customHeight="false" outlineLevel="0" collapsed="false">
      <c r="A827" s="44" t="n">
        <v>10</v>
      </c>
      <c r="B827" s="11" t="s">
        <v>922</v>
      </c>
      <c r="C827" s="65" t="n">
        <f aca="false">300000+41500+40000+20000+15000</f>
        <v>416500</v>
      </c>
      <c r="D827" s="65" t="n">
        <f aca="false">E827-C827</f>
        <v>0</v>
      </c>
      <c r="E827" s="66" t="n">
        <v>416500</v>
      </c>
    </row>
    <row r="828" customFormat="false" ht="15" hidden="false" customHeight="false" outlineLevel="0" collapsed="false">
      <c r="A828" s="44" t="n">
        <v>11</v>
      </c>
      <c r="B828" s="11" t="s">
        <v>923</v>
      </c>
      <c r="C828" s="65"/>
      <c r="D828" s="65" t="n">
        <f aca="false">E828-C828</f>
        <v>416500</v>
      </c>
      <c r="E828" s="66" t="n">
        <v>416500</v>
      </c>
    </row>
    <row r="829" customFormat="false" ht="15" hidden="false" customHeight="false" outlineLevel="0" collapsed="false">
      <c r="A829" s="44" t="n">
        <v>12</v>
      </c>
      <c r="B829" s="11" t="s">
        <v>924</v>
      </c>
      <c r="C829" s="65" t="n">
        <v>417000</v>
      </c>
      <c r="D829" s="65" t="n">
        <f aca="false">E829-C829</f>
        <v>-500</v>
      </c>
      <c r="E829" s="66" t="n">
        <v>416500</v>
      </c>
    </row>
    <row r="830" customFormat="false" ht="15" hidden="false" customHeight="false" outlineLevel="0" collapsed="false">
      <c r="A830" s="44" t="n">
        <v>13</v>
      </c>
      <c r="B830" s="11" t="s">
        <v>925</v>
      </c>
      <c r="C830" s="65"/>
      <c r="D830" s="65" t="n">
        <f aca="false">E830-C830</f>
        <v>416500</v>
      </c>
      <c r="E830" s="66" t="n">
        <v>416500</v>
      </c>
    </row>
    <row r="831" customFormat="false" ht="15" hidden="false" customHeight="false" outlineLevel="0" collapsed="false">
      <c r="A831" s="44" t="n">
        <v>14</v>
      </c>
      <c r="B831" s="11" t="s">
        <v>926</v>
      </c>
      <c r="C831" s="65"/>
      <c r="D831" s="65" t="n">
        <f aca="false">E831-C831</f>
        <v>416500</v>
      </c>
      <c r="E831" s="66" t="n">
        <v>416500</v>
      </c>
    </row>
    <row r="832" customFormat="false" ht="15" hidden="false" customHeight="false" outlineLevel="0" collapsed="false">
      <c r="A832" s="44" t="n">
        <v>15</v>
      </c>
      <c r="B832" s="11" t="s">
        <v>927</v>
      </c>
      <c r="C832" s="65"/>
      <c r="D832" s="65" t="n">
        <f aca="false">E832-C832</f>
        <v>416500</v>
      </c>
      <c r="E832" s="66" t="n">
        <v>416500</v>
      </c>
    </row>
    <row r="833" customFormat="false" ht="15" hidden="false" customHeight="false" outlineLevel="0" collapsed="false">
      <c r="A833" s="44" t="n">
        <v>16</v>
      </c>
      <c r="B833" s="11" t="s">
        <v>928</v>
      </c>
      <c r="C833" s="65" t="n">
        <v>116500</v>
      </c>
      <c r="D833" s="65" t="n">
        <f aca="false">E833-C833</f>
        <v>300000</v>
      </c>
      <c r="E833" s="66" t="n">
        <v>416500</v>
      </c>
    </row>
    <row r="834" customFormat="false" ht="15" hidden="false" customHeight="false" outlineLevel="0" collapsed="false">
      <c r="A834" s="44" t="n">
        <v>17</v>
      </c>
      <c r="B834" s="11" t="s">
        <v>929</v>
      </c>
      <c r="C834" s="65" t="n">
        <f aca="false">116500+300000</f>
        <v>416500</v>
      </c>
      <c r="D834" s="65" t="n">
        <f aca="false">E834-C834</f>
        <v>0</v>
      </c>
      <c r="E834" s="66" t="n">
        <v>416500</v>
      </c>
    </row>
    <row r="835" customFormat="false" ht="15" hidden="false" customHeight="false" outlineLevel="0" collapsed="false">
      <c r="A835" s="44" t="n">
        <v>18</v>
      </c>
      <c r="B835" s="11" t="s">
        <v>930</v>
      </c>
      <c r="C835" s="65"/>
      <c r="D835" s="65" t="n">
        <f aca="false">E835-C835</f>
        <v>416500</v>
      </c>
      <c r="E835" s="66" t="n">
        <v>416500</v>
      </c>
    </row>
    <row r="836" customFormat="false" ht="15" hidden="false" customHeight="false" outlineLevel="0" collapsed="false">
      <c r="A836" s="44" t="n">
        <v>19</v>
      </c>
      <c r="B836" s="11" t="s">
        <v>931</v>
      </c>
      <c r="C836" s="65"/>
      <c r="D836" s="65" t="n">
        <f aca="false">E836-C836</f>
        <v>416500</v>
      </c>
      <c r="E836" s="66" t="n">
        <v>416500</v>
      </c>
    </row>
    <row r="837" customFormat="false" ht="19.7" hidden="false" customHeight="false" outlineLevel="0" collapsed="false">
      <c r="A837" s="86"/>
      <c r="B837" s="16" t="s">
        <v>60</v>
      </c>
      <c r="C837" s="24" t="n">
        <f aca="false">SUM(C818:C836)</f>
        <v>3449000</v>
      </c>
      <c r="D837" s="18" t="n">
        <f aca="false">SUM(D818:D836)</f>
        <v>4464500</v>
      </c>
      <c r="E837" s="75" t="n">
        <f aca="false">SUM(E818:E836)</f>
        <v>7913500</v>
      </c>
    </row>
    <row r="841" customFormat="false" ht="15" hidden="false" customHeight="false" outlineLevel="0" collapsed="false">
      <c r="A841" s="38"/>
    </row>
    <row r="842" customFormat="false" ht="15" hidden="false" customHeight="false" outlineLevel="0" collapsed="false">
      <c r="A842" s="38"/>
    </row>
    <row r="843" customFormat="false" ht="15" hidden="false" customHeight="false" outlineLevel="0" collapsed="false">
      <c r="A843" s="38"/>
    </row>
    <row r="844" customFormat="false" ht="17.35" hidden="false" customHeight="false" outlineLevel="0" collapsed="false">
      <c r="A844" s="38"/>
      <c r="B844" s="1" t="s">
        <v>0</v>
      </c>
    </row>
    <row r="845" customFormat="false" ht="15" hidden="false" customHeight="false" outlineLevel="0" collapsed="false">
      <c r="A845" s="38"/>
    </row>
    <row r="846" customFormat="false" ht="17.35" hidden="false" customHeight="false" outlineLevel="0" collapsed="false">
      <c r="A846" s="38"/>
      <c r="B846" s="39" t="s">
        <v>359</v>
      </c>
    </row>
    <row r="847" customFormat="false" ht="15" hidden="false" customHeight="false" outlineLevel="0" collapsed="false">
      <c r="A847" s="38"/>
      <c r="B847" s="3" t="s">
        <v>260</v>
      </c>
    </row>
    <row r="848" customFormat="false" ht="15" hidden="false" customHeight="false" outlineLevel="0" collapsed="false">
      <c r="A848" s="38"/>
    </row>
    <row r="849" customFormat="false" ht="15" hidden="false" customHeight="false" outlineLevel="0" collapsed="false">
      <c r="A849" s="40" t="s">
        <v>4</v>
      </c>
      <c r="B849" s="6" t="s">
        <v>5</v>
      </c>
      <c r="C849" s="7" t="s">
        <v>6</v>
      </c>
      <c r="D849" s="8" t="s">
        <v>7</v>
      </c>
      <c r="E849" s="9" t="s">
        <v>8</v>
      </c>
    </row>
    <row r="850" customFormat="false" ht="15" hidden="false" customHeight="false" outlineLevel="0" collapsed="false">
      <c r="A850" s="44" t="n">
        <v>1</v>
      </c>
      <c r="B850" s="11" t="s">
        <v>932</v>
      </c>
      <c r="C850" s="65" t="n">
        <f aca="false">226000+190500</f>
        <v>416500</v>
      </c>
      <c r="D850" s="65" t="n">
        <f aca="false">E850-C850</f>
        <v>0</v>
      </c>
      <c r="E850" s="66" t="n">
        <v>416500</v>
      </c>
    </row>
    <row r="851" customFormat="false" ht="15" hidden="false" customHeight="false" outlineLevel="0" collapsed="false">
      <c r="A851" s="44" t="n">
        <v>2</v>
      </c>
      <c r="B851" s="11" t="s">
        <v>933</v>
      </c>
      <c r="C851" s="65" t="n">
        <f aca="false">200000+133000+83500</f>
        <v>416500</v>
      </c>
      <c r="D851" s="65" t="n">
        <f aca="false">E851-C851</f>
        <v>0</v>
      </c>
      <c r="E851" s="66" t="n">
        <v>416500</v>
      </c>
    </row>
    <row r="852" customFormat="false" ht="15" hidden="false" customHeight="false" outlineLevel="0" collapsed="false">
      <c r="A852" s="44" t="n">
        <v>3</v>
      </c>
      <c r="B852" s="11" t="s">
        <v>934</v>
      </c>
      <c r="C852" s="65"/>
      <c r="D852" s="65" t="n">
        <f aca="false">E852-C852</f>
        <v>416500</v>
      </c>
      <c r="E852" s="66" t="n">
        <v>416500</v>
      </c>
    </row>
    <row r="853" customFormat="false" ht="15" hidden="false" customHeight="false" outlineLevel="0" collapsed="false">
      <c r="A853" s="44" t="n">
        <v>4</v>
      </c>
      <c r="B853" s="11" t="s">
        <v>935</v>
      </c>
      <c r="C853" s="65" t="n">
        <f aca="false">295000+121500</f>
        <v>416500</v>
      </c>
      <c r="D853" s="65" t="n">
        <f aca="false">E853-C853</f>
        <v>0</v>
      </c>
      <c r="E853" s="66" t="n">
        <v>416500</v>
      </c>
    </row>
    <row r="854" customFormat="false" ht="15" hidden="false" customHeight="false" outlineLevel="0" collapsed="false">
      <c r="A854" s="44" t="n">
        <v>5</v>
      </c>
      <c r="B854" s="11" t="s">
        <v>936</v>
      </c>
      <c r="C854" s="65" t="n">
        <f aca="false">200000</f>
        <v>200000</v>
      </c>
      <c r="D854" s="65" t="n">
        <f aca="false">E854-C854</f>
        <v>216500</v>
      </c>
      <c r="E854" s="66" t="n">
        <v>416500</v>
      </c>
    </row>
    <row r="855" customFormat="false" ht="15" hidden="false" customHeight="false" outlineLevel="0" collapsed="false">
      <c r="A855" s="44" t="n">
        <v>6</v>
      </c>
      <c r="B855" s="11" t="s">
        <v>937</v>
      </c>
      <c r="C855" s="65" t="n">
        <f aca="false">200000</f>
        <v>200000</v>
      </c>
      <c r="D855" s="65" t="n">
        <f aca="false">E855-C855</f>
        <v>216500</v>
      </c>
      <c r="E855" s="66" t="n">
        <v>416500</v>
      </c>
    </row>
    <row r="856" customFormat="false" ht="15" hidden="false" customHeight="false" outlineLevel="0" collapsed="false">
      <c r="A856" s="44" t="n">
        <v>7</v>
      </c>
      <c r="B856" s="11" t="s">
        <v>938</v>
      </c>
      <c r="C856" s="65" t="n">
        <f aca="false">200000+216500</f>
        <v>416500</v>
      </c>
      <c r="D856" s="65" t="n">
        <f aca="false">E856-C856</f>
        <v>0</v>
      </c>
      <c r="E856" s="66" t="n">
        <v>416500</v>
      </c>
    </row>
    <row r="857" customFormat="false" ht="15" hidden="false" customHeight="false" outlineLevel="0" collapsed="false">
      <c r="A857" s="44" t="n">
        <v>8</v>
      </c>
      <c r="B857" s="11" t="s">
        <v>378</v>
      </c>
      <c r="C857" s="65" t="n">
        <v>416500</v>
      </c>
      <c r="D857" s="65" t="n">
        <f aca="false">E857-C857</f>
        <v>0</v>
      </c>
      <c r="E857" s="66" t="n">
        <v>416500</v>
      </c>
    </row>
    <row r="858" customFormat="false" ht="15" hidden="false" customHeight="false" outlineLevel="0" collapsed="false">
      <c r="A858" s="44" t="n">
        <v>9</v>
      </c>
      <c r="B858" s="11" t="s">
        <v>939</v>
      </c>
      <c r="C858" s="65"/>
      <c r="D858" s="65" t="n">
        <f aca="false">E858-C858</f>
        <v>416500</v>
      </c>
      <c r="E858" s="66" t="n">
        <v>416500</v>
      </c>
    </row>
    <row r="859" customFormat="false" ht="15" hidden="false" customHeight="false" outlineLevel="0" collapsed="false">
      <c r="A859" s="44" t="n">
        <v>10</v>
      </c>
      <c r="B859" s="11" t="s">
        <v>940</v>
      </c>
      <c r="C859" s="65" t="n">
        <f aca="false">215000+175000</f>
        <v>390000</v>
      </c>
      <c r="D859" s="65" t="n">
        <f aca="false">E859-C859</f>
        <v>26500</v>
      </c>
      <c r="E859" s="66" t="n">
        <v>416500</v>
      </c>
    </row>
    <row r="860" customFormat="false" ht="15" hidden="false" customHeight="false" outlineLevel="0" collapsed="false">
      <c r="A860" s="44" t="n">
        <v>11</v>
      </c>
      <c r="B860" s="11" t="s">
        <v>941</v>
      </c>
      <c r="C860" s="65"/>
      <c r="D860" s="65" t="n">
        <f aca="false">E860-C860</f>
        <v>416500</v>
      </c>
      <c r="E860" s="66" t="n">
        <v>416500</v>
      </c>
    </row>
    <row r="861" customFormat="false" ht="15" hidden="false" customHeight="false" outlineLevel="0" collapsed="false">
      <c r="A861" s="44" t="n">
        <v>12</v>
      </c>
      <c r="B861" s="11" t="s">
        <v>942</v>
      </c>
      <c r="C861" s="65" t="n">
        <f aca="false">216500+200000</f>
        <v>416500</v>
      </c>
      <c r="D861" s="65" t="n">
        <f aca="false">E861-C861</f>
        <v>0</v>
      </c>
      <c r="E861" s="66" t="n">
        <v>416500</v>
      </c>
    </row>
    <row r="862" customFormat="false" ht="15" hidden="false" customHeight="false" outlineLevel="0" collapsed="false">
      <c r="A862" s="44" t="n">
        <v>13</v>
      </c>
      <c r="B862" s="11" t="s">
        <v>943</v>
      </c>
      <c r="C862" s="65"/>
      <c r="D862" s="65" t="n">
        <f aca="false">E862-C862</f>
        <v>416500</v>
      </c>
      <c r="E862" s="66" t="n">
        <v>416500</v>
      </c>
    </row>
    <row r="863" customFormat="false" ht="15" hidden="false" customHeight="false" outlineLevel="0" collapsed="false">
      <c r="A863" s="44" t="n">
        <v>15</v>
      </c>
      <c r="B863" s="11" t="s">
        <v>944</v>
      </c>
      <c r="C863" s="65" t="n">
        <f aca="false">100000+100000+216500</f>
        <v>416500</v>
      </c>
      <c r="D863" s="65" t="n">
        <f aca="false">E863-C863</f>
        <v>0</v>
      </c>
      <c r="E863" s="66" t="n">
        <v>416500</v>
      </c>
    </row>
    <row r="864" customFormat="false" ht="15" hidden="false" customHeight="false" outlineLevel="0" collapsed="false">
      <c r="A864" s="44" t="n">
        <v>16</v>
      </c>
      <c r="B864" s="11" t="s">
        <v>945</v>
      </c>
      <c r="C864" s="65" t="n">
        <f aca="false">200000+216500</f>
        <v>416500</v>
      </c>
      <c r="D864" s="65" t="n">
        <f aca="false">E864-C864</f>
        <v>0</v>
      </c>
      <c r="E864" s="66" t="n">
        <v>416500</v>
      </c>
    </row>
    <row r="865" customFormat="false" ht="15" hidden="false" customHeight="false" outlineLevel="0" collapsed="false">
      <c r="A865" s="44" t="n">
        <v>17</v>
      </c>
      <c r="B865" s="11" t="s">
        <v>946</v>
      </c>
      <c r="C865" s="65" t="n">
        <f aca="false">200000+200000</f>
        <v>400000</v>
      </c>
      <c r="D865" s="65" t="n">
        <f aca="false">E865-C865</f>
        <v>16500</v>
      </c>
      <c r="E865" s="66" t="n">
        <v>416500</v>
      </c>
    </row>
    <row r="866" customFormat="false" ht="15" hidden="false" customHeight="false" outlineLevel="0" collapsed="false">
      <c r="A866" s="44" t="n">
        <v>18</v>
      </c>
      <c r="B866" s="11" t="s">
        <v>947</v>
      </c>
      <c r="C866" s="65" t="n">
        <f aca="false">316500+100000</f>
        <v>416500</v>
      </c>
      <c r="D866" s="65" t="n">
        <f aca="false">E866-C866</f>
        <v>0</v>
      </c>
      <c r="E866" s="66" t="n">
        <v>416500</v>
      </c>
    </row>
    <row r="867" customFormat="false" ht="15" hidden="false" customHeight="false" outlineLevel="0" collapsed="false">
      <c r="A867" s="44" t="n">
        <v>19</v>
      </c>
      <c r="B867" s="11" t="s">
        <v>948</v>
      </c>
      <c r="C867" s="65" t="n">
        <f aca="false">300000+116500</f>
        <v>416500</v>
      </c>
      <c r="D867" s="65" t="n">
        <f aca="false">E867-C867</f>
        <v>0</v>
      </c>
      <c r="E867" s="66" t="n">
        <v>416500</v>
      </c>
    </row>
    <row r="868" customFormat="false" ht="15" hidden="false" customHeight="false" outlineLevel="0" collapsed="false">
      <c r="A868" s="44" t="n">
        <v>20</v>
      </c>
      <c r="B868" s="11" t="s">
        <v>949</v>
      </c>
      <c r="C868" s="65"/>
      <c r="D868" s="65" t="n">
        <f aca="false">E868-C868</f>
        <v>416500</v>
      </c>
      <c r="E868" s="66" t="n">
        <v>416500</v>
      </c>
    </row>
    <row r="869" customFormat="false" ht="15" hidden="false" customHeight="false" outlineLevel="0" collapsed="false">
      <c r="A869" s="44" t="n">
        <v>21</v>
      </c>
      <c r="B869" s="11" t="s">
        <v>950</v>
      </c>
      <c r="C869" s="65" t="n">
        <f aca="false">100000+216500+100000</f>
        <v>416500</v>
      </c>
      <c r="D869" s="65" t="n">
        <f aca="false">E869-C869</f>
        <v>0</v>
      </c>
      <c r="E869" s="66" t="n">
        <v>416500</v>
      </c>
    </row>
    <row r="870" customFormat="false" ht="15" hidden="false" customHeight="false" outlineLevel="0" collapsed="false">
      <c r="A870" s="44" t="n">
        <v>22</v>
      </c>
      <c r="B870" s="11" t="s">
        <v>951</v>
      </c>
      <c r="C870" s="65"/>
      <c r="D870" s="65" t="n">
        <f aca="false">E870-C870</f>
        <v>416500</v>
      </c>
      <c r="E870" s="66" t="n">
        <v>416500</v>
      </c>
    </row>
    <row r="871" customFormat="false" ht="19.7" hidden="false" customHeight="false" outlineLevel="0" collapsed="false">
      <c r="A871" s="38"/>
      <c r="B871" s="16" t="s">
        <v>60</v>
      </c>
      <c r="C871" s="24" t="n">
        <f aca="false">SUM(C850:C870)</f>
        <v>5771500</v>
      </c>
      <c r="D871" s="18" t="n">
        <f aca="false">SUM(D850:D870)</f>
        <v>2975000</v>
      </c>
      <c r="E871" s="19" t="n">
        <f aca="false">SUM(E850:E870)</f>
        <v>8746500</v>
      </c>
    </row>
    <row r="878" customFormat="false" ht="17.35" hidden="false" customHeight="false" outlineLevel="0" collapsed="false">
      <c r="A878" s="37"/>
      <c r="B878" s="1" t="s">
        <v>0</v>
      </c>
    </row>
    <row r="879" customFormat="false" ht="15" hidden="false" customHeight="false" outlineLevel="0" collapsed="false">
      <c r="A879" s="38"/>
    </row>
    <row r="880" customFormat="false" ht="17.35" hidden="false" customHeight="false" outlineLevel="0" collapsed="false">
      <c r="A880" s="38"/>
      <c r="B880" s="39" t="s">
        <v>359</v>
      </c>
    </row>
    <row r="881" customFormat="false" ht="15" hidden="false" customHeight="false" outlineLevel="0" collapsed="false">
      <c r="A881" s="38"/>
      <c r="B881" s="3" t="s">
        <v>952</v>
      </c>
    </row>
    <row r="882" customFormat="false" ht="15" hidden="false" customHeight="false" outlineLevel="0" collapsed="false">
      <c r="A882" s="38"/>
    </row>
    <row r="883" customFormat="false" ht="15" hidden="false" customHeight="false" outlineLevel="0" collapsed="false">
      <c r="A883" s="40" t="s">
        <v>4</v>
      </c>
      <c r="B883" s="6" t="s">
        <v>5</v>
      </c>
      <c r="C883" s="7" t="s">
        <v>6</v>
      </c>
      <c r="D883" s="8" t="s">
        <v>7</v>
      </c>
      <c r="E883" s="9" t="s">
        <v>8</v>
      </c>
    </row>
    <row r="884" customFormat="false" ht="15" hidden="false" customHeight="false" outlineLevel="0" collapsed="false">
      <c r="A884" s="44" t="n">
        <v>1</v>
      </c>
      <c r="B884" s="11" t="s">
        <v>953</v>
      </c>
      <c r="C884" s="65"/>
      <c r="D884" s="65" t="n">
        <f aca="false">E884-C884</f>
        <v>416500</v>
      </c>
      <c r="E884" s="66" t="n">
        <v>416500</v>
      </c>
    </row>
    <row r="885" customFormat="false" ht="15" hidden="false" customHeight="false" outlineLevel="0" collapsed="false">
      <c r="A885" s="44" t="n">
        <v>2</v>
      </c>
      <c r="B885" s="14" t="s">
        <v>954</v>
      </c>
      <c r="C885" s="65" t="n">
        <f aca="false">100000+200000+116500</f>
        <v>416500</v>
      </c>
      <c r="D885" s="65" t="n">
        <f aca="false">E885-C885</f>
        <v>0</v>
      </c>
      <c r="E885" s="66" t="n">
        <v>416500</v>
      </c>
    </row>
    <row r="886" customFormat="false" ht="15" hidden="false" customHeight="false" outlineLevel="0" collapsed="false">
      <c r="A886" s="44" t="n">
        <v>3</v>
      </c>
      <c r="B886" s="11" t="s">
        <v>955</v>
      </c>
      <c r="C886" s="65" t="n">
        <f aca="false">116500+120000+180000</f>
        <v>416500</v>
      </c>
      <c r="D886" s="65" t="n">
        <f aca="false">E886-C886</f>
        <v>0</v>
      </c>
      <c r="E886" s="66" t="n">
        <v>416500</v>
      </c>
    </row>
    <row r="887" customFormat="false" ht="15" hidden="false" customHeight="false" outlineLevel="0" collapsed="false">
      <c r="A887" s="44" t="n">
        <v>4</v>
      </c>
      <c r="B887" s="11" t="s">
        <v>956</v>
      </c>
      <c r="C887" s="65" t="n">
        <f aca="false">200000+216500</f>
        <v>416500</v>
      </c>
      <c r="D887" s="65" t="n">
        <f aca="false">E887-C887</f>
        <v>0</v>
      </c>
      <c r="E887" s="66" t="n">
        <v>416500</v>
      </c>
    </row>
    <row r="888" customFormat="false" ht="15" hidden="false" customHeight="false" outlineLevel="0" collapsed="false">
      <c r="A888" s="44" t="n">
        <v>5</v>
      </c>
      <c r="B888" s="11" t="s">
        <v>957</v>
      </c>
      <c r="C888" s="65" t="n">
        <f aca="false">211500+205000</f>
        <v>416500</v>
      </c>
      <c r="D888" s="65" t="n">
        <f aca="false">E888-C888</f>
        <v>0</v>
      </c>
      <c r="E888" s="66" t="n">
        <v>416500</v>
      </c>
    </row>
    <row r="889" customFormat="false" ht="15" hidden="false" customHeight="false" outlineLevel="0" collapsed="false">
      <c r="A889" s="44" t="n">
        <v>6</v>
      </c>
      <c r="B889" s="11" t="s">
        <v>958</v>
      </c>
      <c r="C889" s="65" t="n">
        <f aca="false">116500+200000+100000</f>
        <v>416500</v>
      </c>
      <c r="D889" s="65" t="n">
        <f aca="false">E889-C889</f>
        <v>0</v>
      </c>
      <c r="E889" s="66" t="n">
        <v>416500</v>
      </c>
    </row>
    <row r="890" customFormat="false" ht="15" hidden="false" customHeight="false" outlineLevel="0" collapsed="false">
      <c r="A890" s="44" t="n">
        <v>7</v>
      </c>
      <c r="B890" s="11" t="s">
        <v>959</v>
      </c>
      <c r="C890" s="65" t="n">
        <f aca="false">100000</f>
        <v>100000</v>
      </c>
      <c r="D890" s="65" t="n">
        <f aca="false">E890-C890</f>
        <v>316500</v>
      </c>
      <c r="E890" s="66" t="n">
        <v>416500</v>
      </c>
    </row>
    <row r="891" customFormat="false" ht="15" hidden="false" customHeight="false" outlineLevel="0" collapsed="false">
      <c r="A891" s="44" t="n">
        <v>8</v>
      </c>
      <c r="B891" s="11" t="s">
        <v>960</v>
      </c>
      <c r="C891" s="65" t="n">
        <f aca="false">100000+116500+100000+100000</f>
        <v>416500</v>
      </c>
      <c r="D891" s="65" t="n">
        <f aca="false">E891-C891</f>
        <v>0</v>
      </c>
      <c r="E891" s="66" t="n">
        <v>416500</v>
      </c>
    </row>
    <row r="892" customFormat="false" ht="15" hidden="false" customHeight="false" outlineLevel="0" collapsed="false">
      <c r="A892" s="44" t="n">
        <v>9</v>
      </c>
      <c r="B892" s="11" t="s">
        <v>961</v>
      </c>
      <c r="C892" s="65" t="n">
        <f aca="false">100000+116500</f>
        <v>216500</v>
      </c>
      <c r="D892" s="65" t="n">
        <f aca="false">E892-C892</f>
        <v>200000</v>
      </c>
      <c r="E892" s="66" t="n">
        <v>416500</v>
      </c>
    </row>
    <row r="893" customFormat="false" ht="15" hidden="false" customHeight="false" outlineLevel="0" collapsed="false">
      <c r="A893" s="44"/>
      <c r="B893" s="11" t="s">
        <v>962</v>
      </c>
      <c r="C893" s="65" t="n">
        <f aca="false">10000+145000+249000+12500</f>
        <v>416500</v>
      </c>
      <c r="D893" s="65" t="n">
        <f aca="false">E893-C893</f>
        <v>0</v>
      </c>
      <c r="E893" s="66" t="n">
        <v>416500</v>
      </c>
    </row>
    <row r="894" customFormat="false" ht="15" hidden="false" customHeight="false" outlineLevel="0" collapsed="false">
      <c r="A894" s="44" t="n">
        <v>10</v>
      </c>
      <c r="B894" s="11" t="s">
        <v>963</v>
      </c>
      <c r="C894" s="65"/>
      <c r="D894" s="65" t="n">
        <f aca="false">E894-C894</f>
        <v>416500</v>
      </c>
      <c r="E894" s="66" t="n">
        <v>416500</v>
      </c>
    </row>
    <row r="895" customFormat="false" ht="15" hidden="false" customHeight="false" outlineLevel="0" collapsed="false">
      <c r="A895" s="44" t="n">
        <v>11</v>
      </c>
      <c r="B895" s="11" t="s">
        <v>964</v>
      </c>
      <c r="C895" s="65" t="n">
        <f aca="false">150000+266500</f>
        <v>416500</v>
      </c>
      <c r="D895" s="65" t="n">
        <f aca="false">E895-C895</f>
        <v>0</v>
      </c>
      <c r="E895" s="66" t="n">
        <v>416500</v>
      </c>
    </row>
    <row r="896" customFormat="false" ht="15" hidden="false" customHeight="false" outlineLevel="0" collapsed="false">
      <c r="A896" s="44" t="n">
        <v>12</v>
      </c>
      <c r="B896" s="11" t="s">
        <v>965</v>
      </c>
      <c r="C896" s="65" t="n">
        <f aca="false">100000+215000+101500</f>
        <v>416500</v>
      </c>
      <c r="D896" s="65" t="n">
        <f aca="false">E896-C896</f>
        <v>0</v>
      </c>
      <c r="E896" s="66" t="n">
        <v>416500</v>
      </c>
    </row>
    <row r="897" customFormat="false" ht="15" hidden="false" customHeight="false" outlineLevel="0" collapsed="false">
      <c r="A897" s="44" t="n">
        <v>13</v>
      </c>
      <c r="B897" s="14" t="s">
        <v>966</v>
      </c>
      <c r="C897" s="65" t="n">
        <f aca="false">50000+50000+80000+100000+70000+66500</f>
        <v>416500</v>
      </c>
      <c r="D897" s="65" t="n">
        <f aca="false">E897-C897</f>
        <v>0</v>
      </c>
      <c r="E897" s="66" t="n">
        <v>416500</v>
      </c>
    </row>
    <row r="898" customFormat="false" ht="15" hidden="false" customHeight="false" outlineLevel="0" collapsed="false">
      <c r="A898" s="44" t="n">
        <v>14</v>
      </c>
      <c r="B898" s="11" t="s">
        <v>967</v>
      </c>
      <c r="C898" s="65" t="n">
        <f aca="false">100000+100000+150000+66500</f>
        <v>416500</v>
      </c>
      <c r="D898" s="65" t="n">
        <f aca="false">E898-C898</f>
        <v>0</v>
      </c>
      <c r="E898" s="66" t="n">
        <v>416500</v>
      </c>
    </row>
    <row r="899" customFormat="false" ht="19.7" hidden="false" customHeight="false" outlineLevel="0" collapsed="false">
      <c r="A899" s="74"/>
      <c r="B899" s="16" t="s">
        <v>60</v>
      </c>
      <c r="C899" s="24" t="n">
        <f aca="false">SUM(C884:C898)</f>
        <v>4898000</v>
      </c>
      <c r="D899" s="18" t="n">
        <f aca="false">SUM(D884:D898)</f>
        <v>1349500</v>
      </c>
      <c r="E899" s="75" t="n">
        <f aca="false">SUM(E884:E898)</f>
        <v>6247500</v>
      </c>
    </row>
    <row r="902" customFormat="false" ht="15" hidden="false" customHeight="false" outlineLevel="0" collapsed="false">
      <c r="A902" s="38"/>
    </row>
    <row r="903" customFormat="false" ht="15" hidden="false" customHeight="false" outlineLevel="0" collapsed="false">
      <c r="A903" s="38"/>
    </row>
    <row r="904" customFormat="false" ht="15" hidden="false" customHeight="false" outlineLevel="0" collapsed="false">
      <c r="A904" s="38"/>
    </row>
    <row r="905" customFormat="false" ht="15" hidden="false" customHeight="false" outlineLevel="0" collapsed="false">
      <c r="A905" s="38"/>
    </row>
    <row r="906" customFormat="false" ht="17.35" hidden="false" customHeight="false" outlineLevel="0" collapsed="false">
      <c r="A906" s="37"/>
      <c r="B906" s="1" t="s">
        <v>0</v>
      </c>
    </row>
    <row r="907" customFormat="false" ht="15" hidden="false" customHeight="false" outlineLevel="0" collapsed="false">
      <c r="A907" s="38"/>
    </row>
    <row r="908" customFormat="false" ht="17.35" hidden="false" customHeight="false" outlineLevel="0" collapsed="false">
      <c r="A908" s="38"/>
      <c r="B908" s="39" t="s">
        <v>411</v>
      </c>
    </row>
    <row r="909" customFormat="false" ht="15" hidden="false" customHeight="false" outlineLevel="0" collapsed="false">
      <c r="A909" s="38"/>
      <c r="B909" s="3" t="s">
        <v>952</v>
      </c>
    </row>
    <row r="910" customFormat="false" ht="15" hidden="false" customHeight="false" outlineLevel="0" collapsed="false">
      <c r="A910" s="38"/>
    </row>
    <row r="911" customFormat="false" ht="15" hidden="false" customHeight="false" outlineLevel="0" collapsed="false">
      <c r="A911" s="40" t="s">
        <v>4</v>
      </c>
      <c r="B911" s="6" t="s">
        <v>5</v>
      </c>
      <c r="C911" s="7" t="s">
        <v>6</v>
      </c>
      <c r="D911" s="8" t="s">
        <v>7</v>
      </c>
      <c r="E911" s="9" t="s">
        <v>8</v>
      </c>
    </row>
    <row r="912" customFormat="false" ht="15" hidden="false" customHeight="false" outlineLevel="0" collapsed="false">
      <c r="A912" s="44" t="n">
        <v>1</v>
      </c>
      <c r="B912" s="11" t="s">
        <v>968</v>
      </c>
      <c r="C912" s="65" t="n">
        <f aca="false">70000+30000+100000+216500</f>
        <v>416500</v>
      </c>
      <c r="D912" s="65" t="n">
        <f aca="false">E912-C912</f>
        <v>0</v>
      </c>
      <c r="E912" s="66" t="n">
        <v>416500</v>
      </c>
    </row>
    <row r="913" customFormat="false" ht="15" hidden="false" customHeight="false" outlineLevel="0" collapsed="false">
      <c r="A913" s="44" t="n">
        <v>2</v>
      </c>
      <c r="B913" s="11" t="s">
        <v>969</v>
      </c>
      <c r="C913" s="65"/>
      <c r="D913" s="65" t="n">
        <f aca="false">E913-C913</f>
        <v>416500</v>
      </c>
      <c r="E913" s="66" t="n">
        <v>416500</v>
      </c>
    </row>
    <row r="914" customFormat="false" ht="15" hidden="false" customHeight="false" outlineLevel="0" collapsed="false">
      <c r="A914" s="44" t="n">
        <v>3</v>
      </c>
      <c r="B914" s="11" t="s">
        <v>970</v>
      </c>
      <c r="C914" s="65" t="n">
        <v>200000</v>
      </c>
      <c r="D914" s="65" t="n">
        <f aca="false">E914-C914</f>
        <v>216500</v>
      </c>
      <c r="E914" s="66" t="n">
        <v>416500</v>
      </c>
    </row>
    <row r="915" customFormat="false" ht="15" hidden="false" customHeight="false" outlineLevel="0" collapsed="false">
      <c r="A915" s="44" t="n">
        <v>4</v>
      </c>
      <c r="B915" s="11" t="s">
        <v>971</v>
      </c>
      <c r="C915" s="65" t="n">
        <f aca="false">150000+150000</f>
        <v>300000</v>
      </c>
      <c r="D915" s="65" t="n">
        <f aca="false">E915-C915</f>
        <v>116500</v>
      </c>
      <c r="E915" s="66" t="n">
        <v>416500</v>
      </c>
    </row>
    <row r="916" customFormat="false" ht="15" hidden="false" customHeight="false" outlineLevel="0" collapsed="false">
      <c r="A916" s="44" t="n">
        <v>5</v>
      </c>
      <c r="B916" s="11" t="s">
        <v>972</v>
      </c>
      <c r="C916" s="65" t="n">
        <f aca="false">50000+366500</f>
        <v>416500</v>
      </c>
      <c r="D916" s="65" t="n">
        <f aca="false">E916-C916</f>
        <v>0</v>
      </c>
      <c r="E916" s="66" t="n">
        <v>416500</v>
      </c>
    </row>
    <row r="917" customFormat="false" ht="15" hidden="false" customHeight="false" outlineLevel="0" collapsed="false">
      <c r="A917" s="44" t="n">
        <v>6</v>
      </c>
      <c r="B917" s="11" t="s">
        <v>973</v>
      </c>
      <c r="C917" s="65" t="n">
        <f aca="false">150000+200000+66500</f>
        <v>416500</v>
      </c>
      <c r="D917" s="65" t="n">
        <f aca="false">E917-C917</f>
        <v>0</v>
      </c>
      <c r="E917" s="66" t="n">
        <v>416500</v>
      </c>
    </row>
    <row r="918" customFormat="false" ht="15" hidden="false" customHeight="false" outlineLevel="0" collapsed="false">
      <c r="A918" s="44" t="n">
        <v>7</v>
      </c>
      <c r="B918" s="11" t="s">
        <v>974</v>
      </c>
      <c r="C918" s="65" t="n">
        <f aca="false">216500+200000</f>
        <v>416500</v>
      </c>
      <c r="D918" s="65" t="n">
        <f aca="false">E918-C918</f>
        <v>0</v>
      </c>
      <c r="E918" s="66" t="n">
        <v>416500</v>
      </c>
    </row>
    <row r="919" customFormat="false" ht="15" hidden="false" customHeight="false" outlineLevel="0" collapsed="false">
      <c r="A919" s="44" t="n">
        <v>8</v>
      </c>
      <c r="B919" s="11" t="s">
        <v>975</v>
      </c>
      <c r="C919" s="65" t="n">
        <f aca="false">45000+371500</f>
        <v>416500</v>
      </c>
      <c r="D919" s="65" t="n">
        <f aca="false">E919-C919</f>
        <v>0</v>
      </c>
      <c r="E919" s="66" t="n">
        <v>416500</v>
      </c>
    </row>
    <row r="920" customFormat="false" ht="15" hidden="false" customHeight="false" outlineLevel="0" collapsed="false">
      <c r="A920" s="44" t="n">
        <v>9</v>
      </c>
      <c r="B920" s="11" t="s">
        <v>976</v>
      </c>
      <c r="C920" s="65" t="n">
        <f aca="false">100000+50000+266500</f>
        <v>416500</v>
      </c>
      <c r="D920" s="65" t="n">
        <f aca="false">E920-C920</f>
        <v>0</v>
      </c>
      <c r="E920" s="66" t="n">
        <v>416500</v>
      </c>
    </row>
    <row r="921" customFormat="false" ht="15" hidden="false" customHeight="false" outlineLevel="0" collapsed="false">
      <c r="A921" s="44" t="n">
        <v>10</v>
      </c>
      <c r="B921" s="11" t="s">
        <v>977</v>
      </c>
      <c r="C921" s="65" t="n">
        <f aca="false">66500+100000+245000+5000</f>
        <v>416500</v>
      </c>
      <c r="D921" s="65" t="n">
        <f aca="false">E921-C921</f>
        <v>0</v>
      </c>
      <c r="E921" s="66" t="n">
        <v>416500</v>
      </c>
    </row>
    <row r="922" customFormat="false" ht="15" hidden="false" customHeight="false" outlineLevel="0" collapsed="false">
      <c r="A922" s="44" t="n">
        <v>11</v>
      </c>
      <c r="B922" s="11" t="s">
        <v>978</v>
      </c>
      <c r="C922" s="65" t="n">
        <f aca="false">50000+100000+50000+100000+50000+66500</f>
        <v>416500</v>
      </c>
      <c r="D922" s="65" t="n">
        <f aca="false">E922-C922</f>
        <v>0</v>
      </c>
      <c r="E922" s="66" t="n">
        <v>416500</v>
      </c>
    </row>
    <row r="923" customFormat="false" ht="15" hidden="false" customHeight="false" outlineLevel="0" collapsed="false">
      <c r="A923" s="44" t="n">
        <v>12</v>
      </c>
      <c r="B923" s="11" t="s">
        <v>979</v>
      </c>
      <c r="C923" s="65" t="n">
        <f aca="false">200000+200000+16500</f>
        <v>416500</v>
      </c>
      <c r="D923" s="65" t="n">
        <f aca="false">E923-C923</f>
        <v>0</v>
      </c>
      <c r="E923" s="66" t="n">
        <v>416500</v>
      </c>
    </row>
    <row r="924" customFormat="false" ht="15" hidden="false" customHeight="false" outlineLevel="0" collapsed="false">
      <c r="A924" s="44" t="n">
        <v>13</v>
      </c>
      <c r="B924" s="11" t="s">
        <v>980</v>
      </c>
      <c r="C924" s="65" t="n">
        <f aca="false">99900+75000</f>
        <v>174900</v>
      </c>
      <c r="D924" s="65" t="n">
        <f aca="false">E924-C924</f>
        <v>241600</v>
      </c>
      <c r="E924" s="66" t="n">
        <v>416500</v>
      </c>
    </row>
    <row r="925" customFormat="false" ht="15" hidden="false" customHeight="false" outlineLevel="0" collapsed="false">
      <c r="A925" s="44" t="n">
        <v>14</v>
      </c>
      <c r="B925" s="11" t="s">
        <v>981</v>
      </c>
      <c r="C925" s="65" t="n">
        <f aca="false">250000+35000+50000+31500+50000</f>
        <v>416500</v>
      </c>
      <c r="D925" s="65" t="n">
        <f aca="false">E925-C925</f>
        <v>0</v>
      </c>
      <c r="E925" s="66" t="n">
        <v>416500</v>
      </c>
    </row>
    <row r="926" customFormat="false" ht="15" hidden="false" customHeight="false" outlineLevel="0" collapsed="false">
      <c r="A926" s="44" t="n">
        <v>15</v>
      </c>
      <c r="B926" s="11" t="s">
        <v>982</v>
      </c>
      <c r="C926" s="65" t="n">
        <f aca="false">16500+100000+300000</f>
        <v>416500</v>
      </c>
      <c r="D926" s="65" t="n">
        <f aca="false">E926-C926</f>
        <v>0</v>
      </c>
      <c r="E926" s="66" t="n">
        <v>416500</v>
      </c>
    </row>
    <row r="927" customFormat="false" ht="15" hidden="false" customHeight="false" outlineLevel="0" collapsed="false">
      <c r="A927" s="44" t="n">
        <v>16</v>
      </c>
      <c r="B927" s="11" t="s">
        <v>983</v>
      </c>
      <c r="C927" s="65" t="n">
        <f aca="false">132000</f>
        <v>132000</v>
      </c>
      <c r="D927" s="65" t="n">
        <f aca="false">E927-C927</f>
        <v>284500</v>
      </c>
      <c r="E927" s="66" t="n">
        <v>416500</v>
      </c>
    </row>
    <row r="928" customFormat="false" ht="15" hidden="false" customHeight="false" outlineLevel="0" collapsed="false">
      <c r="A928" s="44" t="n">
        <v>17</v>
      </c>
      <c r="B928" s="11" t="s">
        <v>984</v>
      </c>
      <c r="C928" s="65" t="n">
        <f aca="false">50000+30000+245000+91500</f>
        <v>416500</v>
      </c>
      <c r="D928" s="65" t="n">
        <f aca="false">E928-C928</f>
        <v>0</v>
      </c>
      <c r="E928" s="66" t="n">
        <v>416500</v>
      </c>
    </row>
    <row r="929" customFormat="false" ht="19.7" hidden="false" customHeight="false" outlineLevel="0" collapsed="false">
      <c r="A929" s="74"/>
      <c r="B929" s="16" t="s">
        <v>60</v>
      </c>
      <c r="C929" s="24" t="n">
        <f aca="false">SUM(C912:C928)</f>
        <v>5804900</v>
      </c>
      <c r="D929" s="18" t="n">
        <f aca="false">SUM(D912:D928)</f>
        <v>1275600</v>
      </c>
      <c r="E929" s="75" t="n">
        <f aca="false">SUM(E912:E928)</f>
        <v>7080500</v>
      </c>
    </row>
    <row r="932" customFormat="false" ht="15" hidden="false" customHeight="false" outlineLevel="0" collapsed="false">
      <c r="A932" s="38"/>
    </row>
    <row r="933" customFormat="false" ht="15" hidden="false" customHeight="false" outlineLevel="0" collapsed="false">
      <c r="A933" s="38"/>
    </row>
    <row r="934" customFormat="false" ht="15" hidden="false" customHeight="false" outlineLevel="0" collapsed="false">
      <c r="A934" s="38"/>
    </row>
    <row r="935" customFormat="false" ht="17.35" hidden="false" customHeight="false" outlineLevel="0" collapsed="false">
      <c r="A935" s="37"/>
      <c r="B935" s="1" t="s">
        <v>0</v>
      </c>
    </row>
    <row r="936" customFormat="false" ht="15" hidden="false" customHeight="false" outlineLevel="0" collapsed="false">
      <c r="A936" s="38"/>
    </row>
    <row r="937" customFormat="false" ht="17.35" hidden="false" customHeight="false" outlineLevel="0" collapsed="false">
      <c r="A937" s="38"/>
      <c r="B937" s="39" t="s">
        <v>446</v>
      </c>
    </row>
    <row r="938" customFormat="false" ht="15" hidden="false" customHeight="false" outlineLevel="0" collapsed="false">
      <c r="A938" s="38"/>
      <c r="B938" s="3" t="s">
        <v>952</v>
      </c>
    </row>
    <row r="939" customFormat="false" ht="15" hidden="false" customHeight="false" outlineLevel="0" collapsed="false">
      <c r="A939" s="38"/>
    </row>
    <row r="940" customFormat="false" ht="15" hidden="false" customHeight="false" outlineLevel="0" collapsed="false">
      <c r="A940" s="40" t="s">
        <v>4</v>
      </c>
      <c r="B940" s="6" t="s">
        <v>5</v>
      </c>
      <c r="C940" s="7" t="s">
        <v>6</v>
      </c>
      <c r="D940" s="8" t="s">
        <v>7</v>
      </c>
      <c r="E940" s="9" t="s">
        <v>8</v>
      </c>
    </row>
    <row r="941" customFormat="false" ht="15" hidden="false" customHeight="false" outlineLevel="0" collapsed="false">
      <c r="A941" s="44" t="n">
        <v>1</v>
      </c>
      <c r="B941" s="11" t="s">
        <v>985</v>
      </c>
      <c r="C941" s="12"/>
      <c r="D941" s="12" t="n">
        <f aca="false">E941-C941</f>
        <v>416500</v>
      </c>
      <c r="E941" s="13" t="n">
        <v>416500</v>
      </c>
    </row>
    <row r="942" customFormat="false" ht="15" hidden="false" customHeight="false" outlineLevel="0" collapsed="false">
      <c r="A942" s="44" t="n">
        <v>2</v>
      </c>
      <c r="B942" s="11" t="s">
        <v>986</v>
      </c>
      <c r="C942" s="12" t="n">
        <f aca="false">167000+200000+49500</f>
        <v>416500</v>
      </c>
      <c r="D942" s="12" t="n">
        <f aca="false">E942-C942</f>
        <v>0</v>
      </c>
      <c r="E942" s="13" t="n">
        <v>416500</v>
      </c>
    </row>
    <row r="943" customFormat="false" ht="15" hidden="false" customHeight="false" outlineLevel="0" collapsed="false">
      <c r="A943" s="44" t="n">
        <v>3</v>
      </c>
      <c r="B943" s="11" t="s">
        <v>987</v>
      </c>
      <c r="C943" s="12"/>
      <c r="D943" s="12" t="n">
        <f aca="false">E943-C943</f>
        <v>416500</v>
      </c>
      <c r="E943" s="13" t="n">
        <v>416500</v>
      </c>
    </row>
    <row r="944" customFormat="false" ht="15" hidden="false" customHeight="false" outlineLevel="0" collapsed="false">
      <c r="A944" s="44" t="n">
        <v>4</v>
      </c>
      <c r="B944" s="11" t="s">
        <v>988</v>
      </c>
      <c r="C944" s="12" t="n">
        <f aca="false">73500+386000</f>
        <v>459500</v>
      </c>
      <c r="D944" s="12" t="n">
        <f aca="false">E944-C944</f>
        <v>-43000</v>
      </c>
      <c r="E944" s="13" t="n">
        <v>416500</v>
      </c>
    </row>
    <row r="945" customFormat="false" ht="15" hidden="false" customHeight="false" outlineLevel="0" collapsed="false">
      <c r="A945" s="44" t="n">
        <v>5</v>
      </c>
      <c r="B945" s="78" t="s">
        <v>989</v>
      </c>
      <c r="C945" s="12" t="n">
        <v>416500</v>
      </c>
      <c r="D945" s="12" t="n">
        <f aca="false">E945-C945</f>
        <v>0</v>
      </c>
      <c r="E945" s="13" t="n">
        <v>416500</v>
      </c>
    </row>
    <row r="946" customFormat="false" ht="15" hidden="false" customHeight="false" outlineLevel="0" collapsed="false">
      <c r="A946" s="44" t="n">
        <v>6</v>
      </c>
      <c r="B946" s="11" t="s">
        <v>990</v>
      </c>
      <c r="C946" s="12"/>
      <c r="D946" s="12" t="n">
        <f aca="false">E946-C946</f>
        <v>416500</v>
      </c>
      <c r="E946" s="13" t="n">
        <v>416500</v>
      </c>
    </row>
    <row r="947" customFormat="false" ht="15" hidden="false" customHeight="false" outlineLevel="0" collapsed="false">
      <c r="A947" s="44" t="n">
        <v>7</v>
      </c>
      <c r="B947" s="11" t="s">
        <v>991</v>
      </c>
      <c r="C947" s="12"/>
      <c r="D947" s="12" t="n">
        <f aca="false">E947-C947</f>
        <v>416500</v>
      </c>
      <c r="E947" s="13" t="n">
        <v>416500</v>
      </c>
    </row>
    <row r="948" customFormat="false" ht="15" hidden="false" customHeight="false" outlineLevel="0" collapsed="false">
      <c r="A948" s="44" t="n">
        <v>8</v>
      </c>
      <c r="B948" s="11" t="s">
        <v>992</v>
      </c>
      <c r="C948" s="12" t="n">
        <v>416500</v>
      </c>
      <c r="D948" s="12" t="n">
        <f aca="false">E948-C948</f>
        <v>0</v>
      </c>
      <c r="E948" s="13" t="n">
        <v>416500</v>
      </c>
    </row>
    <row r="949" customFormat="false" ht="15" hidden="false" customHeight="false" outlineLevel="0" collapsed="false">
      <c r="A949" s="44" t="n">
        <v>9</v>
      </c>
      <c r="B949" s="11" t="s">
        <v>993</v>
      </c>
      <c r="C949" s="12"/>
      <c r="D949" s="12" t="n">
        <f aca="false">E949-C949</f>
        <v>416500</v>
      </c>
      <c r="E949" s="13" t="n">
        <v>416500</v>
      </c>
    </row>
    <row r="950" customFormat="false" ht="15" hidden="false" customHeight="false" outlineLevel="0" collapsed="false">
      <c r="A950" s="44" t="n">
        <v>10</v>
      </c>
      <c r="B950" s="11" t="s">
        <v>994</v>
      </c>
      <c r="C950" s="12"/>
      <c r="D950" s="12" t="n">
        <f aca="false">E950-C950</f>
        <v>416500</v>
      </c>
      <c r="E950" s="13" t="n">
        <v>416500</v>
      </c>
    </row>
    <row r="951" customFormat="false" ht="15" hidden="false" customHeight="false" outlineLevel="0" collapsed="false">
      <c r="A951" s="44" t="n">
        <v>11</v>
      </c>
      <c r="B951" s="11" t="s">
        <v>995</v>
      </c>
      <c r="C951" s="12" t="n">
        <f aca="false">283500+132500+500</f>
        <v>416500</v>
      </c>
      <c r="D951" s="12" t="n">
        <f aca="false">E951-C951</f>
        <v>0</v>
      </c>
      <c r="E951" s="13" t="n">
        <v>416500</v>
      </c>
    </row>
    <row r="952" customFormat="false" ht="15" hidden="false" customHeight="false" outlineLevel="0" collapsed="false">
      <c r="A952" s="44" t="n">
        <v>12</v>
      </c>
      <c r="B952" s="11" t="s">
        <v>996</v>
      </c>
      <c r="C952" s="12" t="n">
        <v>416000</v>
      </c>
      <c r="D952" s="12" t="n">
        <f aca="false">E952-C952</f>
        <v>500</v>
      </c>
      <c r="E952" s="13" t="n">
        <v>416500</v>
      </c>
    </row>
    <row r="953" customFormat="false" ht="15" hidden="false" customHeight="false" outlineLevel="0" collapsed="false">
      <c r="A953" s="44" t="n">
        <v>13</v>
      </c>
      <c r="B953" s="11" t="s">
        <v>997</v>
      </c>
      <c r="C953" s="12" t="n">
        <v>416500</v>
      </c>
      <c r="D953" s="12" t="n">
        <f aca="false">E953-C953</f>
        <v>0</v>
      </c>
      <c r="E953" s="13" t="n">
        <v>416500</v>
      </c>
    </row>
    <row r="954" customFormat="false" ht="15" hidden="false" customHeight="false" outlineLevel="0" collapsed="false">
      <c r="A954" s="44" t="n">
        <v>14</v>
      </c>
      <c r="B954" s="11" t="s">
        <v>998</v>
      </c>
      <c r="C954" s="12"/>
      <c r="D954" s="12" t="n">
        <f aca="false">E954-C954</f>
        <v>416500</v>
      </c>
      <c r="E954" s="13" t="n">
        <v>416500</v>
      </c>
    </row>
    <row r="955" customFormat="false" ht="15" hidden="false" customHeight="false" outlineLevel="0" collapsed="false">
      <c r="A955" s="44" t="n">
        <v>15</v>
      </c>
      <c r="B955" s="11" t="s">
        <v>999</v>
      </c>
      <c r="C955" s="12"/>
      <c r="D955" s="12" t="n">
        <f aca="false">E955-C955</f>
        <v>416500</v>
      </c>
      <c r="E955" s="13" t="n">
        <v>416500</v>
      </c>
    </row>
    <row r="956" customFormat="false" ht="15" hidden="false" customHeight="false" outlineLevel="0" collapsed="false">
      <c r="A956" s="44" t="n">
        <v>16</v>
      </c>
      <c r="B956" s="11" t="s">
        <v>1000</v>
      </c>
      <c r="C956" s="12"/>
      <c r="D956" s="12" t="n">
        <f aca="false">E956-C956</f>
        <v>416500</v>
      </c>
      <c r="E956" s="13" t="n">
        <v>416500</v>
      </c>
    </row>
    <row r="957" customFormat="false" ht="19.7" hidden="false" customHeight="false" outlineLevel="0" collapsed="false">
      <c r="A957" s="74"/>
      <c r="B957" s="16" t="s">
        <v>60</v>
      </c>
      <c r="C957" s="24" t="n">
        <f aca="false">SUM(C941:C956)</f>
        <v>2958000</v>
      </c>
      <c r="D957" s="18" t="n">
        <f aca="false">SUM(D941:D956)</f>
        <v>3706000</v>
      </c>
      <c r="E957" s="75" t="n">
        <f aca="false">SUM(E941:E956)</f>
        <v>6664000</v>
      </c>
    </row>
    <row r="962" customFormat="false" ht="15" hidden="false" customHeight="false" outlineLevel="0" collapsed="false">
      <c r="A962" s="38"/>
    </row>
    <row r="963" customFormat="false" ht="15" hidden="false" customHeight="false" outlineLevel="0" collapsed="false">
      <c r="A963" s="38"/>
    </row>
    <row r="964" customFormat="false" ht="15" hidden="false" customHeight="false" outlineLevel="0" collapsed="false">
      <c r="A964" s="38"/>
    </row>
    <row r="965" customFormat="false" ht="15" hidden="false" customHeight="false" outlineLevel="0" collapsed="false">
      <c r="A965" s="38"/>
    </row>
    <row r="966" customFormat="false" ht="15" hidden="false" customHeight="false" outlineLevel="0" collapsed="false">
      <c r="A966" s="38"/>
    </row>
    <row r="967" customFormat="false" ht="15" hidden="false" customHeight="false" outlineLevel="0" collapsed="false">
      <c r="A967" s="38"/>
    </row>
    <row r="968" customFormat="false" ht="15" hidden="false" customHeight="false" outlineLevel="0" collapsed="false">
      <c r="A968" s="38"/>
    </row>
    <row r="969" customFormat="false" ht="15" hidden="false" customHeight="false" outlineLevel="0" collapsed="false">
      <c r="A969" s="38"/>
    </row>
    <row r="970" customFormat="false" ht="15" hidden="false" customHeight="false" outlineLevel="0" collapsed="false">
      <c r="A970" s="38"/>
    </row>
    <row r="971" customFormat="false" ht="15" hidden="false" customHeight="false" outlineLevel="0" collapsed="false">
      <c r="A971" s="38"/>
    </row>
    <row r="972" customFormat="false" ht="15" hidden="false" customHeight="false" outlineLevel="0" collapsed="false">
      <c r="A972" s="38"/>
    </row>
    <row r="973" customFormat="false" ht="15" hidden="false" customHeight="false" outlineLevel="0" collapsed="false">
      <c r="A973" s="38"/>
    </row>
    <row r="974" customFormat="false" ht="15" hidden="false" customHeight="false" outlineLevel="0" collapsed="false">
      <c r="A974" s="38"/>
    </row>
  </sheetData>
  <mergeCells count="1">
    <mergeCell ref="B411:E4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2012-02-20T07:40:00Z</dcterms:created>
  <dc:creator>compaq</dc:creator>
  <dc:description/>
  <dc:language>fr-FR</dc:language>
  <cp:lastModifiedBy/>
  <cp:lastPrinted>2010-07-22T00:12:00Z</cp:lastPrinted>
  <dcterms:modified xsi:type="dcterms:W3CDTF">2024-12-23T08:09:59Z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46C8AEBC5658470FA88D59B95107549E_12</vt:lpwstr>
  </property>
  <property fmtid="{D5CDD505-2E9C-101B-9397-08002B2CF9AE}" pid="3" name="KSOProductBuildVer">
    <vt:lpwstr>1036-12.2.0.17119</vt:lpwstr>
  </property>
</Properties>
</file>