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uman\7_term\Экономика\ДР\"/>
    </mc:Choice>
  </mc:AlternateContent>
  <xr:revisionPtr revIDLastSave="0" documentId="13_ncr:1_{0F570CAF-9E66-4074-AA36-F3D1D98CED4E}" xr6:coauthVersionLast="47" xr6:coauthVersionMax="47" xr10:uidLastSave="{00000000-0000-0000-0000-000000000000}"/>
  <bookViews>
    <workbookView xWindow="-110" yWindow="-110" windowWidth="19420" windowHeight="11500" xr2:uid="{595B5A9A-800B-4B5C-8FD4-0FF41D775EF8}"/>
  </bookViews>
  <sheets>
    <sheet name="Данные варианта (Приложение 1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1" i="1" l="1"/>
  <c r="B132" i="1"/>
  <c r="B135" i="1"/>
  <c r="B136" i="1"/>
  <c r="B123" i="1"/>
  <c r="B122" i="1"/>
  <c r="B119" i="1"/>
  <c r="B118" i="1"/>
  <c r="B117" i="1"/>
  <c r="E109" i="1"/>
  <c r="E110" i="1"/>
  <c r="E111" i="1"/>
  <c r="E112" i="1"/>
  <c r="E108" i="1"/>
  <c r="B108" i="1"/>
  <c r="E99" i="1"/>
  <c r="E100" i="1"/>
  <c r="E101" i="1"/>
  <c r="E102" i="1"/>
  <c r="E98" i="1"/>
  <c r="B90" i="1"/>
  <c r="B85" i="1"/>
  <c r="D71" i="1"/>
  <c r="D72" i="1"/>
  <c r="D73" i="1"/>
  <c r="D74" i="1"/>
  <c r="D70" i="1"/>
  <c r="C71" i="1"/>
  <c r="C72" i="1"/>
  <c r="C73" i="1"/>
  <c r="C74" i="1"/>
  <c r="C70" i="1"/>
  <c r="G65" i="1"/>
  <c r="C60" i="1"/>
  <c r="E33" i="1"/>
  <c r="E34" i="1"/>
  <c r="E35" i="1"/>
  <c r="E36" i="1"/>
  <c r="E32" i="1"/>
  <c r="D33" i="1"/>
  <c r="D34" i="1"/>
  <c r="D35" i="1"/>
  <c r="D36" i="1"/>
  <c r="D32" i="1"/>
  <c r="I3" i="1"/>
  <c r="B36" i="1" s="1"/>
  <c r="H3" i="1"/>
  <c r="G3" i="1"/>
  <c r="F3" i="1"/>
  <c r="E3" i="1"/>
  <c r="B32" i="1" s="1"/>
  <c r="C98" i="1" s="1"/>
  <c r="B116" i="1"/>
  <c r="B84" i="1"/>
  <c r="B3" i="1"/>
  <c r="B77" i="1"/>
  <c r="B80" i="1" s="1"/>
  <c r="D109" i="1"/>
  <c r="D110" i="1"/>
  <c r="D111" i="1"/>
  <c r="D112" i="1"/>
  <c r="D108" i="1"/>
  <c r="A109" i="1"/>
  <c r="A110" i="1"/>
  <c r="A111" i="1"/>
  <c r="A112" i="1"/>
  <c r="A108" i="1"/>
  <c r="B99" i="1"/>
  <c r="B100" i="1"/>
  <c r="B101" i="1"/>
  <c r="B102" i="1"/>
  <c r="B98" i="1"/>
  <c r="A99" i="1"/>
  <c r="A100" i="1"/>
  <c r="A101" i="1"/>
  <c r="A102" i="1"/>
  <c r="A98" i="1"/>
  <c r="B94" i="1"/>
  <c r="B86" i="1"/>
  <c r="B89" i="1"/>
  <c r="A71" i="1"/>
  <c r="A72" i="1"/>
  <c r="A73" i="1"/>
  <c r="A74" i="1"/>
  <c r="A70" i="1"/>
  <c r="H65" i="1"/>
  <c r="H61" i="1"/>
  <c r="H62" i="1"/>
  <c r="H63" i="1"/>
  <c r="H64" i="1"/>
  <c r="H60" i="1"/>
  <c r="E61" i="1"/>
  <c r="E62" i="1"/>
  <c r="E63" i="1"/>
  <c r="E64" i="1"/>
  <c r="E60" i="1"/>
  <c r="D52" i="1"/>
  <c r="D53" i="1"/>
  <c r="D54" i="1"/>
  <c r="D55" i="1"/>
  <c r="D51" i="1"/>
  <c r="D56" i="1" s="1"/>
  <c r="C52" i="1"/>
  <c r="C53" i="1"/>
  <c r="C54" i="1"/>
  <c r="C55" i="1"/>
  <c r="C51" i="1"/>
  <c r="C56" i="1" s="1"/>
  <c r="A52" i="1"/>
  <c r="A53" i="1"/>
  <c r="A54" i="1"/>
  <c r="A55" i="1"/>
  <c r="A51" i="1"/>
  <c r="B42" i="1"/>
  <c r="B43" i="1"/>
  <c r="B44" i="1"/>
  <c r="B45" i="1"/>
  <c r="B41" i="1"/>
  <c r="A42" i="1"/>
  <c r="A43" i="1"/>
  <c r="A44" i="1"/>
  <c r="A45" i="1"/>
  <c r="A41" i="1"/>
  <c r="H31" i="1"/>
  <c r="A32" i="1"/>
  <c r="A33" i="1"/>
  <c r="A34" i="1"/>
  <c r="A35" i="1"/>
  <c r="A36" i="1"/>
  <c r="C36" i="1"/>
  <c r="C35" i="1"/>
  <c r="B35" i="1"/>
  <c r="D101" i="1" s="1"/>
  <c r="C111" i="1" s="1"/>
  <c r="C34" i="1"/>
  <c r="B34" i="1"/>
  <c r="D100" i="1" s="1"/>
  <c r="C110" i="1" s="1"/>
  <c r="C33" i="1"/>
  <c r="B33" i="1"/>
  <c r="D99" i="1" s="1"/>
  <c r="C109" i="1" s="1"/>
  <c r="C32" i="1"/>
  <c r="B91" i="1" l="1"/>
  <c r="C102" i="1"/>
  <c r="B54" i="1"/>
  <c r="E54" i="1" s="1"/>
  <c r="C42" i="1"/>
  <c r="B71" i="1" s="1"/>
  <c r="B78" i="1"/>
  <c r="B79" i="1" s="1"/>
  <c r="B82" i="1" s="1"/>
  <c r="B112" i="1"/>
  <c r="C101" i="1"/>
  <c r="C100" i="1"/>
  <c r="C99" i="1"/>
  <c r="B87" i="1"/>
  <c r="D102" i="1"/>
  <c r="C112" i="1" s="1"/>
  <c r="D98" i="1"/>
  <c r="C45" i="1" l="1"/>
  <c r="B74" i="1" s="1"/>
  <c r="C44" i="1"/>
  <c r="B73" i="1" s="1"/>
  <c r="C43" i="1"/>
  <c r="B72" i="1" s="1"/>
  <c r="C41" i="1"/>
  <c r="B70" i="1" s="1"/>
  <c r="C103" i="1"/>
  <c r="B109" i="1"/>
  <c r="B110" i="1"/>
  <c r="B111" i="1"/>
  <c r="C108" i="1"/>
  <c r="D103" i="1"/>
  <c r="E37" i="1"/>
  <c r="B51" i="1"/>
  <c r="B55" i="1"/>
  <c r="E55" i="1" s="1"/>
  <c r="B53" i="1"/>
  <c r="E53" i="1" s="1"/>
  <c r="B52" i="1"/>
  <c r="E52" i="1" s="1"/>
  <c r="D44" i="1" l="1"/>
  <c r="G63" i="1" s="1"/>
  <c r="I63" i="1" s="1"/>
  <c r="F63" i="1"/>
  <c r="E113" i="1"/>
  <c r="E103" i="1"/>
  <c r="D42" i="1"/>
  <c r="G61" i="1" s="1"/>
  <c r="I61" i="1" s="1"/>
  <c r="F61" i="1"/>
  <c r="D43" i="1"/>
  <c r="G62" i="1" s="1"/>
  <c r="I62" i="1" s="1"/>
  <c r="F62" i="1"/>
  <c r="D45" i="1"/>
  <c r="G64" i="1" s="1"/>
  <c r="I64" i="1" s="1"/>
  <c r="F64" i="1"/>
  <c r="F60" i="1"/>
  <c r="D41" i="1"/>
  <c r="B56" i="1"/>
  <c r="E51" i="1"/>
  <c r="E56" i="1" s="1"/>
  <c r="H49" i="1" l="1"/>
  <c r="F65" i="1"/>
  <c r="D46" i="1"/>
  <c r="C61" i="1" s="1"/>
  <c r="G60" i="1"/>
  <c r="I60" i="1" l="1"/>
  <c r="B120" i="1" s="1"/>
  <c r="B121" i="1" s="1"/>
  <c r="C62" i="1"/>
  <c r="I65" i="1"/>
  <c r="C63" i="1" l="1"/>
  <c r="C64" i="1"/>
  <c r="I66" i="1"/>
  <c r="G66" i="1"/>
  <c r="C65" i="1" l="1"/>
</calcChain>
</file>

<file path=xl/sharedStrings.xml><?xml version="1.0" encoding="utf-8"?>
<sst xmlns="http://schemas.openxmlformats.org/spreadsheetml/2006/main" count="179" uniqueCount="148">
  <si>
    <t>Изделие А</t>
  </si>
  <si>
    <t>Материал</t>
  </si>
  <si>
    <t>Металла коэффициент использования</t>
  </si>
  <si>
    <t>4 разряд фрезерование</t>
  </si>
  <si>
    <t>3 разряд сверление</t>
  </si>
  <si>
    <t>4 разряд расточка</t>
  </si>
  <si>
    <t>4 разряд шлифование</t>
  </si>
  <si>
    <t>3 разряд токарная</t>
  </si>
  <si>
    <t>Сталь</t>
  </si>
  <si>
    <t>Показатели</t>
  </si>
  <si>
    <t>Ед. изм.</t>
  </si>
  <si>
    <t>Значение</t>
  </si>
  <si>
    <t>Количество рабочих дней в году</t>
  </si>
  <si>
    <t>Сменность работы</t>
  </si>
  <si>
    <t>Продолжительность смены</t>
  </si>
  <si>
    <t>Плановые простои оборудования за год</t>
  </si>
  <si>
    <t>Плановые потери рабочего времени за год</t>
  </si>
  <si>
    <t>Средний процент выполнения норм</t>
  </si>
  <si>
    <t>Интервал поставки сырья</t>
  </si>
  <si>
    <t>Отклонение от интервала поставки</t>
  </si>
  <si>
    <t>Длительность производственного цикла</t>
  </si>
  <si>
    <t>Периодичность отгрузки</t>
  </si>
  <si>
    <t>Цена материала (сталь)</t>
  </si>
  <si>
    <t>Плотность материала (стали)</t>
  </si>
  <si>
    <t>Цена реализации отходов</t>
  </si>
  <si>
    <t>Удельный вес стоимости материала в себестоимости детали</t>
  </si>
  <si>
    <t>Стоимость 1м2 производственной площади цеха</t>
  </si>
  <si>
    <t>Дополнительная заработная плата произв. рабочих</t>
  </si>
  <si>
    <t>Страховые взносы</t>
  </si>
  <si>
    <t>Годовая норма амортизации оборудования</t>
  </si>
  <si>
    <t>Годовая норма амортизации здания цеха</t>
  </si>
  <si>
    <t>дни</t>
  </si>
  <si>
    <t>см.</t>
  </si>
  <si>
    <t>час.</t>
  </si>
  <si>
    <t>%</t>
  </si>
  <si>
    <t>руб./кг</t>
  </si>
  <si>
    <t>кг/м3</t>
  </si>
  <si>
    <t>руб./т</t>
  </si>
  <si>
    <t>руб./м2</t>
  </si>
  <si>
    <t>Виды оборудования</t>
  </si>
  <si>
    <t>Площадь, занимаемая единицой оборудования, м2</t>
  </si>
  <si>
    <t>основная</t>
  </si>
  <si>
    <t>дополнительная</t>
  </si>
  <si>
    <t>Сверлильный</t>
  </si>
  <si>
    <t>Расточный станок</t>
  </si>
  <si>
    <t>Шлифовальный</t>
  </si>
  <si>
    <t>Токарный станок</t>
  </si>
  <si>
    <t>Фрезрный станок</t>
  </si>
  <si>
    <t>Операция</t>
  </si>
  <si>
    <t>Разряд работ</t>
  </si>
  <si>
    <t>Фрезерование</t>
  </si>
  <si>
    <t>Сверление</t>
  </si>
  <si>
    <t>Расточка</t>
  </si>
  <si>
    <t>Шлифование</t>
  </si>
  <si>
    <t>Токарная</t>
  </si>
  <si>
    <t>Ремонт и техобслуживание оборудования</t>
  </si>
  <si>
    <t>Технологическое топливо и энергия</t>
  </si>
  <si>
    <t>Вспомогательные материалы</t>
  </si>
  <si>
    <t>Отопление, освещение цеха</t>
  </si>
  <si>
    <t>Основная заработная плата аппарата управления цеха</t>
  </si>
  <si>
    <t>Расходы по технике безопасности</t>
  </si>
  <si>
    <t>Наименование операции</t>
  </si>
  <si>
    <t>Расчёт потребности в оборудовании</t>
  </si>
  <si>
    <t>Итого</t>
  </si>
  <si>
    <t>Рассчёт стоимости основных фондов по группам</t>
  </si>
  <si>
    <t>Итого по группе "Рабочие машины"</t>
  </si>
  <si>
    <t>Количество единиц оборудования, шт.</t>
  </si>
  <si>
    <t>Годовой эффективный фонд времени работы единицы оборудования, ч.</t>
  </si>
  <si>
    <t>Рассчёт стоимости оборудования цеха</t>
  </si>
  <si>
    <t>Рассчёт занимаемой площади</t>
  </si>
  <si>
    <t>Площадь на единицу оборудования, м2</t>
  </si>
  <si>
    <t>Осн.</t>
  </si>
  <si>
    <t>Доп.</t>
  </si>
  <si>
    <t>Общая площадь, м2</t>
  </si>
  <si>
    <t>Кол-во единиц оборудования, шт.</t>
  </si>
  <si>
    <t>Стоимость производственного помещения, руб.</t>
  </si>
  <si>
    <t>Стоимость по группам</t>
  </si>
  <si>
    <t>Группа</t>
  </si>
  <si>
    <t>Здания</t>
  </si>
  <si>
    <t>Рабочие машины</t>
  </si>
  <si>
    <t>Транспортные средства</t>
  </si>
  <si>
    <t>Произв. инвентарь</t>
  </si>
  <si>
    <t>Инструменты</t>
  </si>
  <si>
    <t>Рассчёт амортизационных отчислений</t>
  </si>
  <si>
    <t>Виды основных фондов</t>
  </si>
  <si>
    <t>Норма амортизации</t>
  </si>
  <si>
    <t>Кол-во, шт. или м2</t>
  </si>
  <si>
    <t>Рассчёт производственной мощности цеха</t>
  </si>
  <si>
    <t>Количество, шт</t>
  </si>
  <si>
    <t>Коэф. Загрузки</t>
  </si>
  <si>
    <t>Рассчёт норматива оборотных средств</t>
  </si>
  <si>
    <t>Среднесуточное потребление материала, кг/день</t>
  </si>
  <si>
    <t>Коэффициент нарастания затрат в производстве</t>
  </si>
  <si>
    <t>Количество деталей, сдаваемых на склад, шт.</t>
  </si>
  <si>
    <t>Рассчёт численности рабочих сдельщиков</t>
  </si>
  <si>
    <t>Годовой эффективный фонд времени одного рабочего, ч/год</t>
  </si>
  <si>
    <t>Численность рабочих-сдельщиков</t>
  </si>
  <si>
    <t>Разряд работы</t>
  </si>
  <si>
    <t>Рассчёт фонда основной заработной платы производственных рабочих-сдельщиков цеха</t>
  </si>
  <si>
    <t>Фонд основной заработной платы</t>
  </si>
  <si>
    <t>Рассчёт цеховой стоимости детали</t>
  </si>
  <si>
    <t>Основная заработная плата производственных рабочих</t>
  </si>
  <si>
    <t>Kрсо</t>
  </si>
  <si>
    <t>Сумма РСО, руб.</t>
  </si>
  <si>
    <t>Расходы по содержанию и эксплуатации оборудования</t>
  </si>
  <si>
    <t>Объём, м2</t>
  </si>
  <si>
    <t>Годовая программа выпуска, шт.</t>
  </si>
  <si>
    <t>Технологический процесс и нормы времени по операциям с указанием разряда работ, ч.</t>
  </si>
  <si>
    <t>Годовой объём производства, шт.</t>
  </si>
  <si>
    <t>Норма времени на операцию, ч.</t>
  </si>
  <si>
    <t>Трудоёмкость годового объёма производства, ч.</t>
  </si>
  <si>
    <t>Цена за единицу оборудования данного вида, руб.</t>
  </si>
  <si>
    <t>руб./год</t>
  </si>
  <si>
    <t>Цена за единицу оборудования, руб.</t>
  </si>
  <si>
    <t>Общая стоимость, руб.</t>
  </si>
  <si>
    <t>Стоимость, руб.</t>
  </si>
  <si>
    <t>Начисленная сумма амортизации, руб.</t>
  </si>
  <si>
    <t>Мощность, шт./год</t>
  </si>
  <si>
    <t>Стоимость материала заготовки, руб.</t>
  </si>
  <si>
    <t>Среднесуточные затраты на производство продукции, руб.</t>
  </si>
  <si>
    <t>Норматив незавершённого производства, руб.</t>
  </si>
  <si>
    <t>Запас текущий максимальный, руб.</t>
  </si>
  <si>
    <t>Запас текущий средний, руб.</t>
  </si>
  <si>
    <t>Запас страховой, руб.</t>
  </si>
  <si>
    <t>Технологический запас, руб.</t>
  </si>
  <si>
    <t>Норматив производственного запаса, руб.</t>
  </si>
  <si>
    <t>Себестоимость детали, руб.</t>
  </si>
  <si>
    <t>Норматив готовой продукции, руб.</t>
  </si>
  <si>
    <t>Трудоёмкость трудового объёма производства, ч.</t>
  </si>
  <si>
    <t>Часовая тарифная ставка, руб./ч.</t>
  </si>
  <si>
    <t>Фонд основной заработной платы, руб.</t>
  </si>
  <si>
    <t>Рассчёт стоимости продукции, руб.</t>
  </si>
  <si>
    <t>Стоимость возвратных отходов, руб.</t>
  </si>
  <si>
    <t>Расходы по содержанию и эксплуатации оборудования, руб.</t>
  </si>
  <si>
    <t>Основная заработная плата производственных рабочих, руб.</t>
  </si>
  <si>
    <t>Цеховые накладные расходы</t>
  </si>
  <si>
    <t>Цеховые накладные расходы, руб.</t>
  </si>
  <si>
    <t>Kцнр</t>
  </si>
  <si>
    <t>Калькуляция цеховой себестоимости деталей</t>
  </si>
  <si>
    <t>Наименование статей затрат</t>
  </si>
  <si>
    <t>Сумма, руб.</t>
  </si>
  <si>
    <t>Основные материалы</t>
  </si>
  <si>
    <t>Покупные полуфабрикаты и комплектующие изделия</t>
  </si>
  <si>
    <t>Транспортные расходы (8% от п.1)</t>
  </si>
  <si>
    <t>Полуфабрикаты собственного производства</t>
  </si>
  <si>
    <t>Отходы возвратные</t>
  </si>
  <si>
    <t>Дополнительная заработная плата производственных рабочих</t>
  </si>
  <si>
    <t>Итого цеховая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</si>
</sst>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49" fontId="0" fillId="8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horizontal="left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FFBA-EB1C-4200-9327-F0873158D350}">
  <dimension ref="A1:I137"/>
  <sheetViews>
    <sheetView tabSelected="1" topLeftCell="A112" zoomScale="120" zoomScaleNormal="160" workbookViewId="0">
      <selection activeCell="B119" sqref="B119"/>
    </sheetView>
  </sheetViews>
  <sheetFormatPr defaultRowHeight="14.5" x14ac:dyDescent="0.35"/>
  <cols>
    <col min="1" max="1" width="35.7265625" customWidth="1"/>
    <col min="2" max="4" width="16.7265625" customWidth="1"/>
    <col min="5" max="9" width="22.7265625" customWidth="1"/>
  </cols>
  <sheetData>
    <row r="1" spans="1:9" ht="15.5" x14ac:dyDescent="0.35">
      <c r="A1" s="70" t="s">
        <v>106</v>
      </c>
      <c r="B1" s="70" t="s">
        <v>0</v>
      </c>
      <c r="C1" s="70"/>
      <c r="D1" s="70"/>
      <c r="E1" s="70" t="s">
        <v>107</v>
      </c>
      <c r="F1" s="70"/>
      <c r="G1" s="70"/>
      <c r="H1" s="70"/>
      <c r="I1" s="70"/>
    </row>
    <row r="2" spans="1:9" ht="46.5" x14ac:dyDescent="0.35">
      <c r="A2" s="70"/>
      <c r="B2" s="1" t="s">
        <v>105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5.5" x14ac:dyDescent="0.35">
      <c r="A3" s="5">
        <v>170000</v>
      </c>
      <c r="B3" s="34">
        <f>(30*15*25)/1000000000</f>
        <v>1.1250000000000001E-5</v>
      </c>
      <c r="C3" s="6" t="s">
        <v>8</v>
      </c>
      <c r="D3" s="7">
        <v>0.7</v>
      </c>
      <c r="E3" s="33">
        <f>1.5/60</f>
        <v>2.5000000000000001E-2</v>
      </c>
      <c r="F3" s="33">
        <f>0.5/60</f>
        <v>8.3333333333333332E-3</v>
      </c>
      <c r="G3" s="33">
        <f>1.3/60</f>
        <v>2.1666666666666667E-2</v>
      </c>
      <c r="H3" s="33">
        <f>1.5/60</f>
        <v>2.5000000000000001E-2</v>
      </c>
      <c r="I3" s="33">
        <f>2/60</f>
        <v>3.3333333333333333E-2</v>
      </c>
    </row>
    <row r="4" spans="1:9" ht="15.5" x14ac:dyDescent="0.35">
      <c r="A4" s="38"/>
      <c r="B4" s="38"/>
      <c r="C4" s="38"/>
      <c r="D4" s="38"/>
      <c r="E4" s="38"/>
      <c r="F4" s="38"/>
      <c r="G4" s="38"/>
      <c r="H4" s="38"/>
      <c r="I4" s="38"/>
    </row>
    <row r="5" spans="1:9" ht="15.5" x14ac:dyDescent="0.35">
      <c r="A5" s="1" t="s">
        <v>9</v>
      </c>
      <c r="B5" s="1" t="s">
        <v>10</v>
      </c>
      <c r="C5" s="1" t="s">
        <v>11</v>
      </c>
      <c r="D5" s="38"/>
      <c r="E5" s="70" t="s">
        <v>39</v>
      </c>
      <c r="F5" s="70" t="s">
        <v>111</v>
      </c>
      <c r="G5" s="70" t="s">
        <v>40</v>
      </c>
      <c r="H5" s="70"/>
      <c r="I5" s="38"/>
    </row>
    <row r="6" spans="1:9" ht="15.5" x14ac:dyDescent="0.35">
      <c r="A6" s="3" t="s">
        <v>12</v>
      </c>
      <c r="B6" s="3" t="s">
        <v>31</v>
      </c>
      <c r="C6" s="2">
        <v>250</v>
      </c>
      <c r="D6" s="38"/>
      <c r="E6" s="70"/>
      <c r="F6" s="70"/>
      <c r="G6" s="1" t="s">
        <v>41</v>
      </c>
      <c r="H6" s="1" t="s">
        <v>42</v>
      </c>
      <c r="I6" s="38"/>
    </row>
    <row r="7" spans="1:9" ht="15.5" x14ac:dyDescent="0.35">
      <c r="A7" s="3" t="s">
        <v>13</v>
      </c>
      <c r="B7" s="3" t="s">
        <v>32</v>
      </c>
      <c r="C7" s="2">
        <v>2</v>
      </c>
      <c r="D7" s="38"/>
      <c r="E7" s="3" t="s">
        <v>47</v>
      </c>
      <c r="F7" s="2">
        <v>2398000</v>
      </c>
      <c r="G7" s="2">
        <v>3.7</v>
      </c>
      <c r="H7" s="2">
        <v>8</v>
      </c>
      <c r="I7" s="38"/>
    </row>
    <row r="8" spans="1:9" ht="15.5" x14ac:dyDescent="0.35">
      <c r="A8" s="3" t="s">
        <v>14</v>
      </c>
      <c r="B8" s="3" t="s">
        <v>33</v>
      </c>
      <c r="C8" s="2">
        <v>8</v>
      </c>
      <c r="D8" s="38"/>
      <c r="E8" s="3" t="s">
        <v>43</v>
      </c>
      <c r="F8" s="2">
        <v>1865000</v>
      </c>
      <c r="G8" s="2">
        <v>1</v>
      </c>
      <c r="H8" s="2">
        <v>4</v>
      </c>
      <c r="I8" s="38"/>
    </row>
    <row r="9" spans="1:9" ht="31" x14ac:dyDescent="0.35">
      <c r="A9" s="3" t="s">
        <v>15</v>
      </c>
      <c r="B9" s="3" t="s">
        <v>34</v>
      </c>
      <c r="C9" s="2">
        <v>6</v>
      </c>
      <c r="D9" s="38"/>
      <c r="E9" s="3" t="s">
        <v>44</v>
      </c>
      <c r="F9" s="2">
        <v>1669000</v>
      </c>
      <c r="G9" s="2">
        <v>16.3</v>
      </c>
      <c r="H9" s="2">
        <v>34</v>
      </c>
      <c r="I9" s="38"/>
    </row>
    <row r="10" spans="1:9" ht="31" x14ac:dyDescent="0.35">
      <c r="A10" s="3" t="s">
        <v>16</v>
      </c>
      <c r="B10" s="3" t="s">
        <v>34</v>
      </c>
      <c r="C10" s="2">
        <v>15</v>
      </c>
      <c r="D10" s="38"/>
      <c r="E10" s="3" t="s">
        <v>45</v>
      </c>
      <c r="F10" s="2">
        <v>1510000</v>
      </c>
      <c r="G10" s="2">
        <v>4.8</v>
      </c>
      <c r="H10" s="2">
        <v>10</v>
      </c>
      <c r="I10" s="38"/>
    </row>
    <row r="11" spans="1:9" ht="15.5" x14ac:dyDescent="0.35">
      <c r="A11" s="3" t="s">
        <v>17</v>
      </c>
      <c r="B11" s="3" t="s">
        <v>34</v>
      </c>
      <c r="C11" s="2">
        <v>103</v>
      </c>
      <c r="D11" s="38"/>
      <c r="E11" s="3" t="s">
        <v>46</v>
      </c>
      <c r="F11" s="2">
        <v>1815000</v>
      </c>
      <c r="G11" s="2">
        <v>7.6</v>
      </c>
      <c r="H11" s="2">
        <v>16</v>
      </c>
      <c r="I11" s="38"/>
    </row>
    <row r="12" spans="1:9" ht="15.5" x14ac:dyDescent="0.35">
      <c r="A12" s="3" t="s">
        <v>18</v>
      </c>
      <c r="B12" s="3" t="s">
        <v>31</v>
      </c>
      <c r="C12" s="2">
        <v>40</v>
      </c>
      <c r="D12" s="38"/>
      <c r="E12" s="38"/>
      <c r="F12" s="38"/>
      <c r="G12" s="38"/>
      <c r="H12" s="38"/>
      <c r="I12" s="38"/>
    </row>
    <row r="13" spans="1:9" ht="31" x14ac:dyDescent="0.35">
      <c r="A13" s="3" t="s">
        <v>19</v>
      </c>
      <c r="B13" s="3" t="s">
        <v>31</v>
      </c>
      <c r="C13" s="2">
        <v>2</v>
      </c>
      <c r="D13" s="38"/>
      <c r="E13" s="1" t="s">
        <v>48</v>
      </c>
      <c r="F13" s="1" t="s">
        <v>49</v>
      </c>
      <c r="G13" s="1" t="s">
        <v>129</v>
      </c>
      <c r="H13" s="38"/>
      <c r="I13" s="38"/>
    </row>
    <row r="14" spans="1:9" ht="31" x14ac:dyDescent="0.35">
      <c r="A14" s="3" t="s">
        <v>20</v>
      </c>
      <c r="B14" s="3" t="s">
        <v>31</v>
      </c>
      <c r="C14" s="2">
        <v>7</v>
      </c>
      <c r="D14" s="38"/>
      <c r="E14" s="3" t="s">
        <v>50</v>
      </c>
      <c r="F14" s="2">
        <v>4</v>
      </c>
      <c r="G14" s="2">
        <v>28</v>
      </c>
      <c r="H14" s="38"/>
      <c r="I14" s="38"/>
    </row>
    <row r="15" spans="1:9" ht="15.5" x14ac:dyDescent="0.35">
      <c r="A15" s="3" t="s">
        <v>21</v>
      </c>
      <c r="B15" s="3" t="s">
        <v>31</v>
      </c>
      <c r="C15" s="2">
        <v>3</v>
      </c>
      <c r="D15" s="38"/>
      <c r="E15" s="3" t="s">
        <v>51</v>
      </c>
      <c r="F15" s="2">
        <v>3</v>
      </c>
      <c r="G15" s="2">
        <v>22</v>
      </c>
      <c r="H15" s="38"/>
      <c r="I15" s="38"/>
    </row>
    <row r="16" spans="1:9" ht="15.5" x14ac:dyDescent="0.35">
      <c r="A16" s="3" t="s">
        <v>22</v>
      </c>
      <c r="B16" s="3" t="s">
        <v>35</v>
      </c>
      <c r="C16" s="2">
        <v>350</v>
      </c>
      <c r="D16" s="38"/>
      <c r="E16" s="3" t="s">
        <v>52</v>
      </c>
      <c r="F16" s="2">
        <v>5</v>
      </c>
      <c r="G16" s="2">
        <v>35</v>
      </c>
      <c r="H16" s="38"/>
      <c r="I16" s="38"/>
    </row>
    <row r="17" spans="1:9" ht="15.5" x14ac:dyDescent="0.35">
      <c r="A17" s="3" t="s">
        <v>23</v>
      </c>
      <c r="B17" s="3" t="s">
        <v>36</v>
      </c>
      <c r="C17" s="2">
        <v>7800</v>
      </c>
      <c r="D17" s="38"/>
      <c r="E17" s="3" t="s">
        <v>53</v>
      </c>
      <c r="F17" s="2">
        <v>5</v>
      </c>
      <c r="G17" s="2">
        <v>35</v>
      </c>
      <c r="H17" s="38"/>
      <c r="I17" s="38"/>
    </row>
    <row r="18" spans="1:9" ht="15.5" x14ac:dyDescent="0.35">
      <c r="A18" s="3" t="s">
        <v>24</v>
      </c>
      <c r="B18" s="3" t="s">
        <v>37</v>
      </c>
      <c r="C18" s="2">
        <v>1500</v>
      </c>
      <c r="D18" s="38"/>
      <c r="E18" s="3" t="s">
        <v>54</v>
      </c>
      <c r="F18" s="2">
        <v>3</v>
      </c>
      <c r="G18" s="2">
        <v>22</v>
      </c>
      <c r="H18" s="38"/>
      <c r="I18" s="38"/>
    </row>
    <row r="19" spans="1:9" ht="31" x14ac:dyDescent="0.35">
      <c r="A19" s="3" t="s">
        <v>25</v>
      </c>
      <c r="B19" s="3" t="s">
        <v>34</v>
      </c>
      <c r="C19" s="2">
        <v>45</v>
      </c>
      <c r="D19" s="38"/>
      <c r="E19" s="38"/>
      <c r="F19" s="38"/>
      <c r="G19" s="38"/>
      <c r="H19" s="38"/>
      <c r="I19" s="38"/>
    </row>
    <row r="20" spans="1:9" ht="46.5" x14ac:dyDescent="0.35">
      <c r="A20" s="3" t="s">
        <v>26</v>
      </c>
      <c r="B20" s="3" t="s">
        <v>38</v>
      </c>
      <c r="C20" s="2">
        <v>9400</v>
      </c>
      <c r="D20" s="38"/>
      <c r="E20" s="3" t="s">
        <v>55</v>
      </c>
      <c r="F20" s="2">
        <v>1800000</v>
      </c>
      <c r="G20" s="62" t="s">
        <v>112</v>
      </c>
      <c r="H20" s="38"/>
      <c r="I20" s="38"/>
    </row>
    <row r="21" spans="1:9" ht="31" x14ac:dyDescent="0.35">
      <c r="A21" s="3" t="s">
        <v>27</v>
      </c>
      <c r="B21" s="3" t="s">
        <v>34</v>
      </c>
      <c r="C21" s="2">
        <v>15</v>
      </c>
      <c r="D21" s="38"/>
      <c r="E21" s="3" t="s">
        <v>56</v>
      </c>
      <c r="F21" s="2">
        <v>4500000</v>
      </c>
      <c r="G21" s="62"/>
      <c r="H21" s="38"/>
      <c r="I21" s="38"/>
    </row>
    <row r="22" spans="1:9" ht="31" x14ac:dyDescent="0.35">
      <c r="A22" s="3" t="s">
        <v>28</v>
      </c>
      <c r="B22" s="3" t="s">
        <v>34</v>
      </c>
      <c r="C22" s="2">
        <v>30</v>
      </c>
      <c r="D22" s="38"/>
      <c r="E22" s="3" t="s">
        <v>57</v>
      </c>
      <c r="F22" s="2">
        <v>900000</v>
      </c>
      <c r="G22" s="62"/>
      <c r="H22" s="38"/>
      <c r="I22" s="38"/>
    </row>
    <row r="23" spans="1:9" ht="31" x14ac:dyDescent="0.35">
      <c r="A23" s="3" t="s">
        <v>29</v>
      </c>
      <c r="B23" s="3" t="s">
        <v>34</v>
      </c>
      <c r="C23" s="2">
        <v>20</v>
      </c>
      <c r="D23" s="38"/>
      <c r="E23" s="3" t="s">
        <v>58</v>
      </c>
      <c r="F23" s="2">
        <v>9800000</v>
      </c>
      <c r="G23" s="62"/>
      <c r="H23" s="38"/>
      <c r="I23" s="38"/>
    </row>
    <row r="24" spans="1:9" ht="46.5" x14ac:dyDescent="0.35">
      <c r="A24" s="3" t="s">
        <v>30</v>
      </c>
      <c r="B24" s="3" t="s">
        <v>34</v>
      </c>
      <c r="C24" s="4">
        <v>2.5</v>
      </c>
      <c r="D24" s="38"/>
      <c r="E24" s="3" t="s">
        <v>59</v>
      </c>
      <c r="F24" s="2">
        <v>5800000</v>
      </c>
      <c r="G24" s="62"/>
      <c r="H24" s="38"/>
      <c r="I24" s="38"/>
    </row>
    <row r="25" spans="1:9" ht="31" x14ac:dyDescent="0.35">
      <c r="A25" s="38"/>
      <c r="B25" s="38"/>
      <c r="C25" s="38"/>
      <c r="D25" s="38"/>
      <c r="E25" s="3" t="s">
        <v>60</v>
      </c>
      <c r="F25" s="2">
        <v>360000</v>
      </c>
      <c r="G25" s="62"/>
      <c r="H25" s="38"/>
      <c r="I25" s="38"/>
    </row>
    <row r="26" spans="1:9" x14ac:dyDescent="0.35">
      <c r="A26" s="39"/>
      <c r="B26" s="39"/>
      <c r="C26" s="39"/>
      <c r="D26" s="39"/>
      <c r="E26" s="39"/>
      <c r="F26" s="39"/>
      <c r="G26" s="39"/>
      <c r="H26" s="39"/>
      <c r="I26" s="39"/>
    </row>
    <row r="27" spans="1:9" ht="15.5" x14ac:dyDescent="0.35">
      <c r="A27" s="8"/>
      <c r="B27" s="40"/>
      <c r="C27" s="40"/>
      <c r="D27" s="40"/>
      <c r="E27" s="40"/>
      <c r="F27" s="40"/>
      <c r="G27" s="40"/>
      <c r="H27" s="40"/>
      <c r="I27" s="40"/>
    </row>
    <row r="28" spans="1:9" ht="18.5" x14ac:dyDescent="0.45">
      <c r="A28" s="63" t="s">
        <v>64</v>
      </c>
      <c r="B28" s="63"/>
      <c r="C28" s="63"/>
      <c r="D28" s="63"/>
      <c r="E28" s="63"/>
      <c r="F28" s="63"/>
      <c r="G28" s="63"/>
      <c r="H28" s="63"/>
      <c r="I28" s="63"/>
    </row>
    <row r="29" spans="1:9" x14ac:dyDescent="0.35">
      <c r="A29" s="40"/>
      <c r="B29" s="40"/>
      <c r="C29" s="40"/>
      <c r="D29" s="40"/>
      <c r="E29" s="40"/>
      <c r="F29" s="40"/>
      <c r="G29" s="40"/>
      <c r="H29" s="40"/>
      <c r="I29" s="40"/>
    </row>
    <row r="30" spans="1:9" x14ac:dyDescent="0.35">
      <c r="A30" s="64" t="s">
        <v>62</v>
      </c>
      <c r="B30" s="65"/>
      <c r="C30" s="65"/>
      <c r="D30" s="65"/>
      <c r="E30" s="66"/>
      <c r="F30" s="40"/>
      <c r="G30" s="40"/>
      <c r="H30" s="40"/>
      <c r="I30" s="40"/>
    </row>
    <row r="31" spans="1:9" ht="58" x14ac:dyDescent="0.35">
      <c r="A31" s="9" t="s">
        <v>61</v>
      </c>
      <c r="B31" s="9" t="s">
        <v>109</v>
      </c>
      <c r="C31" s="9" t="s">
        <v>108</v>
      </c>
      <c r="D31" s="9" t="s">
        <v>110</v>
      </c>
      <c r="E31" s="9" t="s">
        <v>66</v>
      </c>
      <c r="F31" s="40"/>
      <c r="G31" s="10" t="s">
        <v>67</v>
      </c>
      <c r="H31" s="29">
        <f>C6*C7*C8*(1-C9/100)</f>
        <v>3760</v>
      </c>
      <c r="I31" s="41"/>
    </row>
    <row r="32" spans="1:9" x14ac:dyDescent="0.35">
      <c r="A32" s="11" t="str">
        <f>E14</f>
        <v>Фрезерование</v>
      </c>
      <c r="B32" s="35">
        <f>'Данные варианта (Приложение 1)'!E$3</f>
        <v>2.5000000000000001E-2</v>
      </c>
      <c r="C32" s="13">
        <f>'Данные варианта (Приложение 1)'!$A$3</f>
        <v>170000</v>
      </c>
      <c r="D32" s="12">
        <f>B32*C32</f>
        <v>4250</v>
      </c>
      <c r="E32" s="13">
        <f>_xlfn.CEILING.MATH((C32/$H$31)*(B32))</f>
        <v>2</v>
      </c>
      <c r="F32" s="40"/>
      <c r="G32" s="40"/>
      <c r="H32" s="40"/>
      <c r="I32" s="40"/>
    </row>
    <row r="33" spans="1:9" x14ac:dyDescent="0.35">
      <c r="A33" s="11" t="str">
        <f t="shared" ref="A33:A36" si="0">E15</f>
        <v>Сверление</v>
      </c>
      <c r="B33" s="35">
        <f>'Данные варианта (Приложение 1)'!F$3</f>
        <v>8.3333333333333332E-3</v>
      </c>
      <c r="C33" s="13">
        <f>'Данные варианта (Приложение 1)'!$A$3</f>
        <v>170000</v>
      </c>
      <c r="D33" s="12">
        <f t="shared" ref="D33:D36" si="1">B33*C33</f>
        <v>1416.6666666666667</v>
      </c>
      <c r="E33" s="13">
        <f t="shared" ref="E33:E36" si="2">_xlfn.CEILING.MATH((C33/$H$31)*(B33))</f>
        <v>1</v>
      </c>
      <c r="F33" s="40"/>
      <c r="G33" s="40"/>
      <c r="H33" s="40"/>
      <c r="I33" s="40"/>
    </row>
    <row r="34" spans="1:9" x14ac:dyDescent="0.35">
      <c r="A34" s="11" t="str">
        <f t="shared" si="0"/>
        <v>Расточка</v>
      </c>
      <c r="B34" s="35">
        <f>'Данные варианта (Приложение 1)'!G$3</f>
        <v>2.1666666666666667E-2</v>
      </c>
      <c r="C34" s="13">
        <f>'Данные варианта (Приложение 1)'!$A$3</f>
        <v>170000</v>
      </c>
      <c r="D34" s="12">
        <f t="shared" si="1"/>
        <v>3683.3333333333335</v>
      </c>
      <c r="E34" s="13">
        <f t="shared" si="2"/>
        <v>1</v>
      </c>
      <c r="F34" s="40"/>
      <c r="G34" s="40"/>
      <c r="H34" s="40"/>
      <c r="I34" s="40"/>
    </row>
    <row r="35" spans="1:9" x14ac:dyDescent="0.35">
      <c r="A35" s="11" t="str">
        <f t="shared" si="0"/>
        <v>Шлифование</v>
      </c>
      <c r="B35" s="35">
        <f>'Данные варианта (Приложение 1)'!H$3</f>
        <v>2.5000000000000001E-2</v>
      </c>
      <c r="C35" s="13">
        <f>'Данные варианта (Приложение 1)'!$A$3</f>
        <v>170000</v>
      </c>
      <c r="D35" s="12">
        <f t="shared" si="1"/>
        <v>4250</v>
      </c>
      <c r="E35" s="13">
        <f t="shared" si="2"/>
        <v>2</v>
      </c>
      <c r="F35" s="40"/>
      <c r="G35" s="40"/>
      <c r="H35" s="40"/>
      <c r="I35" s="40"/>
    </row>
    <row r="36" spans="1:9" x14ac:dyDescent="0.35">
      <c r="A36" s="11" t="str">
        <f t="shared" si="0"/>
        <v>Токарная</v>
      </c>
      <c r="B36" s="35">
        <f>'Данные варианта (Приложение 1)'!I$3</f>
        <v>3.3333333333333333E-2</v>
      </c>
      <c r="C36" s="13">
        <f>'Данные варианта (Приложение 1)'!$A$3</f>
        <v>170000</v>
      </c>
      <c r="D36" s="12">
        <f t="shared" si="1"/>
        <v>5666.666666666667</v>
      </c>
      <c r="E36" s="13">
        <f t="shared" si="2"/>
        <v>2</v>
      </c>
      <c r="F36" s="40"/>
      <c r="G36" s="40"/>
      <c r="H36" s="40"/>
      <c r="I36" s="40"/>
    </row>
    <row r="37" spans="1:9" x14ac:dyDescent="0.35">
      <c r="A37" s="67" t="s">
        <v>63</v>
      </c>
      <c r="B37" s="68"/>
      <c r="C37" s="68"/>
      <c r="D37" s="69"/>
      <c r="E37" s="29">
        <f>SUM(E32:E36)</f>
        <v>8</v>
      </c>
      <c r="F37" s="40"/>
      <c r="G37" s="40"/>
      <c r="H37" s="40"/>
      <c r="I37" s="40"/>
    </row>
    <row r="38" spans="1:9" x14ac:dyDescent="0.35">
      <c r="A38" s="40"/>
      <c r="B38" s="40"/>
      <c r="C38" s="40"/>
      <c r="D38" s="40"/>
      <c r="E38" s="40"/>
      <c r="F38" s="40"/>
      <c r="G38" s="40"/>
      <c r="H38" s="40"/>
      <c r="I38" s="40"/>
    </row>
    <row r="39" spans="1:9" x14ac:dyDescent="0.35">
      <c r="A39" s="72" t="s">
        <v>68</v>
      </c>
      <c r="B39" s="72"/>
      <c r="C39" s="72"/>
      <c r="D39" s="72"/>
      <c r="E39" s="40"/>
      <c r="F39" s="40"/>
      <c r="G39" s="40"/>
      <c r="H39" s="40"/>
      <c r="I39" s="40"/>
    </row>
    <row r="40" spans="1:9" ht="58" x14ac:dyDescent="0.35">
      <c r="A40" s="10" t="s">
        <v>39</v>
      </c>
      <c r="B40" s="10" t="s">
        <v>113</v>
      </c>
      <c r="C40" s="10" t="s">
        <v>66</v>
      </c>
      <c r="D40" s="10" t="s">
        <v>114</v>
      </c>
      <c r="E40" s="40"/>
      <c r="F40" s="40"/>
      <c r="G40" s="40"/>
      <c r="H40" s="40"/>
      <c r="I40" s="40"/>
    </row>
    <row r="41" spans="1:9" x14ac:dyDescent="0.35">
      <c r="A41" s="11" t="str">
        <f t="shared" ref="A41:B45" si="3">E7</f>
        <v>Фрезрный станок</v>
      </c>
      <c r="B41" s="13">
        <f t="shared" si="3"/>
        <v>2398000</v>
      </c>
      <c r="C41" s="13">
        <f>E32</f>
        <v>2</v>
      </c>
      <c r="D41" s="12">
        <f>B41*C41</f>
        <v>4796000</v>
      </c>
      <c r="E41" s="40"/>
      <c r="F41" s="40"/>
      <c r="G41" s="40"/>
      <c r="H41" s="40"/>
      <c r="I41" s="40"/>
    </row>
    <row r="42" spans="1:9" x14ac:dyDescent="0.35">
      <c r="A42" s="11" t="str">
        <f t="shared" si="3"/>
        <v>Сверлильный</v>
      </c>
      <c r="B42" s="13">
        <f t="shared" si="3"/>
        <v>1865000</v>
      </c>
      <c r="C42" s="13">
        <f t="shared" ref="C42:C45" si="4">E33</f>
        <v>1</v>
      </c>
      <c r="D42" s="12">
        <f t="shared" ref="D42:D45" si="5">B42*C42</f>
        <v>1865000</v>
      </c>
      <c r="E42" s="40"/>
      <c r="F42" s="40"/>
      <c r="G42" s="40"/>
      <c r="H42" s="40"/>
      <c r="I42" s="40"/>
    </row>
    <row r="43" spans="1:9" x14ac:dyDescent="0.35">
      <c r="A43" s="11" t="str">
        <f t="shared" si="3"/>
        <v>Расточный станок</v>
      </c>
      <c r="B43" s="13">
        <f t="shared" si="3"/>
        <v>1669000</v>
      </c>
      <c r="C43" s="13">
        <f t="shared" si="4"/>
        <v>1</v>
      </c>
      <c r="D43" s="12">
        <f t="shared" si="5"/>
        <v>1669000</v>
      </c>
      <c r="E43" s="40"/>
      <c r="F43" s="40"/>
      <c r="G43" s="40"/>
      <c r="H43" s="40"/>
      <c r="I43" s="40"/>
    </row>
    <row r="44" spans="1:9" x14ac:dyDescent="0.35">
      <c r="A44" s="11" t="str">
        <f t="shared" si="3"/>
        <v>Шлифовальный</v>
      </c>
      <c r="B44" s="13">
        <f t="shared" si="3"/>
        <v>1510000</v>
      </c>
      <c r="C44" s="13">
        <f t="shared" si="4"/>
        <v>2</v>
      </c>
      <c r="D44" s="12">
        <f t="shared" si="5"/>
        <v>3020000</v>
      </c>
      <c r="E44" s="40"/>
      <c r="F44" s="40"/>
      <c r="G44" s="40"/>
      <c r="H44" s="40"/>
      <c r="I44" s="40"/>
    </row>
    <row r="45" spans="1:9" x14ac:dyDescent="0.35">
      <c r="A45" s="11" t="str">
        <f t="shared" si="3"/>
        <v>Токарный станок</v>
      </c>
      <c r="B45" s="13">
        <f t="shared" si="3"/>
        <v>1815000</v>
      </c>
      <c r="C45" s="13">
        <f t="shared" si="4"/>
        <v>2</v>
      </c>
      <c r="D45" s="12">
        <f t="shared" si="5"/>
        <v>3630000</v>
      </c>
      <c r="E45" s="40"/>
      <c r="F45" s="40"/>
      <c r="G45" s="40"/>
      <c r="H45" s="40"/>
      <c r="I45" s="40"/>
    </row>
    <row r="46" spans="1:9" x14ac:dyDescent="0.35">
      <c r="A46" s="71" t="s">
        <v>65</v>
      </c>
      <c r="B46" s="71"/>
      <c r="C46" s="71"/>
      <c r="D46" s="30">
        <f>SUM(D41:D45)</f>
        <v>14980000</v>
      </c>
      <c r="E46" s="40"/>
      <c r="F46" s="40"/>
      <c r="G46" s="40"/>
      <c r="H46" s="40"/>
      <c r="I46" s="40"/>
    </row>
    <row r="47" spans="1:9" x14ac:dyDescent="0.35">
      <c r="A47" s="40"/>
      <c r="B47" s="40"/>
      <c r="C47" s="40"/>
      <c r="D47" s="40"/>
      <c r="E47" s="40"/>
      <c r="F47" s="40"/>
      <c r="G47" s="40"/>
      <c r="H47" s="40"/>
      <c r="I47" s="40"/>
    </row>
    <row r="48" spans="1:9" x14ac:dyDescent="0.35">
      <c r="A48" s="73" t="s">
        <v>69</v>
      </c>
      <c r="B48" s="73"/>
      <c r="C48" s="73"/>
      <c r="D48" s="73"/>
      <c r="E48" s="73"/>
      <c r="F48" s="40"/>
      <c r="G48" s="40"/>
      <c r="H48" s="40"/>
      <c r="I48" s="40"/>
    </row>
    <row r="49" spans="1:9" ht="54" customHeight="1" x14ac:dyDescent="0.35">
      <c r="A49" s="76" t="s">
        <v>39</v>
      </c>
      <c r="B49" s="76" t="s">
        <v>74</v>
      </c>
      <c r="C49" s="74" t="s">
        <v>70</v>
      </c>
      <c r="D49" s="75"/>
      <c r="E49" s="76" t="s">
        <v>73</v>
      </c>
      <c r="F49" s="40"/>
      <c r="G49" s="10" t="s">
        <v>75</v>
      </c>
      <c r="H49" s="31">
        <f>C20*E56</f>
        <v>1461700</v>
      </c>
      <c r="I49" s="40"/>
    </row>
    <row r="50" spans="1:9" x14ac:dyDescent="0.35">
      <c r="A50" s="77"/>
      <c r="B50" s="77"/>
      <c r="C50" s="10" t="s">
        <v>71</v>
      </c>
      <c r="D50" s="10" t="s">
        <v>72</v>
      </c>
      <c r="E50" s="77"/>
      <c r="F50" s="40"/>
      <c r="G50" s="40"/>
      <c r="H50" s="40"/>
      <c r="I50" s="40"/>
    </row>
    <row r="51" spans="1:9" x14ac:dyDescent="0.35">
      <c r="A51" s="11" t="str">
        <f>E7</f>
        <v>Фрезрный станок</v>
      </c>
      <c r="B51" s="13">
        <f>E32</f>
        <v>2</v>
      </c>
      <c r="C51" s="13">
        <f>G7</f>
        <v>3.7</v>
      </c>
      <c r="D51" s="13">
        <f>H7</f>
        <v>8</v>
      </c>
      <c r="E51" s="12">
        <f>(C51+D51)*B51</f>
        <v>23.4</v>
      </c>
      <c r="F51" s="40"/>
      <c r="G51" s="40"/>
      <c r="H51" s="40"/>
      <c r="I51" s="40"/>
    </row>
    <row r="52" spans="1:9" x14ac:dyDescent="0.35">
      <c r="A52" s="11" t="str">
        <f t="shared" ref="A52:A55" si="6">E8</f>
        <v>Сверлильный</v>
      </c>
      <c r="B52" s="13">
        <f t="shared" ref="B52:B55" si="7">E33</f>
        <v>1</v>
      </c>
      <c r="C52" s="13">
        <f t="shared" ref="C52:C55" si="8">G8</f>
        <v>1</v>
      </c>
      <c r="D52" s="13">
        <f t="shared" ref="D52:D55" si="9">H8</f>
        <v>4</v>
      </c>
      <c r="E52" s="12">
        <f t="shared" ref="E52:E55" si="10">(C52+D52)*B52</f>
        <v>5</v>
      </c>
      <c r="F52" s="40"/>
      <c r="G52" s="40"/>
      <c r="H52" s="40"/>
      <c r="I52" s="40"/>
    </row>
    <row r="53" spans="1:9" x14ac:dyDescent="0.35">
      <c r="A53" s="11" t="str">
        <f t="shared" si="6"/>
        <v>Расточный станок</v>
      </c>
      <c r="B53" s="13">
        <f t="shared" si="7"/>
        <v>1</v>
      </c>
      <c r="C53" s="13">
        <f t="shared" si="8"/>
        <v>16.3</v>
      </c>
      <c r="D53" s="13">
        <f t="shared" si="9"/>
        <v>34</v>
      </c>
      <c r="E53" s="12">
        <f t="shared" si="10"/>
        <v>50.3</v>
      </c>
      <c r="F53" s="40"/>
      <c r="G53" s="40"/>
      <c r="H53" s="40"/>
      <c r="I53" s="40"/>
    </row>
    <row r="54" spans="1:9" x14ac:dyDescent="0.35">
      <c r="A54" s="11" t="str">
        <f t="shared" si="6"/>
        <v>Шлифовальный</v>
      </c>
      <c r="B54" s="13">
        <f t="shared" si="7"/>
        <v>2</v>
      </c>
      <c r="C54" s="13">
        <f t="shared" si="8"/>
        <v>4.8</v>
      </c>
      <c r="D54" s="13">
        <f t="shared" si="9"/>
        <v>10</v>
      </c>
      <c r="E54" s="12">
        <f t="shared" si="10"/>
        <v>29.6</v>
      </c>
      <c r="F54" s="40"/>
      <c r="G54" s="40"/>
      <c r="H54" s="40"/>
      <c r="I54" s="40"/>
    </row>
    <row r="55" spans="1:9" x14ac:dyDescent="0.35">
      <c r="A55" s="11" t="str">
        <f t="shared" si="6"/>
        <v>Токарный станок</v>
      </c>
      <c r="B55" s="13">
        <f t="shared" si="7"/>
        <v>2</v>
      </c>
      <c r="C55" s="13">
        <f t="shared" si="8"/>
        <v>7.6</v>
      </c>
      <c r="D55" s="13">
        <f t="shared" si="9"/>
        <v>16</v>
      </c>
      <c r="E55" s="12">
        <f t="shared" si="10"/>
        <v>47.2</v>
      </c>
      <c r="F55" s="40"/>
      <c r="G55" s="40"/>
      <c r="H55" s="40"/>
      <c r="I55" s="40"/>
    </row>
    <row r="56" spans="1:9" x14ac:dyDescent="0.35">
      <c r="A56" s="10" t="s">
        <v>63</v>
      </c>
      <c r="B56" s="13">
        <f t="shared" ref="B56:D56" si="11">SUM(B51:B55)</f>
        <v>8</v>
      </c>
      <c r="C56" s="12">
        <f t="shared" si="11"/>
        <v>33.4</v>
      </c>
      <c r="D56" s="12">
        <f t="shared" si="11"/>
        <v>72</v>
      </c>
      <c r="E56" s="30">
        <f>SUM(E51:E55)</f>
        <v>155.5</v>
      </c>
      <c r="F56" s="40"/>
      <c r="G56" s="40"/>
      <c r="H56" s="40"/>
      <c r="I56" s="40"/>
    </row>
    <row r="57" spans="1:9" x14ac:dyDescent="0.35">
      <c r="A57" s="40"/>
      <c r="B57" s="40"/>
      <c r="C57" s="40"/>
      <c r="D57" s="40"/>
      <c r="E57" s="40"/>
      <c r="F57" s="40"/>
      <c r="G57" s="40"/>
      <c r="H57" s="40"/>
      <c r="I57" s="40"/>
    </row>
    <row r="58" spans="1:9" x14ac:dyDescent="0.35">
      <c r="A58" s="74" t="s">
        <v>76</v>
      </c>
      <c r="B58" s="79"/>
      <c r="C58" s="75"/>
      <c r="D58" s="40"/>
      <c r="E58" s="74" t="s">
        <v>83</v>
      </c>
      <c r="F58" s="79"/>
      <c r="G58" s="79"/>
      <c r="H58" s="79"/>
      <c r="I58" s="75"/>
    </row>
    <row r="59" spans="1:9" ht="29" x14ac:dyDescent="0.35">
      <c r="A59" s="10" t="s">
        <v>77</v>
      </c>
      <c r="B59" s="10" t="s">
        <v>34</v>
      </c>
      <c r="C59" s="10" t="s">
        <v>115</v>
      </c>
      <c r="D59" s="40"/>
      <c r="E59" s="10" t="s">
        <v>84</v>
      </c>
      <c r="F59" s="10" t="s">
        <v>86</v>
      </c>
      <c r="G59" s="10" t="s">
        <v>115</v>
      </c>
      <c r="H59" s="10" t="s">
        <v>85</v>
      </c>
      <c r="I59" s="10" t="s">
        <v>116</v>
      </c>
    </row>
    <row r="60" spans="1:9" x14ac:dyDescent="0.35">
      <c r="A60" s="46" t="s">
        <v>78</v>
      </c>
      <c r="B60" s="13"/>
      <c r="C60" s="12">
        <f>H49</f>
        <v>1461700</v>
      </c>
      <c r="D60" s="40"/>
      <c r="E60" s="11" t="str">
        <f>E7</f>
        <v>Фрезрный станок</v>
      </c>
      <c r="F60" s="13">
        <f>C41</f>
        <v>2</v>
      </c>
      <c r="G60" s="12">
        <f>D41</f>
        <v>4796000</v>
      </c>
      <c r="H60" s="35">
        <f>$C$23/100</f>
        <v>0.2</v>
      </c>
      <c r="I60" s="12">
        <f>G60*H60</f>
        <v>959200</v>
      </c>
    </row>
    <row r="61" spans="1:9" x14ac:dyDescent="0.35">
      <c r="A61" s="46" t="s">
        <v>79</v>
      </c>
      <c r="B61" s="13"/>
      <c r="C61" s="12">
        <f>D46</f>
        <v>14980000</v>
      </c>
      <c r="D61" s="40"/>
      <c r="E61" s="11" t="str">
        <f t="shared" ref="E61:E64" si="12">E8</f>
        <v>Сверлильный</v>
      </c>
      <c r="F61" s="13">
        <f t="shared" ref="F61:F64" si="13">C42</f>
        <v>1</v>
      </c>
      <c r="G61" s="12">
        <f t="shared" ref="G61:G64" si="14">D42</f>
        <v>1865000</v>
      </c>
      <c r="H61" s="35">
        <f t="shared" ref="H61:H64" si="15">$C$23/100</f>
        <v>0.2</v>
      </c>
      <c r="I61" s="12">
        <f t="shared" ref="I61:I65" si="16">G61*H61</f>
        <v>373000</v>
      </c>
    </row>
    <row r="62" spans="1:9" x14ac:dyDescent="0.35">
      <c r="A62" s="46" t="s">
        <v>80</v>
      </c>
      <c r="B62" s="13">
        <v>10</v>
      </c>
      <c r="C62" s="12">
        <f>B62*(C$61+C$60)/100</f>
        <v>1644170</v>
      </c>
      <c r="D62" s="40"/>
      <c r="E62" s="11" t="str">
        <f t="shared" si="12"/>
        <v>Расточный станок</v>
      </c>
      <c r="F62" s="13">
        <f t="shared" si="13"/>
        <v>1</v>
      </c>
      <c r="G62" s="12">
        <f t="shared" si="14"/>
        <v>1669000</v>
      </c>
      <c r="H62" s="35">
        <f t="shared" si="15"/>
        <v>0.2</v>
      </c>
      <c r="I62" s="12">
        <f t="shared" si="16"/>
        <v>333800</v>
      </c>
    </row>
    <row r="63" spans="1:9" x14ac:dyDescent="0.35">
      <c r="A63" s="46" t="s">
        <v>81</v>
      </c>
      <c r="B63" s="13">
        <v>4</v>
      </c>
      <c r="C63" s="12">
        <f t="shared" ref="C63:C64" si="17">B63*(C$61+C$60)/100</f>
        <v>657668</v>
      </c>
      <c r="D63" s="40"/>
      <c r="E63" s="11" t="str">
        <f t="shared" si="12"/>
        <v>Шлифовальный</v>
      </c>
      <c r="F63" s="13">
        <f t="shared" si="13"/>
        <v>2</v>
      </c>
      <c r="G63" s="12">
        <f t="shared" si="14"/>
        <v>3020000</v>
      </c>
      <c r="H63" s="35">
        <f t="shared" si="15"/>
        <v>0.2</v>
      </c>
      <c r="I63" s="12">
        <f t="shared" si="16"/>
        <v>604000</v>
      </c>
    </row>
    <row r="64" spans="1:9" x14ac:dyDescent="0.35">
      <c r="A64" s="46" t="s">
        <v>82</v>
      </c>
      <c r="B64" s="13">
        <v>4</v>
      </c>
      <c r="C64" s="12">
        <f t="shared" si="17"/>
        <v>657668</v>
      </c>
      <c r="D64" s="40"/>
      <c r="E64" s="11" t="str">
        <f t="shared" si="12"/>
        <v>Токарный станок</v>
      </c>
      <c r="F64" s="13">
        <f t="shared" si="13"/>
        <v>2</v>
      </c>
      <c r="G64" s="12">
        <f t="shared" si="14"/>
        <v>3630000</v>
      </c>
      <c r="H64" s="35">
        <f t="shared" si="15"/>
        <v>0.2</v>
      </c>
      <c r="I64" s="12">
        <f t="shared" si="16"/>
        <v>726000</v>
      </c>
    </row>
    <row r="65" spans="1:9" x14ac:dyDescent="0.35">
      <c r="A65" s="80" t="s">
        <v>63</v>
      </c>
      <c r="B65" s="81"/>
      <c r="C65" s="30">
        <f>SUM(C60:C64)</f>
        <v>19401206</v>
      </c>
      <c r="D65" s="40"/>
      <c r="E65" s="46" t="s">
        <v>78</v>
      </c>
      <c r="F65" s="12">
        <f>E56</f>
        <v>155.5</v>
      </c>
      <c r="G65" s="12">
        <f>H49</f>
        <v>1461700</v>
      </c>
      <c r="H65" s="35">
        <f>C24/100</f>
        <v>2.5000000000000001E-2</v>
      </c>
      <c r="I65" s="12">
        <f t="shared" si="16"/>
        <v>36542.5</v>
      </c>
    </row>
    <row r="66" spans="1:9" x14ac:dyDescent="0.35">
      <c r="A66" s="40"/>
      <c r="B66" s="40"/>
      <c r="C66" s="40"/>
      <c r="D66" s="40"/>
      <c r="E66" s="10" t="s">
        <v>63</v>
      </c>
      <c r="F66" s="46"/>
      <c r="G66" s="12">
        <f>SUM(G60:G65)</f>
        <v>16441700</v>
      </c>
      <c r="H66" s="46"/>
      <c r="I66" s="30">
        <f>SUM(I60:I65)</f>
        <v>3032542.5</v>
      </c>
    </row>
    <row r="67" spans="1:9" x14ac:dyDescent="0.35">
      <c r="A67" s="40"/>
      <c r="B67" s="40"/>
      <c r="C67" s="40"/>
      <c r="D67" s="40"/>
      <c r="E67" s="40"/>
      <c r="F67" s="40"/>
      <c r="G67" s="40"/>
      <c r="H67" s="40"/>
      <c r="I67" s="40"/>
    </row>
    <row r="68" spans="1:9" ht="18.5" x14ac:dyDescent="0.45">
      <c r="A68" s="82" t="s">
        <v>87</v>
      </c>
      <c r="B68" s="82"/>
      <c r="C68" s="82"/>
      <c r="D68" s="82"/>
      <c r="E68" s="82"/>
      <c r="F68" s="82"/>
      <c r="G68" s="82"/>
      <c r="H68" s="82"/>
      <c r="I68" s="82"/>
    </row>
    <row r="69" spans="1:9" ht="29" x14ac:dyDescent="0.35">
      <c r="A69" s="47" t="s">
        <v>39</v>
      </c>
      <c r="B69" s="47" t="s">
        <v>88</v>
      </c>
      <c r="C69" s="47" t="s">
        <v>117</v>
      </c>
      <c r="D69" s="47" t="s">
        <v>89</v>
      </c>
      <c r="E69" s="48"/>
      <c r="F69" s="48"/>
      <c r="G69" s="48"/>
      <c r="H69" s="48"/>
      <c r="I69" s="48"/>
    </row>
    <row r="70" spans="1:9" x14ac:dyDescent="0.35">
      <c r="A70" s="49" t="str">
        <f>E7</f>
        <v>Фрезрный станок</v>
      </c>
      <c r="B70" s="50">
        <f>C41</f>
        <v>2</v>
      </c>
      <c r="C70" s="51">
        <f>(B70*$H$31*$C$11/100)/(B32)</f>
        <v>309824</v>
      </c>
      <c r="D70" s="52">
        <f>($A$3*B32)/($H$31*B70*$C$11/100)</f>
        <v>0.54869861598843217</v>
      </c>
      <c r="E70" s="48"/>
      <c r="F70" s="48"/>
      <c r="G70" s="48"/>
      <c r="H70" s="48"/>
      <c r="I70" s="48"/>
    </row>
    <row r="71" spans="1:9" x14ac:dyDescent="0.35">
      <c r="A71" s="49" t="str">
        <f t="shared" ref="A71:A74" si="18">E8</f>
        <v>Сверлильный</v>
      </c>
      <c r="B71" s="50">
        <f t="shared" ref="B71:B74" si="19">C42</f>
        <v>1</v>
      </c>
      <c r="C71" s="51">
        <f t="shared" ref="C71:C74" si="20">(B71*$H$31*$C$11/100)/(B33)</f>
        <v>464736</v>
      </c>
      <c r="D71" s="52">
        <f t="shared" ref="D71:D74" si="21">($A$3*B33)/($H$31*B71*$C$11/100)</f>
        <v>0.36579907732562145</v>
      </c>
      <c r="E71" s="48"/>
      <c r="F71" s="48"/>
      <c r="G71" s="48"/>
      <c r="H71" s="48"/>
      <c r="I71" s="48"/>
    </row>
    <row r="72" spans="1:9" x14ac:dyDescent="0.35">
      <c r="A72" s="49" t="str">
        <f t="shared" si="18"/>
        <v>Расточный станок</v>
      </c>
      <c r="B72" s="50">
        <f t="shared" si="19"/>
        <v>1</v>
      </c>
      <c r="C72" s="51">
        <f t="shared" si="20"/>
        <v>178744.61538461538</v>
      </c>
      <c r="D72" s="52">
        <f t="shared" si="21"/>
        <v>0.95107760104661576</v>
      </c>
      <c r="E72" s="48"/>
      <c r="F72" s="48"/>
      <c r="G72" s="48"/>
      <c r="H72" s="48"/>
      <c r="I72" s="48"/>
    </row>
    <row r="73" spans="1:9" x14ac:dyDescent="0.35">
      <c r="A73" s="49" t="str">
        <f t="shared" si="18"/>
        <v>Шлифовальный</v>
      </c>
      <c r="B73" s="50">
        <f t="shared" si="19"/>
        <v>2</v>
      </c>
      <c r="C73" s="51">
        <f t="shared" si="20"/>
        <v>309824</v>
      </c>
      <c r="D73" s="52">
        <f t="shared" si="21"/>
        <v>0.54869861598843217</v>
      </c>
      <c r="E73" s="48"/>
      <c r="F73" s="48"/>
      <c r="G73" s="48"/>
      <c r="H73" s="48"/>
      <c r="I73" s="48"/>
    </row>
    <row r="74" spans="1:9" x14ac:dyDescent="0.35">
      <c r="A74" s="49" t="str">
        <f t="shared" si="18"/>
        <v>Токарный станок</v>
      </c>
      <c r="B74" s="50">
        <f t="shared" si="19"/>
        <v>2</v>
      </c>
      <c r="C74" s="51">
        <f t="shared" si="20"/>
        <v>232368</v>
      </c>
      <c r="D74" s="52">
        <f t="shared" si="21"/>
        <v>0.73159815465124289</v>
      </c>
      <c r="E74" s="48"/>
      <c r="F74" s="48"/>
      <c r="G74" s="48"/>
      <c r="H74" s="48"/>
      <c r="I74" s="48"/>
    </row>
    <row r="75" spans="1:9" x14ac:dyDescent="0.35">
      <c r="A75" s="53"/>
      <c r="B75" s="54"/>
      <c r="C75" s="54"/>
      <c r="D75" s="54"/>
      <c r="E75" s="48"/>
      <c r="F75" s="48"/>
      <c r="G75" s="48"/>
      <c r="H75" s="48"/>
      <c r="I75" s="48"/>
    </row>
    <row r="76" spans="1:9" ht="18.5" x14ac:dyDescent="0.35">
      <c r="A76" s="86" t="s">
        <v>90</v>
      </c>
      <c r="B76" s="86"/>
      <c r="C76" s="86"/>
      <c r="D76" s="86"/>
      <c r="E76" s="86"/>
      <c r="F76" s="86"/>
      <c r="G76" s="86"/>
      <c r="H76" s="86"/>
      <c r="I76" s="86"/>
    </row>
    <row r="77" spans="1:9" ht="29" x14ac:dyDescent="0.35">
      <c r="A77" s="14" t="s">
        <v>91</v>
      </c>
      <c r="B77" s="15">
        <f>(A3*C17*B3)/360</f>
        <v>41.437500000000007</v>
      </c>
      <c r="C77" s="42"/>
      <c r="D77" s="42"/>
      <c r="E77" s="42"/>
      <c r="F77" s="42"/>
      <c r="G77" s="42"/>
      <c r="H77" s="42"/>
      <c r="I77" s="42"/>
    </row>
    <row r="78" spans="1:9" x14ac:dyDescent="0.35">
      <c r="A78" s="14" t="s">
        <v>121</v>
      </c>
      <c r="B78" s="15">
        <f>B77*C12*C16</f>
        <v>580125.00000000012</v>
      </c>
      <c r="C78" s="42"/>
      <c r="D78" s="42"/>
      <c r="E78" s="42"/>
      <c r="F78" s="42"/>
      <c r="G78" s="42"/>
      <c r="H78" s="42"/>
      <c r="I78" s="42"/>
    </row>
    <row r="79" spans="1:9" x14ac:dyDescent="0.35">
      <c r="A79" s="14" t="s">
        <v>122</v>
      </c>
      <c r="B79" s="15">
        <f>B78/2</f>
        <v>290062.50000000006</v>
      </c>
      <c r="C79" s="42"/>
      <c r="D79" s="42"/>
      <c r="E79" s="42"/>
      <c r="F79" s="42"/>
      <c r="G79" s="42"/>
      <c r="H79" s="42"/>
      <c r="I79" s="42"/>
    </row>
    <row r="80" spans="1:9" x14ac:dyDescent="0.35">
      <c r="A80" s="14" t="s">
        <v>123</v>
      </c>
      <c r="B80" s="15">
        <f>B77*C16*C13</f>
        <v>29006.250000000004</v>
      </c>
      <c r="C80" s="42"/>
      <c r="D80" s="42"/>
      <c r="E80" s="42"/>
      <c r="F80" s="42"/>
      <c r="G80" s="42"/>
      <c r="H80" s="42"/>
      <c r="I80" s="42"/>
    </row>
    <row r="81" spans="1:9" x14ac:dyDescent="0.35">
      <c r="A81" s="14" t="s">
        <v>124</v>
      </c>
      <c r="B81" s="15">
        <v>0</v>
      </c>
      <c r="C81" s="42"/>
      <c r="D81" s="42"/>
      <c r="E81" s="42"/>
      <c r="F81" s="42"/>
      <c r="G81" s="42"/>
      <c r="H81" s="42"/>
      <c r="I81" s="42"/>
    </row>
    <row r="82" spans="1:9" ht="29" x14ac:dyDescent="0.35">
      <c r="A82" s="55" t="s">
        <v>125</v>
      </c>
      <c r="B82" s="56">
        <f>SUM(B79:B81)</f>
        <v>319068.75000000006</v>
      </c>
      <c r="C82" s="42"/>
      <c r="D82" s="42"/>
      <c r="E82" s="42"/>
      <c r="F82" s="42"/>
      <c r="G82" s="42"/>
      <c r="H82" s="42"/>
      <c r="I82" s="42"/>
    </row>
    <row r="83" spans="1:9" x14ac:dyDescent="0.35">
      <c r="A83" s="16"/>
      <c r="B83" s="16"/>
      <c r="C83" s="42"/>
      <c r="D83" s="42"/>
      <c r="E83" s="42"/>
      <c r="F83" s="42"/>
      <c r="G83" s="42"/>
      <c r="H83" s="42"/>
      <c r="I83" s="42"/>
    </row>
    <row r="84" spans="1:9" x14ac:dyDescent="0.35">
      <c r="A84" s="14" t="s">
        <v>118</v>
      </c>
      <c r="B84" s="15">
        <f>C17*C16*B3</f>
        <v>30.712500000000002</v>
      </c>
      <c r="C84" s="42"/>
      <c r="D84" s="42"/>
      <c r="E84" s="42"/>
      <c r="F84" s="42"/>
      <c r="G84" s="42"/>
      <c r="H84" s="42"/>
      <c r="I84" s="42"/>
    </row>
    <row r="85" spans="1:9" ht="29" x14ac:dyDescent="0.35">
      <c r="A85" s="14" t="s">
        <v>119</v>
      </c>
      <c r="B85" s="15">
        <f>(B84*A3)/(360*C19/100)</f>
        <v>32229.166666666668</v>
      </c>
      <c r="C85" s="42"/>
      <c r="D85" s="42"/>
      <c r="E85" s="42"/>
      <c r="F85" s="42"/>
      <c r="G85" s="42"/>
      <c r="H85" s="42"/>
      <c r="I85" s="42"/>
    </row>
    <row r="86" spans="1:9" ht="29" x14ac:dyDescent="0.35">
      <c r="A86" s="14" t="s">
        <v>92</v>
      </c>
      <c r="B86" s="15">
        <f>C19/100+(1-C19/100)/2</f>
        <v>0.72500000000000009</v>
      </c>
      <c r="C86" s="42"/>
      <c r="D86" s="42"/>
      <c r="E86" s="42"/>
      <c r="F86" s="42"/>
      <c r="G86" s="42"/>
      <c r="H86" s="42"/>
      <c r="I86" s="42"/>
    </row>
    <row r="87" spans="1:9" ht="29" x14ac:dyDescent="0.35">
      <c r="A87" s="55" t="s">
        <v>120</v>
      </c>
      <c r="B87" s="56">
        <f>B86*B85*C14</f>
        <v>163563.02083333334</v>
      </c>
      <c r="C87" s="42"/>
      <c r="D87" s="42"/>
      <c r="E87" s="42"/>
      <c r="F87" s="42"/>
      <c r="G87" s="42"/>
      <c r="H87" s="42"/>
      <c r="I87" s="42"/>
    </row>
    <row r="88" spans="1:9" x14ac:dyDescent="0.35">
      <c r="A88" s="16"/>
      <c r="B88" s="16"/>
      <c r="C88" s="42"/>
      <c r="D88" s="42"/>
      <c r="E88" s="42"/>
      <c r="F88" s="42"/>
      <c r="G88" s="42"/>
      <c r="H88" s="42"/>
      <c r="I88" s="42"/>
    </row>
    <row r="89" spans="1:9" x14ac:dyDescent="0.35">
      <c r="A89" s="14" t="s">
        <v>126</v>
      </c>
      <c r="B89" s="15">
        <f>B84*100/C19</f>
        <v>68.25</v>
      </c>
      <c r="C89" s="42"/>
      <c r="D89" s="42"/>
      <c r="E89" s="42"/>
      <c r="F89" s="42"/>
      <c r="G89" s="42"/>
      <c r="H89" s="42"/>
      <c r="I89" s="42"/>
    </row>
    <row r="90" spans="1:9" ht="29" x14ac:dyDescent="0.35">
      <c r="A90" s="14" t="s">
        <v>93</v>
      </c>
      <c r="B90" s="17">
        <f>A3/C6</f>
        <v>680</v>
      </c>
      <c r="C90" s="42"/>
      <c r="D90" s="42"/>
      <c r="E90" s="42"/>
      <c r="F90" s="42"/>
      <c r="G90" s="42"/>
      <c r="H90" s="42"/>
      <c r="I90" s="42"/>
    </row>
    <row r="91" spans="1:9" x14ac:dyDescent="0.35">
      <c r="A91" s="55" t="s">
        <v>127</v>
      </c>
      <c r="B91" s="56">
        <f>B89*B90*C15</f>
        <v>139230</v>
      </c>
      <c r="C91" s="42"/>
      <c r="D91" s="42"/>
      <c r="E91" s="42"/>
      <c r="F91" s="42"/>
      <c r="G91" s="42"/>
      <c r="H91" s="42"/>
      <c r="I91" s="42"/>
    </row>
    <row r="92" spans="1:9" x14ac:dyDescent="0.35">
      <c r="A92" s="42"/>
      <c r="B92" s="42"/>
      <c r="C92" s="42"/>
      <c r="D92" s="42"/>
      <c r="E92" s="42"/>
      <c r="F92" s="42"/>
      <c r="G92" s="42"/>
      <c r="H92" s="42"/>
      <c r="I92" s="42"/>
    </row>
    <row r="93" spans="1:9" ht="18.5" x14ac:dyDescent="0.45">
      <c r="A93" s="87" t="s">
        <v>94</v>
      </c>
      <c r="B93" s="87"/>
      <c r="C93" s="87"/>
      <c r="D93" s="87"/>
      <c r="E93" s="87"/>
      <c r="F93" s="87"/>
      <c r="G93" s="87"/>
      <c r="H93" s="87"/>
      <c r="I93" s="87"/>
    </row>
    <row r="94" spans="1:9" ht="29" x14ac:dyDescent="0.35">
      <c r="A94" s="18" t="s">
        <v>95</v>
      </c>
      <c r="B94" s="19">
        <f>C6*C8*(1-C10/100)</f>
        <v>1700</v>
      </c>
      <c r="C94" s="43"/>
      <c r="D94" s="43"/>
      <c r="E94" s="43"/>
      <c r="F94" s="43"/>
      <c r="G94" s="43"/>
      <c r="H94" s="43"/>
      <c r="I94" s="43"/>
    </row>
    <row r="95" spans="1:9" x14ac:dyDescent="0.35">
      <c r="A95" s="20"/>
      <c r="B95" s="21"/>
      <c r="C95" s="43"/>
      <c r="D95" s="43"/>
      <c r="E95" s="43"/>
      <c r="F95" s="43"/>
      <c r="G95" s="43"/>
      <c r="H95" s="43"/>
      <c r="I95" s="43"/>
    </row>
    <row r="96" spans="1:9" x14ac:dyDescent="0.35">
      <c r="A96" s="88" t="s">
        <v>94</v>
      </c>
      <c r="B96" s="89"/>
      <c r="C96" s="89"/>
      <c r="D96" s="89"/>
      <c r="E96" s="90"/>
      <c r="F96" s="43"/>
      <c r="G96" s="43"/>
      <c r="H96" s="43"/>
      <c r="I96" s="43"/>
    </row>
    <row r="97" spans="1:9" ht="43.5" x14ac:dyDescent="0.35">
      <c r="A97" s="19" t="s">
        <v>61</v>
      </c>
      <c r="B97" s="19" t="s">
        <v>97</v>
      </c>
      <c r="C97" s="19" t="s">
        <v>109</v>
      </c>
      <c r="D97" s="19" t="s">
        <v>110</v>
      </c>
      <c r="E97" s="19" t="s">
        <v>96</v>
      </c>
      <c r="F97" s="43"/>
      <c r="G97" s="43"/>
      <c r="H97" s="43"/>
      <c r="I97" s="43"/>
    </row>
    <row r="98" spans="1:9" x14ac:dyDescent="0.35">
      <c r="A98" s="22" t="str">
        <f>E14</f>
        <v>Фрезерование</v>
      </c>
      <c r="B98" s="23">
        <f>F14</f>
        <v>4</v>
      </c>
      <c r="C98" s="36">
        <f>B32</f>
        <v>2.5000000000000001E-2</v>
      </c>
      <c r="D98" s="24">
        <f>D32</f>
        <v>4250</v>
      </c>
      <c r="E98" s="19">
        <f>_xlfn.CEILING.MATH((A$3*C98)/(B$94*C$11/100))</f>
        <v>3</v>
      </c>
      <c r="F98" s="43"/>
      <c r="G98" s="43"/>
      <c r="H98" s="43"/>
      <c r="I98" s="43"/>
    </row>
    <row r="99" spans="1:9" x14ac:dyDescent="0.35">
      <c r="A99" s="22" t="str">
        <f t="shared" ref="A99:A102" si="22">E15</f>
        <v>Сверление</v>
      </c>
      <c r="B99" s="23">
        <f t="shared" ref="B99:B102" si="23">F15</f>
        <v>3</v>
      </c>
      <c r="C99" s="36">
        <f t="shared" ref="C99:C102" si="24">B33</f>
        <v>8.3333333333333332E-3</v>
      </c>
      <c r="D99" s="24">
        <f t="shared" ref="D99:D102" si="25">D33</f>
        <v>1416.6666666666667</v>
      </c>
      <c r="E99" s="19">
        <f t="shared" ref="E99:E102" si="26">_xlfn.CEILING.MATH((A$3*C99)/(B$94*C$11/100))</f>
        <v>1</v>
      </c>
      <c r="F99" s="43"/>
      <c r="G99" s="43"/>
      <c r="H99" s="43"/>
      <c r="I99" s="43"/>
    </row>
    <row r="100" spans="1:9" x14ac:dyDescent="0.35">
      <c r="A100" s="22" t="str">
        <f t="shared" si="22"/>
        <v>Расточка</v>
      </c>
      <c r="B100" s="23">
        <f t="shared" si="23"/>
        <v>5</v>
      </c>
      <c r="C100" s="36">
        <f t="shared" si="24"/>
        <v>2.1666666666666667E-2</v>
      </c>
      <c r="D100" s="24">
        <f t="shared" si="25"/>
        <v>3683.3333333333335</v>
      </c>
      <c r="E100" s="19">
        <f t="shared" si="26"/>
        <v>3</v>
      </c>
      <c r="F100" s="43"/>
      <c r="G100" s="43"/>
      <c r="H100" s="43"/>
      <c r="I100" s="43"/>
    </row>
    <row r="101" spans="1:9" x14ac:dyDescent="0.35">
      <c r="A101" s="22" t="str">
        <f t="shared" si="22"/>
        <v>Шлифование</v>
      </c>
      <c r="B101" s="23">
        <f t="shared" si="23"/>
        <v>5</v>
      </c>
      <c r="C101" s="36">
        <f t="shared" si="24"/>
        <v>2.5000000000000001E-2</v>
      </c>
      <c r="D101" s="24">
        <f t="shared" si="25"/>
        <v>4250</v>
      </c>
      <c r="E101" s="19">
        <f t="shared" si="26"/>
        <v>3</v>
      </c>
      <c r="F101" s="43"/>
      <c r="G101" s="43"/>
      <c r="H101" s="43"/>
      <c r="I101" s="43"/>
    </row>
    <row r="102" spans="1:9" x14ac:dyDescent="0.35">
      <c r="A102" s="22" t="str">
        <f t="shared" si="22"/>
        <v>Токарная</v>
      </c>
      <c r="B102" s="23">
        <f t="shared" si="23"/>
        <v>3</v>
      </c>
      <c r="C102" s="36">
        <f t="shared" si="24"/>
        <v>3.3333333333333333E-2</v>
      </c>
      <c r="D102" s="24">
        <f t="shared" si="25"/>
        <v>5666.666666666667</v>
      </c>
      <c r="E102" s="19">
        <f t="shared" si="26"/>
        <v>4</v>
      </c>
      <c r="F102" s="43"/>
      <c r="G102" s="43"/>
      <c r="H102" s="43"/>
      <c r="I102" s="43"/>
    </row>
    <row r="103" spans="1:9" x14ac:dyDescent="0.35">
      <c r="A103" s="18" t="s">
        <v>63</v>
      </c>
      <c r="B103" s="19"/>
      <c r="C103" s="36">
        <f>SUM(C98:C102)</f>
        <v>0.11333333333333334</v>
      </c>
      <c r="D103" s="24">
        <f>SUM(D98:D102)</f>
        <v>19266.666666666668</v>
      </c>
      <c r="E103" s="18">
        <f>SUM(E98:E102)</f>
        <v>14</v>
      </c>
      <c r="F103" s="43"/>
      <c r="G103" s="43"/>
      <c r="H103" s="43"/>
      <c r="I103" s="43"/>
    </row>
    <row r="104" spans="1:9" x14ac:dyDescent="0.35">
      <c r="A104" s="43"/>
      <c r="B104" s="43"/>
      <c r="C104" s="43"/>
      <c r="D104" s="43"/>
      <c r="E104" s="43"/>
      <c r="F104" s="43"/>
      <c r="G104" s="43"/>
      <c r="H104" s="43"/>
      <c r="I104" s="43"/>
    </row>
    <row r="105" spans="1:9" ht="18.5" x14ac:dyDescent="0.45">
      <c r="A105" s="91" t="s">
        <v>98</v>
      </c>
      <c r="B105" s="91"/>
      <c r="C105" s="91"/>
      <c r="D105" s="91"/>
      <c r="E105" s="91"/>
      <c r="F105" s="91"/>
      <c r="G105" s="91"/>
      <c r="H105" s="91"/>
      <c r="I105" s="91"/>
    </row>
    <row r="106" spans="1:9" x14ac:dyDescent="0.35">
      <c r="A106" s="92" t="s">
        <v>99</v>
      </c>
      <c r="B106" s="93"/>
      <c r="C106" s="93"/>
      <c r="D106" s="93"/>
      <c r="E106" s="94"/>
      <c r="F106" s="44"/>
      <c r="G106" s="44"/>
      <c r="H106" s="44"/>
      <c r="I106" s="44"/>
    </row>
    <row r="107" spans="1:9" ht="58" x14ac:dyDescent="0.35">
      <c r="A107" s="25" t="s">
        <v>61</v>
      </c>
      <c r="B107" s="25" t="s">
        <v>109</v>
      </c>
      <c r="C107" s="25" t="s">
        <v>128</v>
      </c>
      <c r="D107" s="25" t="s">
        <v>129</v>
      </c>
      <c r="E107" s="25" t="s">
        <v>130</v>
      </c>
      <c r="F107" s="44"/>
      <c r="G107" s="44"/>
      <c r="H107" s="44"/>
      <c r="I107" s="44"/>
    </row>
    <row r="108" spans="1:9" x14ac:dyDescent="0.35">
      <c r="A108" s="26" t="str">
        <f>E14</f>
        <v>Фрезерование</v>
      </c>
      <c r="B108" s="37">
        <f>C98</f>
        <v>2.5000000000000001E-2</v>
      </c>
      <c r="C108" s="27">
        <f>D98</f>
        <v>4250</v>
      </c>
      <c r="D108" s="28">
        <f>G14</f>
        <v>28</v>
      </c>
      <c r="E108" s="27">
        <f>B108*D108*$A$3</f>
        <v>119000.00000000001</v>
      </c>
      <c r="F108" s="44"/>
      <c r="G108" s="44"/>
      <c r="H108" s="44"/>
      <c r="I108" s="44"/>
    </row>
    <row r="109" spans="1:9" x14ac:dyDescent="0.35">
      <c r="A109" s="26" t="str">
        <f t="shared" ref="A109:A112" si="27">E15</f>
        <v>Сверление</v>
      </c>
      <c r="B109" s="37">
        <f t="shared" ref="B109:C112" si="28">C99</f>
        <v>8.3333333333333332E-3</v>
      </c>
      <c r="C109" s="27">
        <f t="shared" si="28"/>
        <v>1416.6666666666667</v>
      </c>
      <c r="D109" s="28">
        <f t="shared" ref="D109:D112" si="29">G15</f>
        <v>22</v>
      </c>
      <c r="E109" s="27">
        <f t="shared" ref="E109:E112" si="30">B109*D109*$A$3</f>
        <v>31166.666666666664</v>
      </c>
      <c r="F109" s="44"/>
      <c r="G109" s="44"/>
      <c r="H109" s="44"/>
      <c r="I109" s="44"/>
    </row>
    <row r="110" spans="1:9" x14ac:dyDescent="0.35">
      <c r="A110" s="26" t="str">
        <f t="shared" si="27"/>
        <v>Расточка</v>
      </c>
      <c r="B110" s="37">
        <f t="shared" si="28"/>
        <v>2.1666666666666667E-2</v>
      </c>
      <c r="C110" s="27">
        <f t="shared" si="28"/>
        <v>3683.3333333333335</v>
      </c>
      <c r="D110" s="28">
        <f t="shared" si="29"/>
        <v>35</v>
      </c>
      <c r="E110" s="27">
        <f t="shared" si="30"/>
        <v>128916.66666666666</v>
      </c>
      <c r="F110" s="44"/>
      <c r="G110" s="44"/>
      <c r="H110" s="44"/>
      <c r="I110" s="44"/>
    </row>
    <row r="111" spans="1:9" x14ac:dyDescent="0.35">
      <c r="A111" s="26" t="str">
        <f t="shared" si="27"/>
        <v>Шлифование</v>
      </c>
      <c r="B111" s="37">
        <f t="shared" si="28"/>
        <v>2.5000000000000001E-2</v>
      </c>
      <c r="C111" s="27">
        <f t="shared" si="28"/>
        <v>4250</v>
      </c>
      <c r="D111" s="28">
        <f t="shared" si="29"/>
        <v>35</v>
      </c>
      <c r="E111" s="27">
        <f t="shared" si="30"/>
        <v>148750</v>
      </c>
      <c r="F111" s="44"/>
      <c r="G111" s="44"/>
      <c r="H111" s="44"/>
      <c r="I111" s="44"/>
    </row>
    <row r="112" spans="1:9" x14ac:dyDescent="0.35">
      <c r="A112" s="26" t="str">
        <f t="shared" si="27"/>
        <v>Токарная</v>
      </c>
      <c r="B112" s="37">
        <f t="shared" si="28"/>
        <v>3.3333333333333333E-2</v>
      </c>
      <c r="C112" s="27">
        <f t="shared" si="28"/>
        <v>5666.666666666667</v>
      </c>
      <c r="D112" s="28">
        <f t="shared" si="29"/>
        <v>22</v>
      </c>
      <c r="E112" s="27">
        <f t="shared" si="30"/>
        <v>124666.66666666666</v>
      </c>
      <c r="F112" s="44"/>
      <c r="G112" s="44"/>
      <c r="H112" s="44"/>
      <c r="I112" s="44"/>
    </row>
    <row r="113" spans="1:9" x14ac:dyDescent="0.35">
      <c r="A113" s="83" t="s">
        <v>63</v>
      </c>
      <c r="B113" s="84"/>
      <c r="C113" s="84"/>
      <c r="D113" s="85"/>
      <c r="E113" s="57">
        <f>SUM(E108:E112)</f>
        <v>552500</v>
      </c>
      <c r="F113" s="44"/>
      <c r="G113" s="44"/>
      <c r="H113" s="44"/>
      <c r="I113" s="44"/>
    </row>
    <row r="114" spans="1:9" x14ac:dyDescent="0.35">
      <c r="A114" s="44"/>
      <c r="B114" s="44"/>
      <c r="C114" s="44"/>
      <c r="D114" s="44"/>
      <c r="E114" s="44"/>
      <c r="F114" s="44"/>
      <c r="G114" s="44"/>
      <c r="H114" s="44"/>
      <c r="I114" s="44"/>
    </row>
    <row r="115" spans="1:9" ht="18.5" x14ac:dyDescent="0.35">
      <c r="A115" s="78" t="s">
        <v>100</v>
      </c>
      <c r="B115" s="78"/>
      <c r="C115" s="78"/>
      <c r="D115" s="78"/>
      <c r="E115" s="78"/>
      <c r="F115" s="78"/>
      <c r="G115" s="78"/>
      <c r="H115" s="78"/>
      <c r="I115" s="78"/>
    </row>
    <row r="116" spans="1:9" x14ac:dyDescent="0.35">
      <c r="A116" s="32" t="s">
        <v>131</v>
      </c>
      <c r="B116" s="58">
        <f>C16*B84</f>
        <v>10749.375</v>
      </c>
      <c r="C116" s="45"/>
      <c r="D116" s="45"/>
      <c r="E116" s="45"/>
      <c r="F116" s="45"/>
      <c r="G116" s="45"/>
      <c r="H116" s="45"/>
      <c r="I116" s="45"/>
    </row>
    <row r="117" spans="1:9" x14ac:dyDescent="0.35">
      <c r="A117" s="32" t="s">
        <v>132</v>
      </c>
      <c r="B117" s="58">
        <f>B84*(1-D3)*C18/1000</f>
        <v>13.820625000000003</v>
      </c>
      <c r="C117" s="45"/>
      <c r="D117" s="45"/>
      <c r="E117" s="45"/>
      <c r="F117" s="45"/>
      <c r="G117" s="45"/>
      <c r="H117" s="45"/>
      <c r="I117" s="45"/>
    </row>
    <row r="118" spans="1:9" ht="29" x14ac:dyDescent="0.35">
      <c r="A118" s="32" t="s">
        <v>134</v>
      </c>
      <c r="B118" s="58">
        <f>E113/(A3)</f>
        <v>3.25</v>
      </c>
      <c r="C118" s="45"/>
      <c r="D118" s="45"/>
      <c r="E118" s="45"/>
      <c r="F118" s="45"/>
      <c r="G118" s="45"/>
      <c r="H118" s="45"/>
      <c r="I118" s="45"/>
    </row>
    <row r="119" spans="1:9" x14ac:dyDescent="0.35">
      <c r="A119" s="32" t="s">
        <v>103</v>
      </c>
      <c r="B119" s="58">
        <f>SUM(I60:I64)+SUM(F20:F22)</f>
        <v>10196000</v>
      </c>
      <c r="C119" s="45"/>
      <c r="D119" s="45"/>
      <c r="E119" s="45"/>
      <c r="F119" s="45"/>
      <c r="G119" s="45"/>
      <c r="H119" s="45"/>
      <c r="I119" s="45"/>
    </row>
    <row r="120" spans="1:9" x14ac:dyDescent="0.35">
      <c r="A120" s="32" t="s">
        <v>102</v>
      </c>
      <c r="B120" s="58">
        <f>100*B119/E113</f>
        <v>1845.4298642533936</v>
      </c>
      <c r="C120" s="45"/>
      <c r="D120" s="45"/>
      <c r="E120" s="45"/>
      <c r="F120" s="45"/>
      <c r="G120" s="45"/>
      <c r="H120" s="45"/>
      <c r="I120" s="45"/>
    </row>
    <row r="121" spans="1:9" ht="29" x14ac:dyDescent="0.35">
      <c r="A121" s="32" t="s">
        <v>133</v>
      </c>
      <c r="B121" s="58">
        <f>(B120/100)*B118</f>
        <v>59.976470588235287</v>
      </c>
      <c r="C121" s="45"/>
      <c r="D121" s="45"/>
      <c r="E121" s="45"/>
      <c r="F121" s="45"/>
      <c r="G121" s="45"/>
      <c r="H121" s="45"/>
      <c r="I121" s="45"/>
    </row>
    <row r="122" spans="1:9" x14ac:dyDescent="0.35">
      <c r="A122" s="32" t="s">
        <v>136</v>
      </c>
      <c r="B122" s="58">
        <f>I65+SUM(F23:F25)</f>
        <v>15996542.5</v>
      </c>
      <c r="C122" s="45"/>
      <c r="D122" s="45"/>
      <c r="E122" s="45"/>
      <c r="F122" s="45"/>
      <c r="G122" s="45"/>
      <c r="H122" s="45"/>
      <c r="I122" s="45"/>
    </row>
    <row r="123" spans="1:9" x14ac:dyDescent="0.35">
      <c r="A123" s="32" t="s">
        <v>137</v>
      </c>
      <c r="B123" s="58">
        <f>B122/E113*100</f>
        <v>2895.3018099547512</v>
      </c>
      <c r="C123" s="45"/>
      <c r="D123" s="45"/>
      <c r="E123" s="45"/>
      <c r="F123" s="45"/>
      <c r="G123" s="45"/>
      <c r="H123" s="45"/>
      <c r="I123" s="45"/>
    </row>
    <row r="124" spans="1:9" x14ac:dyDescent="0.35">
      <c r="A124" s="45"/>
      <c r="B124" s="45"/>
      <c r="C124" s="45"/>
      <c r="D124" s="45"/>
      <c r="E124" s="45"/>
      <c r="F124" s="45"/>
      <c r="G124" s="45"/>
      <c r="H124" s="45"/>
      <c r="I124" s="45"/>
    </row>
    <row r="125" spans="1:9" x14ac:dyDescent="0.35">
      <c r="A125" s="60" t="s">
        <v>138</v>
      </c>
      <c r="B125" s="61"/>
      <c r="C125" s="45"/>
      <c r="D125" s="45"/>
      <c r="E125" s="45"/>
      <c r="F125" s="45"/>
      <c r="G125" s="45"/>
      <c r="H125" s="45"/>
      <c r="I125" s="45"/>
    </row>
    <row r="126" spans="1:9" x14ac:dyDescent="0.35">
      <c r="A126" s="59" t="s">
        <v>139</v>
      </c>
      <c r="B126" s="59" t="s">
        <v>140</v>
      </c>
      <c r="C126" s="45"/>
      <c r="D126" s="45"/>
      <c r="E126" s="45"/>
      <c r="F126" s="45"/>
      <c r="G126" s="45"/>
      <c r="H126" s="45"/>
      <c r="I126" s="45"/>
    </row>
    <row r="127" spans="1:9" x14ac:dyDescent="0.35">
      <c r="A127" s="32" t="s">
        <v>141</v>
      </c>
      <c r="B127" s="32"/>
      <c r="C127" s="45"/>
      <c r="D127" s="45"/>
      <c r="E127" s="45"/>
      <c r="F127" s="45"/>
      <c r="G127" s="45"/>
      <c r="H127" s="45"/>
      <c r="I127" s="45"/>
    </row>
    <row r="128" spans="1:9" ht="29" x14ac:dyDescent="0.35">
      <c r="A128" s="32" t="s">
        <v>142</v>
      </c>
      <c r="B128" s="32"/>
      <c r="C128" s="45"/>
      <c r="D128" s="45"/>
      <c r="E128" s="45"/>
      <c r="F128" s="45"/>
      <c r="G128" s="45"/>
      <c r="H128" s="45"/>
      <c r="I128" s="45"/>
    </row>
    <row r="129" spans="1:9" x14ac:dyDescent="0.35">
      <c r="A129" s="32" t="s">
        <v>143</v>
      </c>
      <c r="B129" s="32"/>
      <c r="C129" s="45"/>
      <c r="D129" s="45"/>
      <c r="E129" s="45"/>
      <c r="F129" s="45"/>
      <c r="G129" s="45"/>
      <c r="H129" s="45"/>
      <c r="I129" s="45"/>
    </row>
    <row r="130" spans="1:9" ht="29" x14ac:dyDescent="0.35">
      <c r="A130" s="32" t="s">
        <v>144</v>
      </c>
      <c r="B130" s="32"/>
      <c r="C130" s="45"/>
      <c r="D130" s="45"/>
      <c r="E130" s="45"/>
      <c r="F130" s="45"/>
      <c r="G130" s="45"/>
      <c r="H130" s="45"/>
      <c r="I130" s="45"/>
    </row>
    <row r="131" spans="1:9" x14ac:dyDescent="0.35">
      <c r="A131" s="32" t="s">
        <v>145</v>
      </c>
      <c r="B131" s="58">
        <f>B117</f>
        <v>13.820625000000003</v>
      </c>
      <c r="C131" s="45"/>
      <c r="D131" s="45"/>
      <c r="E131" s="45"/>
      <c r="F131" s="45"/>
      <c r="G131" s="45"/>
      <c r="H131" s="45"/>
      <c r="I131" s="45"/>
    </row>
    <row r="132" spans="1:9" ht="29" x14ac:dyDescent="0.35">
      <c r="A132" s="32" t="s">
        <v>101</v>
      </c>
      <c r="B132" s="95">
        <f>E113</f>
        <v>552500</v>
      </c>
    </row>
    <row r="133" spans="1:9" ht="29" x14ac:dyDescent="0.35">
      <c r="A133" s="32" t="s">
        <v>146</v>
      </c>
      <c r="B133" s="32"/>
    </row>
    <row r="134" spans="1:9" x14ac:dyDescent="0.35">
      <c r="A134" s="32" t="s">
        <v>28</v>
      </c>
      <c r="B134" s="32"/>
    </row>
    <row r="135" spans="1:9" ht="29" x14ac:dyDescent="0.35">
      <c r="A135" s="32" t="s">
        <v>104</v>
      </c>
      <c r="B135" s="58">
        <f>B119</f>
        <v>10196000</v>
      </c>
    </row>
    <row r="136" spans="1:9" x14ac:dyDescent="0.35">
      <c r="A136" s="32" t="s">
        <v>135</v>
      </c>
      <c r="B136" s="58">
        <f>B122</f>
        <v>15996542.5</v>
      </c>
    </row>
    <row r="137" spans="1:9" x14ac:dyDescent="0.35">
      <c r="A137" s="59" t="s">
        <v>147</v>
      </c>
      <c r="B137" s="59"/>
    </row>
  </sheetData>
  <mergeCells count="29">
    <mergeCell ref="A68:I68"/>
    <mergeCell ref="A113:D113"/>
    <mergeCell ref="A76:I76"/>
    <mergeCell ref="A93:I93"/>
    <mergeCell ref="A96:E96"/>
    <mergeCell ref="A105:I105"/>
    <mergeCell ref="A106:E106"/>
    <mergeCell ref="A1:A2"/>
    <mergeCell ref="B1:D1"/>
    <mergeCell ref="E1:I1"/>
    <mergeCell ref="E5:E6"/>
    <mergeCell ref="F5:F6"/>
    <mergeCell ref="G5:H5"/>
    <mergeCell ref="A125:B125"/>
    <mergeCell ref="G20:G25"/>
    <mergeCell ref="A28:I28"/>
    <mergeCell ref="A30:E30"/>
    <mergeCell ref="A37:D37"/>
    <mergeCell ref="A46:C46"/>
    <mergeCell ref="A39:D39"/>
    <mergeCell ref="A48:E48"/>
    <mergeCell ref="C49:D49"/>
    <mergeCell ref="E49:E50"/>
    <mergeCell ref="A49:A50"/>
    <mergeCell ref="B49:B50"/>
    <mergeCell ref="A115:I115"/>
    <mergeCell ref="A58:C58"/>
    <mergeCell ref="A65:B65"/>
    <mergeCell ref="E58:I58"/>
  </mergeCells>
  <pageMargins left="0.7" right="0.7" top="0.75" bottom="0.75" header="0.3" footer="0.3"/>
  <pageSetup paperSize="9" orientation="portrait" r:id="rId1"/>
  <ignoredErrors>
    <ignoredError sqref="B51 B52:B55" formula="1"/>
    <ignoredError sqref="B119 B1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варианта (Приложение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Губин</dc:creator>
  <cp:lastModifiedBy>Егор Губин</cp:lastModifiedBy>
  <dcterms:created xsi:type="dcterms:W3CDTF">2025-10-19T07:52:09Z</dcterms:created>
  <dcterms:modified xsi:type="dcterms:W3CDTF">2025-10-24T12:22:34Z</dcterms:modified>
</cp:coreProperties>
</file>