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uman\7_term\Экономика\ДР\"/>
    </mc:Choice>
  </mc:AlternateContent>
  <xr:revisionPtr revIDLastSave="0" documentId="13_ncr:1_{30F5266E-80FE-4906-99F5-D75D288D6BEA}" xr6:coauthVersionLast="47" xr6:coauthVersionMax="47" xr10:uidLastSave="{00000000-0000-0000-0000-000000000000}"/>
  <bookViews>
    <workbookView xWindow="-110" yWindow="-110" windowWidth="19420" windowHeight="11500" xr2:uid="{C179F93E-D90C-4742-86C9-EC6DA8351E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C96" i="1" s="1"/>
  <c r="C88" i="1"/>
  <c r="C92" i="1" s="1"/>
  <c r="B88" i="1"/>
  <c r="A88" i="1"/>
  <c r="D80" i="1"/>
  <c r="D81" i="1"/>
  <c r="D82" i="1"/>
  <c r="D83" i="1"/>
  <c r="D79" i="1"/>
  <c r="E66" i="1"/>
  <c r="C62" i="1"/>
  <c r="A62" i="1"/>
  <c r="B62" i="1" s="1"/>
  <c r="D62" i="1" s="1"/>
  <c r="A58" i="1"/>
  <c r="B58" i="1" s="1"/>
  <c r="C58" i="1" s="1"/>
  <c r="D58" i="1" l="1"/>
  <c r="F58" i="1" s="1"/>
  <c r="C94" i="1"/>
  <c r="A66" i="1"/>
  <c r="B66" i="1" s="1"/>
  <c r="C54" i="1"/>
  <c r="C53" i="1"/>
  <c r="C52" i="1"/>
  <c r="C51" i="1"/>
  <c r="C50" i="1"/>
  <c r="E23" i="1"/>
  <c r="E24" i="1"/>
  <c r="E25" i="1"/>
  <c r="E26" i="1"/>
  <c r="E22" i="1"/>
  <c r="D23" i="1"/>
  <c r="D24" i="1"/>
  <c r="D25" i="1"/>
  <c r="D26" i="1"/>
  <c r="D22" i="1"/>
  <c r="C13" i="1"/>
  <c r="C14" i="1"/>
  <c r="C15" i="1"/>
  <c r="C16" i="1"/>
  <c r="C12" i="1"/>
  <c r="F4" i="1"/>
  <c r="F5" i="1"/>
  <c r="F6" i="1"/>
  <c r="F7" i="1"/>
  <c r="F3" i="1"/>
  <c r="C7" i="1"/>
  <c r="C6" i="1"/>
  <c r="C5" i="1"/>
  <c r="F52" i="1" s="1"/>
  <c r="C4" i="1"/>
  <c r="F51" i="1" s="1"/>
  <c r="C3" i="1"/>
  <c r="F50" i="1" s="1"/>
  <c r="D4" i="1"/>
  <c r="D5" i="1"/>
  <c r="D6" i="1"/>
  <c r="H53" i="1" s="1"/>
  <c r="D7" i="1"/>
  <c r="H54" i="1" s="1"/>
  <c r="D3" i="1"/>
  <c r="H50" i="1" s="1"/>
  <c r="E3" i="1" l="1"/>
  <c r="G3" i="1" s="1"/>
  <c r="D12" i="1" s="1"/>
  <c r="E5" i="1"/>
  <c r="G5" i="1" s="1"/>
  <c r="D14" i="1" s="1"/>
  <c r="E14" i="1" s="1"/>
  <c r="C42" i="1" s="1"/>
  <c r="E42" i="1" s="1"/>
  <c r="H52" i="1"/>
  <c r="D66" i="1"/>
  <c r="E4" i="1"/>
  <c r="G4" i="1" s="1"/>
  <c r="H51" i="1"/>
  <c r="E12" i="1"/>
  <c r="D50" i="1"/>
  <c r="I50" i="1" s="1"/>
  <c r="D73" i="1"/>
  <c r="E73" i="1" s="1"/>
  <c r="C82" i="1"/>
  <c r="E82" i="1" s="1"/>
  <c r="D74" i="1"/>
  <c r="E74" i="1" s="1"/>
  <c r="C83" i="1"/>
  <c r="E83" i="1" s="1"/>
  <c r="F54" i="1"/>
  <c r="E7" i="1"/>
  <c r="G7" i="1" s="1"/>
  <c r="F53" i="1"/>
  <c r="E6" i="1"/>
  <c r="G6" i="1" s="1"/>
  <c r="D70" i="1"/>
  <c r="E70" i="1" s="1"/>
  <c r="C79" i="1"/>
  <c r="C80" i="1"/>
  <c r="E80" i="1" s="1"/>
  <c r="D71" i="1"/>
  <c r="E71" i="1" s="1"/>
  <c r="C22" i="1"/>
  <c r="F22" i="1" s="1"/>
  <c r="D72" i="1"/>
  <c r="E72" i="1" s="1"/>
  <c r="C81" i="1"/>
  <c r="E81" i="1" s="1"/>
  <c r="D52" i="1" l="1"/>
  <c r="C24" i="1"/>
  <c r="F24" i="1" s="1"/>
  <c r="D13" i="1"/>
  <c r="C23" i="1"/>
  <c r="F23" i="1" s="1"/>
  <c r="G8" i="1"/>
  <c r="E79" i="1"/>
  <c r="E84" i="1" s="1"/>
  <c r="G92" i="1" s="1"/>
  <c r="C97" i="1"/>
  <c r="G50" i="1"/>
  <c r="C40" i="1"/>
  <c r="E40" i="1" s="1"/>
  <c r="D51" i="1"/>
  <c r="E13" i="1"/>
  <c r="C41" i="1" s="1"/>
  <c r="E41" i="1" s="1"/>
  <c r="E75" i="1"/>
  <c r="D15" i="1"/>
  <c r="C25" i="1"/>
  <c r="F25" i="1" s="1"/>
  <c r="C26" i="1"/>
  <c r="F26" i="1" s="1"/>
  <c r="D16" i="1"/>
  <c r="G52" i="1" l="1"/>
  <c r="I52" i="1"/>
  <c r="F27" i="1"/>
  <c r="D31" i="1" s="1"/>
  <c r="C45" i="1" s="1"/>
  <c r="E45" i="1" s="1"/>
  <c r="F92" i="1" s="1"/>
  <c r="I92" i="1" s="1"/>
  <c r="C101" i="1" s="1"/>
  <c r="D53" i="1"/>
  <c r="E15" i="1"/>
  <c r="C43" i="1" s="1"/>
  <c r="E43" i="1" s="1"/>
  <c r="I51" i="1"/>
  <c r="G51" i="1"/>
  <c r="C98" i="1"/>
  <c r="C99" i="1" s="1"/>
  <c r="E16" i="1"/>
  <c r="C44" i="1" s="1"/>
  <c r="E44" i="1" s="1"/>
  <c r="D54" i="1"/>
  <c r="E17" i="1" l="1"/>
  <c r="D32" i="1" s="1"/>
  <c r="D35" i="1" s="1"/>
  <c r="E46" i="1"/>
  <c r="E92" i="1" s="1"/>
  <c r="H92" i="1" s="1"/>
  <c r="C100" i="1" s="1"/>
  <c r="C102" i="1" s="1"/>
  <c r="D34" i="1"/>
  <c r="D33" i="1"/>
  <c r="G54" i="1"/>
  <c r="I54" i="1"/>
  <c r="G53" i="1"/>
  <c r="I53" i="1"/>
  <c r="D36" i="1" l="1"/>
</calcChain>
</file>

<file path=xl/sharedStrings.xml><?xml version="1.0" encoding="utf-8"?>
<sst xmlns="http://schemas.openxmlformats.org/spreadsheetml/2006/main" count="200" uniqueCount="143">
  <si>
    <t>№ пп</t>
  </si>
  <si>
    <t>Виды оборудования</t>
  </si>
  <si>
    <t>Наименование операций</t>
  </si>
  <si>
    <t>Количество единиц оборудования</t>
  </si>
  <si>
    <t>Фрезерование</t>
  </si>
  <si>
    <t>Сверление</t>
  </si>
  <si>
    <t>Расточка</t>
  </si>
  <si>
    <t>Шлифование</t>
  </si>
  <si>
    <t>Токарная</t>
  </si>
  <si>
    <t>Итого</t>
  </si>
  <si>
    <t>№ варианта</t>
  </si>
  <si>
    <t>Годовая программа выпуска, тыс. шт.</t>
  </si>
  <si>
    <t>Изделие А</t>
  </si>
  <si>
    <t>Размеры заготовки</t>
  </si>
  <si>
    <t>Материал</t>
  </si>
  <si>
    <t>Коэффициент использования металла</t>
  </si>
  <si>
    <t>Технологический процесс и нормы времени по операциям с указанием разряда работ, мин.</t>
  </si>
  <si>
    <t>4 разряд Фрезерование</t>
  </si>
  <si>
    <t>3 разряд Сверление</t>
  </si>
  <si>
    <t>4 разряд Расточка</t>
  </si>
  <si>
    <t>4 разряд Шлифование</t>
  </si>
  <si>
    <t>3 разряд Токарная</t>
  </si>
  <si>
    <t>Цена за единицу оборудования данного вида, тыс. руб.</t>
  </si>
  <si>
    <t>Площадь, занимаемая единицей оборудования, м2</t>
  </si>
  <si>
    <t>Основная</t>
  </si>
  <si>
    <t>Дополнительная</t>
  </si>
  <si>
    <t>Фрезерный станок</t>
  </si>
  <si>
    <t>Сверлильный станок</t>
  </si>
  <si>
    <t>Расточный станок</t>
  </si>
  <si>
    <t>Шлифовальный станок</t>
  </si>
  <si>
    <t>Токарный станок</t>
  </si>
  <si>
    <t>Операция</t>
  </si>
  <si>
    <t>Разряд работы</t>
  </si>
  <si>
    <t>Часовая тарифная ставка, руб.</t>
  </si>
  <si>
    <t>Наименование расхода</t>
  </si>
  <si>
    <t>Расход за год, тыс. руб.</t>
  </si>
  <si>
    <t>Ремонт и техобслуживание оборудования</t>
  </si>
  <si>
    <t>Технологическое топливо и энергия</t>
  </si>
  <si>
    <t>Вспомогательные материалы</t>
  </si>
  <si>
    <t>Отопление, освещение цеха</t>
  </si>
  <si>
    <t>Основная заработная плата аппарата управления цеха</t>
  </si>
  <si>
    <t>Расходы по технике безопасности</t>
  </si>
  <si>
    <t>Расчет потребности в оборудовании</t>
  </si>
  <si>
    <t>Норма времени на операцию, ч</t>
  </si>
  <si>
    <t>Годовой объём производства, шт</t>
  </si>
  <si>
    <t>Трудоёмкость годового объёма производства, ч</t>
  </si>
  <si>
    <t>Годовой эффективный фонд времени работы единицы оборудования, ч</t>
  </si>
  <si>
    <t>Количество единиц оборудования, шт</t>
  </si>
  <si>
    <t xml:space="preserve">Сверление </t>
  </si>
  <si>
    <t xml:space="preserve">Расточка </t>
  </si>
  <si>
    <t xml:space="preserve">Шлифование </t>
  </si>
  <si>
    <t xml:space="preserve">Токарная </t>
  </si>
  <si>
    <t>Расчет стоимости оборудования цеха</t>
  </si>
  <si>
    <t>Цена за  единицу оборудования</t>
  </si>
  <si>
    <t>Общая стоимость оборудования</t>
  </si>
  <si>
    <t>Расчет занимаемой площади</t>
  </si>
  <si>
    <t>основная</t>
  </si>
  <si>
    <t>дополнит.</t>
  </si>
  <si>
    <t>Стоимость основных фондов цеха по классификационным группам</t>
  </si>
  <si>
    <t>Классификационные группы</t>
  </si>
  <si>
    <t xml:space="preserve"> </t>
  </si>
  <si>
    <t xml:space="preserve">Стоимость </t>
  </si>
  <si>
    <t>Здания</t>
  </si>
  <si>
    <t>Рабочие машины</t>
  </si>
  <si>
    <t>Транспортные средства</t>
  </si>
  <si>
    <t>Производственный инвентарь</t>
  </si>
  <si>
    <t>Инструменты</t>
  </si>
  <si>
    <r>
      <t>Площадь, занимаемая единицей оборудования,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</si>
  <si>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Общая площадь,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</si>
  <si>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Расчет амортизационных отчислений</t>
  </si>
  <si>
    <t>Виды основных фондов</t>
  </si>
  <si>
    <t>Стоимость</t>
  </si>
  <si>
    <t>Норма амортизации</t>
  </si>
  <si>
    <t>Начисленная сумма амортизации</t>
  </si>
  <si>
    <t xml:space="preserve">Фрезерный станок </t>
  </si>
  <si>
    <t>Расчет мощности и загрузки оборудования</t>
  </si>
  <si>
    <t xml:space="preserve">Количество единиц оборудования </t>
  </si>
  <si>
    <t>Коэфициент выполнения норм</t>
  </si>
  <si>
    <t>Мощность оборудования, шт</t>
  </si>
  <si>
    <t>Коэффициент загрузки</t>
  </si>
  <si>
    <t>Норматив производственного запаса</t>
  </si>
  <si>
    <t>Норма потребления, кг</t>
  </si>
  <si>
    <t>Запас текущий максимальный, руб</t>
  </si>
  <si>
    <t>Запас текущий средний, руб</t>
  </si>
  <si>
    <t>Запас страховой, руб</t>
  </si>
  <si>
    <t>Запас технологический, руб</t>
  </si>
  <si>
    <t>Норматив производственного запаса, руб</t>
  </si>
  <si>
    <t>Сталь</t>
  </si>
  <si>
    <t>Норматив незавершенного производства</t>
  </si>
  <si>
    <t>Стоимость материала заготовки, руб</t>
  </si>
  <si>
    <t>Среднесуточные затраты на производство продукции, руб</t>
  </si>
  <si>
    <t>Коэффициент нарастания затрат</t>
  </si>
  <si>
    <t>Норматив незавершенного производства, руб</t>
  </si>
  <si>
    <t>Норматив готовой продукции</t>
  </si>
  <si>
    <t>Себестоимость детали, руб</t>
  </si>
  <si>
    <t>Норматив готовой продукции, руб</t>
  </si>
  <si>
    <t>Годовой эффективный фонд времени одного рабочего, ч</t>
  </si>
  <si>
    <t>Общая стоимость оборотных средств цеха, руб.</t>
  </si>
  <si>
    <t>Расчет численности рабочих-сдельщиков</t>
  </si>
  <si>
    <t>Наименование операции</t>
  </si>
  <si>
    <t>Численность рабочих-сдельщиков, чел</t>
  </si>
  <si>
    <t>IV</t>
  </si>
  <si>
    <t>III</t>
  </si>
  <si>
    <t>V</t>
  </si>
  <si>
    <t>Фонд основной зароботной платы</t>
  </si>
  <si>
    <t>Часовая тарифная ставка</t>
  </si>
  <si>
    <t>Фонд основной заработной платы, руб</t>
  </si>
  <si>
    <t>Расчет стоимости материалов и возвратных средств</t>
  </si>
  <si>
    <t>Масса изделия, кг</t>
  </si>
  <si>
    <t>Норма расходов материала, кг</t>
  </si>
  <si>
    <t>Стоимость материалов, руб</t>
  </si>
  <si>
    <t>Стоимость возвратных отходов, руб</t>
  </si>
  <si>
    <t>Калькуляция цеховой себестоимости детали</t>
  </si>
  <si>
    <t>№№</t>
  </si>
  <si>
    <t>Наименование статей затрат</t>
  </si>
  <si>
    <t>Сумма, руб.</t>
  </si>
  <si>
    <t>1.</t>
  </si>
  <si>
    <t>Основные материалы</t>
  </si>
  <si>
    <t>2.</t>
  </si>
  <si>
    <t>Покупные полуфабрикаты и комплектующие изделия</t>
  </si>
  <si>
    <t>3.</t>
  </si>
  <si>
    <t>Транспортные расходы (8% от п.1)</t>
  </si>
  <si>
    <t>4.</t>
  </si>
  <si>
    <t>Полуфабрикаты собственного производства</t>
  </si>
  <si>
    <t>5.</t>
  </si>
  <si>
    <t xml:space="preserve">Отходы возвратные </t>
  </si>
  <si>
    <t>6.</t>
  </si>
  <si>
    <t>Основная заработная плата производственных рабочих</t>
  </si>
  <si>
    <t>7.</t>
  </si>
  <si>
    <t xml:space="preserve">Дополнительная заработная плата производственных рабочих </t>
  </si>
  <si>
    <t>8.</t>
  </si>
  <si>
    <t>Начисления на заработную плату</t>
  </si>
  <si>
    <t>9.</t>
  </si>
  <si>
    <t>Расходы по содержанию и эксплуатации оборудования</t>
  </si>
  <si>
    <t>10.</t>
  </si>
  <si>
    <t xml:space="preserve">Цеховые накладные расходы </t>
  </si>
  <si>
    <t>РСО</t>
  </si>
  <si>
    <t>ЦНР</t>
  </si>
  <si>
    <t>Фонд оплаты труда</t>
  </si>
  <si>
    <t>К(РСО)</t>
  </si>
  <si>
    <t>К(ЦНР)</t>
  </si>
  <si>
    <t>Итого цеховая себестоимость</t>
  </si>
  <si>
    <t>35х40х20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</si>
</sst>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justify" vertical="center" wrapText="1"/>
    </xf>
    <xf numFmtId="9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95C6-8416-442D-8B29-0A5ADA974525}">
  <dimension ref="A1:T102"/>
  <sheetViews>
    <sheetView tabSelected="1" topLeftCell="A19" zoomScale="105" zoomScaleNormal="85" workbookViewId="0">
      <selection activeCell="E28" sqref="E28"/>
    </sheetView>
  </sheetViews>
  <sheetFormatPr defaultColWidth="8.90625" defaultRowHeight="14.5" x14ac:dyDescent="0.35"/>
  <cols>
    <col min="1" max="1" width="15.81640625" customWidth="1"/>
    <col min="2" max="2" width="19" bestFit="1" customWidth="1"/>
    <col min="3" max="3" width="27.36328125" customWidth="1"/>
    <col min="4" max="4" width="19.453125" customWidth="1"/>
    <col min="5" max="5" width="24.54296875" customWidth="1"/>
    <col min="6" max="6" width="28.90625" customWidth="1"/>
    <col min="7" max="7" width="20.08984375" customWidth="1"/>
    <col min="8" max="8" width="12.54296875" customWidth="1"/>
    <col min="9" max="9" width="16" customWidth="1"/>
    <col min="10" max="10" width="26.1796875" customWidth="1"/>
    <col min="11" max="11" width="19.1796875" customWidth="1"/>
    <col min="12" max="12" width="20.1796875" customWidth="1"/>
    <col min="13" max="13" width="15.54296875" customWidth="1"/>
    <col min="14" max="14" width="19.6328125" customWidth="1"/>
    <col min="15" max="15" width="34.90625" customWidth="1"/>
    <col min="16" max="16" width="16.54296875" customWidth="1"/>
    <col min="18" max="18" width="15.453125" customWidth="1"/>
  </cols>
  <sheetData>
    <row r="1" spans="1:20" ht="23.4" customHeight="1" x14ac:dyDescent="0.35">
      <c r="A1" s="23" t="s">
        <v>42</v>
      </c>
      <c r="B1" s="23"/>
      <c r="C1" s="23"/>
      <c r="D1" s="23"/>
      <c r="E1" s="23"/>
      <c r="F1" s="23"/>
      <c r="G1" s="23"/>
      <c r="J1" s="22" t="s">
        <v>10</v>
      </c>
      <c r="K1" s="22" t="s">
        <v>11</v>
      </c>
      <c r="L1" s="22" t="s">
        <v>12</v>
      </c>
      <c r="M1" s="22"/>
      <c r="N1" s="22"/>
      <c r="O1" s="22" t="s">
        <v>16</v>
      </c>
      <c r="P1" s="22"/>
      <c r="Q1" s="22"/>
      <c r="R1" s="22"/>
      <c r="S1" s="22"/>
    </row>
    <row r="2" spans="1:20" ht="42.65" customHeight="1" x14ac:dyDescent="0.35">
      <c r="A2" s="1" t="s">
        <v>0</v>
      </c>
      <c r="B2" s="1" t="s">
        <v>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J2" s="22"/>
      <c r="K2" s="22"/>
      <c r="L2" s="1" t="s">
        <v>13</v>
      </c>
      <c r="M2" s="1" t="s">
        <v>14</v>
      </c>
      <c r="N2" s="1" t="s">
        <v>15</v>
      </c>
      <c r="O2" s="2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3"/>
    </row>
    <row r="3" spans="1:20" x14ac:dyDescent="0.35">
      <c r="A3" s="2">
        <v>1</v>
      </c>
      <c r="B3" s="1" t="s">
        <v>4</v>
      </c>
      <c r="C3" s="4">
        <f>O$3/60</f>
        <v>2.5000000000000001E-2</v>
      </c>
      <c r="D3" s="7">
        <f>$K$3*1000</f>
        <v>160000</v>
      </c>
      <c r="E3" s="5">
        <f>C3*D3</f>
        <v>4000</v>
      </c>
      <c r="F3" s="7">
        <f>250*2*8*(1-0.06)</f>
        <v>3760</v>
      </c>
      <c r="G3" s="7">
        <f>ROUNDUP(E3/F3, 0)</f>
        <v>2</v>
      </c>
      <c r="J3" s="7">
        <v>7</v>
      </c>
      <c r="K3" s="7">
        <v>160</v>
      </c>
      <c r="L3" s="7" t="s">
        <v>142</v>
      </c>
      <c r="M3" s="7" t="s">
        <v>87</v>
      </c>
      <c r="N3" s="7">
        <v>0.8</v>
      </c>
      <c r="O3" s="7">
        <v>1.5</v>
      </c>
      <c r="P3" s="7">
        <v>1.7</v>
      </c>
      <c r="Q3" s="7">
        <v>2.6</v>
      </c>
      <c r="R3" s="7">
        <v>1.7</v>
      </c>
      <c r="S3" s="7">
        <v>1.9</v>
      </c>
    </row>
    <row r="4" spans="1:20" x14ac:dyDescent="0.35">
      <c r="A4" s="2">
        <v>2</v>
      </c>
      <c r="B4" s="1" t="s">
        <v>48</v>
      </c>
      <c r="C4" s="4">
        <f>P$3/60</f>
        <v>2.8333333333333332E-2</v>
      </c>
      <c r="D4" s="7">
        <f t="shared" ref="D4:D7" si="0">$K$3*1000</f>
        <v>160000</v>
      </c>
      <c r="E4" s="5">
        <f t="shared" ref="E4:E7" si="1">C4*D4</f>
        <v>4533.333333333333</v>
      </c>
      <c r="F4" s="7">
        <f t="shared" ref="F4:F7" si="2">250*2*8*(1-0.06)</f>
        <v>3760</v>
      </c>
      <c r="G4" s="7">
        <f>ROUNDUP(E4/F4, 0)</f>
        <v>2</v>
      </c>
    </row>
    <row r="5" spans="1:20" ht="57.65" customHeight="1" x14ac:dyDescent="0.35">
      <c r="A5" s="2">
        <v>3</v>
      </c>
      <c r="B5" s="1" t="s">
        <v>49</v>
      </c>
      <c r="C5" s="4">
        <f>Q$3/60</f>
        <v>4.3333333333333335E-2</v>
      </c>
      <c r="D5" s="7">
        <f t="shared" si="0"/>
        <v>160000</v>
      </c>
      <c r="E5" s="5">
        <f t="shared" si="1"/>
        <v>6933.3333333333339</v>
      </c>
      <c r="F5" s="7">
        <f t="shared" si="2"/>
        <v>3760</v>
      </c>
      <c r="G5" s="7">
        <f>ROUNDUP(E5/F5, 0)</f>
        <v>2</v>
      </c>
      <c r="J5" s="22" t="s">
        <v>1</v>
      </c>
      <c r="K5" s="22" t="s">
        <v>22</v>
      </c>
      <c r="L5" s="22" t="s">
        <v>23</v>
      </c>
      <c r="M5" s="22"/>
    </row>
    <row r="6" spans="1:20" x14ac:dyDescent="0.35">
      <c r="A6" s="2">
        <v>4</v>
      </c>
      <c r="B6" s="1" t="s">
        <v>50</v>
      </c>
      <c r="C6" s="4">
        <f>R$3/60</f>
        <v>2.8333333333333332E-2</v>
      </c>
      <c r="D6" s="7">
        <f t="shared" si="0"/>
        <v>160000</v>
      </c>
      <c r="E6" s="5">
        <f t="shared" si="1"/>
        <v>4533.333333333333</v>
      </c>
      <c r="F6" s="7">
        <f t="shared" si="2"/>
        <v>3760</v>
      </c>
      <c r="G6" s="7">
        <f>ROUNDUP(E6/F6, 0)</f>
        <v>2</v>
      </c>
      <c r="J6" s="22"/>
      <c r="K6" s="22"/>
      <c r="L6" s="1" t="s">
        <v>24</v>
      </c>
      <c r="M6" s="7" t="s">
        <v>25</v>
      </c>
    </row>
    <row r="7" spans="1:20" x14ac:dyDescent="0.35">
      <c r="A7" s="2">
        <v>5</v>
      </c>
      <c r="B7" s="1" t="s">
        <v>51</v>
      </c>
      <c r="C7" s="4">
        <f>S$3/60</f>
        <v>3.1666666666666662E-2</v>
      </c>
      <c r="D7" s="7">
        <f t="shared" si="0"/>
        <v>160000</v>
      </c>
      <c r="E7" s="5">
        <f t="shared" si="1"/>
        <v>5066.6666666666661</v>
      </c>
      <c r="F7" s="7">
        <f t="shared" si="2"/>
        <v>3760</v>
      </c>
      <c r="G7" s="7">
        <f>ROUNDUP(E7/F7, 0)</f>
        <v>2</v>
      </c>
      <c r="J7" s="1" t="s">
        <v>26</v>
      </c>
      <c r="K7" s="6">
        <v>2398</v>
      </c>
      <c r="L7" s="6">
        <v>3.7</v>
      </c>
      <c r="M7" s="6">
        <v>8</v>
      </c>
    </row>
    <row r="8" spans="1:20" x14ac:dyDescent="0.35">
      <c r="A8" s="21" t="s">
        <v>9</v>
      </c>
      <c r="B8" s="21"/>
      <c r="C8" s="21"/>
      <c r="D8" s="21"/>
      <c r="E8" s="21"/>
      <c r="F8" s="21"/>
      <c r="G8" s="7">
        <f>SUM(G3:G7)</f>
        <v>10</v>
      </c>
      <c r="J8" s="1" t="s">
        <v>27</v>
      </c>
      <c r="K8" s="6">
        <v>1865</v>
      </c>
      <c r="L8" s="6">
        <v>1</v>
      </c>
      <c r="M8" s="6">
        <v>4</v>
      </c>
    </row>
    <row r="9" spans="1:20" x14ac:dyDescent="0.35">
      <c r="J9" s="1" t="s">
        <v>28</v>
      </c>
      <c r="K9" s="6">
        <v>1669</v>
      </c>
      <c r="L9" s="6">
        <v>16.3</v>
      </c>
      <c r="M9" s="6">
        <v>34</v>
      </c>
    </row>
    <row r="10" spans="1:20" x14ac:dyDescent="0.35">
      <c r="A10" s="15" t="s">
        <v>52</v>
      </c>
      <c r="B10" s="15"/>
      <c r="C10" s="15"/>
      <c r="D10" s="15"/>
      <c r="E10" s="15"/>
      <c r="J10" s="1" t="s">
        <v>29</v>
      </c>
      <c r="K10" s="6">
        <v>1510</v>
      </c>
      <c r="L10" s="6">
        <v>4.8</v>
      </c>
      <c r="M10" s="6">
        <v>10</v>
      </c>
    </row>
    <row r="11" spans="1:20" ht="29" x14ac:dyDescent="0.35">
      <c r="A11" s="1" t="s">
        <v>0</v>
      </c>
      <c r="B11" s="1" t="s">
        <v>1</v>
      </c>
      <c r="C11" s="1" t="s">
        <v>53</v>
      </c>
      <c r="D11" s="1" t="s">
        <v>3</v>
      </c>
      <c r="E11" s="1" t="s">
        <v>54</v>
      </c>
      <c r="J11" s="1" t="s">
        <v>30</v>
      </c>
      <c r="K11" s="6">
        <v>1815</v>
      </c>
      <c r="L11" s="6">
        <v>7.6</v>
      </c>
      <c r="M11" s="6">
        <v>16</v>
      </c>
    </row>
    <row r="12" spans="1:20" x14ac:dyDescent="0.35">
      <c r="A12" s="2">
        <v>1</v>
      </c>
      <c r="B12" s="1" t="s">
        <v>26</v>
      </c>
      <c r="C12" s="7">
        <f>K7*1000</f>
        <v>2398000</v>
      </c>
      <c r="D12" s="7">
        <f>G3</f>
        <v>2</v>
      </c>
      <c r="E12" s="7">
        <f>C12*D12</f>
        <v>4796000</v>
      </c>
    </row>
    <row r="13" spans="1:20" ht="29" x14ac:dyDescent="0.35">
      <c r="A13" s="2">
        <v>2</v>
      </c>
      <c r="B13" s="1" t="s">
        <v>27</v>
      </c>
      <c r="C13" s="7">
        <f t="shared" ref="C13:C16" si="3">K8*1000</f>
        <v>1865000</v>
      </c>
      <c r="D13" s="7">
        <f t="shared" ref="D13:D16" si="4">G4</f>
        <v>2</v>
      </c>
      <c r="E13" s="7">
        <f t="shared" ref="E13:E16" si="5">C13*D13</f>
        <v>3730000</v>
      </c>
      <c r="J13" s="1" t="s">
        <v>31</v>
      </c>
      <c r="K13" s="1" t="s">
        <v>32</v>
      </c>
      <c r="L13" s="1" t="s">
        <v>33</v>
      </c>
    </row>
    <row r="14" spans="1:20" x14ac:dyDescent="0.35">
      <c r="A14" s="2">
        <v>3</v>
      </c>
      <c r="B14" s="1" t="s">
        <v>28</v>
      </c>
      <c r="C14" s="7">
        <f t="shared" si="3"/>
        <v>1669000</v>
      </c>
      <c r="D14" s="7">
        <f t="shared" si="4"/>
        <v>2</v>
      </c>
      <c r="E14" s="7">
        <f t="shared" si="5"/>
        <v>3338000</v>
      </c>
      <c r="J14" s="7" t="s">
        <v>4</v>
      </c>
      <c r="K14" s="6">
        <v>4</v>
      </c>
      <c r="L14" s="6">
        <v>28</v>
      </c>
    </row>
    <row r="15" spans="1:20" ht="29" x14ac:dyDescent="0.35">
      <c r="A15" s="2">
        <v>4</v>
      </c>
      <c r="B15" s="1" t="s">
        <v>29</v>
      </c>
      <c r="C15" s="7">
        <f t="shared" si="3"/>
        <v>1510000</v>
      </c>
      <c r="D15" s="7">
        <f t="shared" si="4"/>
        <v>2</v>
      </c>
      <c r="E15" s="7">
        <f t="shared" si="5"/>
        <v>3020000</v>
      </c>
      <c r="J15" s="7" t="s">
        <v>5</v>
      </c>
      <c r="K15" s="6">
        <v>3</v>
      </c>
      <c r="L15" s="6">
        <v>22</v>
      </c>
    </row>
    <row r="16" spans="1:20" x14ac:dyDescent="0.35">
      <c r="A16" s="2">
        <v>5</v>
      </c>
      <c r="B16" s="1" t="s">
        <v>30</v>
      </c>
      <c r="C16" s="7">
        <f t="shared" si="3"/>
        <v>1815000</v>
      </c>
      <c r="D16" s="7">
        <f t="shared" si="4"/>
        <v>2</v>
      </c>
      <c r="E16" s="7">
        <f t="shared" si="5"/>
        <v>3630000</v>
      </c>
      <c r="J16" s="7" t="s">
        <v>6</v>
      </c>
      <c r="K16" s="6">
        <v>5</v>
      </c>
      <c r="L16" s="6">
        <v>35</v>
      </c>
    </row>
    <row r="17" spans="1:12" x14ac:dyDescent="0.35">
      <c r="A17" s="21" t="s">
        <v>9</v>
      </c>
      <c r="B17" s="21"/>
      <c r="C17" s="21"/>
      <c r="D17" s="21"/>
      <c r="E17" s="7">
        <f>SUM(E12:E16)</f>
        <v>18514000</v>
      </c>
      <c r="J17" s="7" t="s">
        <v>7</v>
      </c>
      <c r="K17" s="6">
        <v>5</v>
      </c>
      <c r="L17" s="6">
        <v>35</v>
      </c>
    </row>
    <row r="18" spans="1:12" x14ac:dyDescent="0.35">
      <c r="J18" s="7" t="s">
        <v>8</v>
      </c>
      <c r="K18" s="6">
        <v>3</v>
      </c>
      <c r="L18" s="6">
        <v>22</v>
      </c>
    </row>
    <row r="19" spans="1:12" x14ac:dyDescent="0.35">
      <c r="A19" s="15" t="s">
        <v>55</v>
      </c>
      <c r="B19" s="15"/>
      <c r="C19" s="15"/>
      <c r="D19" s="15"/>
      <c r="E19" s="15"/>
      <c r="F19" s="15"/>
    </row>
    <row r="20" spans="1:12" ht="29" x14ac:dyDescent="0.35">
      <c r="A20" s="22" t="s">
        <v>0</v>
      </c>
      <c r="B20" s="22" t="s">
        <v>1</v>
      </c>
      <c r="C20" s="22" t="s">
        <v>47</v>
      </c>
      <c r="D20" s="22" t="s">
        <v>67</v>
      </c>
      <c r="E20" s="22"/>
      <c r="F20" s="22" t="s">
        <v>68</v>
      </c>
      <c r="J20" s="1" t="s">
        <v>34</v>
      </c>
      <c r="K20" s="1" t="s">
        <v>35</v>
      </c>
    </row>
    <row r="21" spans="1:12" ht="29" x14ac:dyDescent="0.35">
      <c r="A21" s="22"/>
      <c r="B21" s="22"/>
      <c r="C21" s="22"/>
      <c r="D21" s="1" t="s">
        <v>56</v>
      </c>
      <c r="E21" s="1" t="s">
        <v>57</v>
      </c>
      <c r="F21" s="22"/>
      <c r="J21" s="1" t="s">
        <v>36</v>
      </c>
      <c r="K21" s="6">
        <v>1800</v>
      </c>
    </row>
    <row r="22" spans="1:12" ht="29" x14ac:dyDescent="0.35">
      <c r="A22" s="2">
        <v>1</v>
      </c>
      <c r="B22" s="1" t="s">
        <v>26</v>
      </c>
      <c r="C22" s="7">
        <f>G3</f>
        <v>2</v>
      </c>
      <c r="D22" s="7">
        <f>L7</f>
        <v>3.7</v>
      </c>
      <c r="E22" s="7">
        <f>M7</f>
        <v>8</v>
      </c>
      <c r="F22" s="7">
        <f>(D22+E22)*C22</f>
        <v>23.4</v>
      </c>
      <c r="J22" s="1" t="s">
        <v>37</v>
      </c>
      <c r="K22" s="6">
        <v>4500</v>
      </c>
    </row>
    <row r="23" spans="1:12" ht="29" x14ac:dyDescent="0.35">
      <c r="A23" s="2">
        <v>2</v>
      </c>
      <c r="B23" s="1" t="s">
        <v>27</v>
      </c>
      <c r="C23" s="7">
        <f t="shared" ref="C23:C26" si="6">G4</f>
        <v>2</v>
      </c>
      <c r="D23" s="7">
        <f t="shared" ref="D23:D26" si="7">L8</f>
        <v>1</v>
      </c>
      <c r="E23" s="7">
        <f t="shared" ref="E23:E26" si="8">M8</f>
        <v>4</v>
      </c>
      <c r="F23" s="7">
        <f t="shared" ref="F23:F26" si="9">(D23+E23)*C23</f>
        <v>10</v>
      </c>
      <c r="J23" s="1" t="s">
        <v>38</v>
      </c>
      <c r="K23" s="6">
        <v>900</v>
      </c>
    </row>
    <row r="24" spans="1:12" x14ac:dyDescent="0.35">
      <c r="A24" s="2">
        <v>3</v>
      </c>
      <c r="B24" s="1" t="s">
        <v>28</v>
      </c>
      <c r="C24" s="7">
        <f t="shared" si="6"/>
        <v>2</v>
      </c>
      <c r="D24" s="7">
        <f t="shared" si="7"/>
        <v>16.3</v>
      </c>
      <c r="E24" s="7">
        <f t="shared" si="8"/>
        <v>34</v>
      </c>
      <c r="F24" s="7">
        <f t="shared" si="9"/>
        <v>100.6</v>
      </c>
      <c r="J24" s="1" t="s">
        <v>39</v>
      </c>
      <c r="K24" s="6">
        <v>980</v>
      </c>
    </row>
    <row r="25" spans="1:12" ht="29" x14ac:dyDescent="0.35">
      <c r="A25" s="2">
        <v>4</v>
      </c>
      <c r="B25" s="1" t="s">
        <v>29</v>
      </c>
      <c r="C25" s="7">
        <f t="shared" si="6"/>
        <v>2</v>
      </c>
      <c r="D25" s="7">
        <f t="shared" si="7"/>
        <v>4.8</v>
      </c>
      <c r="E25" s="7">
        <f t="shared" si="8"/>
        <v>10</v>
      </c>
      <c r="F25" s="7">
        <f t="shared" si="9"/>
        <v>29.6</v>
      </c>
      <c r="J25" s="1" t="s">
        <v>40</v>
      </c>
      <c r="K25" s="6">
        <v>5800</v>
      </c>
    </row>
    <row r="26" spans="1:12" ht="29" x14ac:dyDescent="0.35">
      <c r="A26" s="2">
        <v>5</v>
      </c>
      <c r="B26" s="1" t="s">
        <v>30</v>
      </c>
      <c r="C26" s="7">
        <f t="shared" si="6"/>
        <v>2</v>
      </c>
      <c r="D26" s="7">
        <f t="shared" si="7"/>
        <v>7.6</v>
      </c>
      <c r="E26" s="7">
        <f t="shared" si="8"/>
        <v>16</v>
      </c>
      <c r="F26" s="7">
        <f t="shared" si="9"/>
        <v>47.2</v>
      </c>
      <c r="J26" s="1" t="s">
        <v>41</v>
      </c>
      <c r="K26" s="6">
        <v>360</v>
      </c>
    </row>
    <row r="27" spans="1:12" x14ac:dyDescent="0.35">
      <c r="A27" s="21" t="s">
        <v>9</v>
      </c>
      <c r="B27" s="21"/>
      <c r="C27" s="21"/>
      <c r="D27" s="21"/>
      <c r="E27" s="21"/>
      <c r="F27" s="7">
        <f>SUM(F22:F26)</f>
        <v>210.8</v>
      </c>
    </row>
    <row r="28" spans="1:12" ht="13.25" customHeight="1" x14ac:dyDescent="0.35"/>
    <row r="29" spans="1:12" x14ac:dyDescent="0.35">
      <c r="A29" s="15" t="s">
        <v>58</v>
      </c>
      <c r="B29" s="15"/>
      <c r="C29" s="15"/>
      <c r="D29" s="15"/>
    </row>
    <row r="30" spans="1:12" ht="29" x14ac:dyDescent="0.35">
      <c r="A30" s="8" t="s">
        <v>0</v>
      </c>
      <c r="B30" s="1" t="s">
        <v>59</v>
      </c>
      <c r="C30" s="1" t="s">
        <v>60</v>
      </c>
      <c r="D30" s="1" t="s">
        <v>61</v>
      </c>
    </row>
    <row r="31" spans="1:12" x14ac:dyDescent="0.35">
      <c r="A31" s="2">
        <v>1</v>
      </c>
      <c r="B31" s="9" t="s">
        <v>62</v>
      </c>
      <c r="C31" s="7"/>
      <c r="D31" s="7">
        <f>F27*9400</f>
        <v>1981520</v>
      </c>
    </row>
    <row r="32" spans="1:12" x14ac:dyDescent="0.35">
      <c r="A32" s="2">
        <v>2</v>
      </c>
      <c r="B32" s="9" t="s">
        <v>63</v>
      </c>
      <c r="C32" s="7"/>
      <c r="D32" s="7">
        <f>E17</f>
        <v>18514000</v>
      </c>
    </row>
    <row r="33" spans="1:9" ht="29" x14ac:dyDescent="0.35">
      <c r="A33" s="2">
        <v>3</v>
      </c>
      <c r="B33" s="9" t="s">
        <v>64</v>
      </c>
      <c r="C33" s="10">
        <v>0.1</v>
      </c>
      <c r="D33" s="7">
        <f>D32*C33</f>
        <v>1851400</v>
      </c>
    </row>
    <row r="34" spans="1:9" ht="29" x14ac:dyDescent="0.35">
      <c r="A34" s="2">
        <v>4</v>
      </c>
      <c r="B34" s="9" t="s">
        <v>65</v>
      </c>
      <c r="C34" s="10">
        <v>0.04</v>
      </c>
      <c r="D34" s="7">
        <f>D32*C34</f>
        <v>740560</v>
      </c>
    </row>
    <row r="35" spans="1:9" x14ac:dyDescent="0.35">
      <c r="A35" s="2">
        <v>5</v>
      </c>
      <c r="B35" s="9" t="s">
        <v>66</v>
      </c>
      <c r="C35" s="10">
        <v>0.04</v>
      </c>
      <c r="D35" s="7">
        <f>D32*C35</f>
        <v>740560</v>
      </c>
    </row>
    <row r="36" spans="1:9" x14ac:dyDescent="0.35">
      <c r="A36" s="21" t="s">
        <v>9</v>
      </c>
      <c r="B36" s="21"/>
      <c r="C36" s="21"/>
      <c r="D36" s="7">
        <f>SUM(D31:D35)</f>
        <v>23828040</v>
      </c>
    </row>
    <row r="38" spans="1:9" x14ac:dyDescent="0.35">
      <c r="A38" s="24" t="s">
        <v>69</v>
      </c>
      <c r="B38" s="24"/>
      <c r="C38" s="24"/>
      <c r="D38" s="24"/>
      <c r="E38" s="24"/>
    </row>
    <row r="39" spans="1:9" ht="29" x14ac:dyDescent="0.35">
      <c r="A39" s="8" t="s">
        <v>0</v>
      </c>
      <c r="B39" s="1" t="s">
        <v>70</v>
      </c>
      <c r="C39" s="1" t="s">
        <v>71</v>
      </c>
      <c r="D39" s="1" t="s">
        <v>72</v>
      </c>
      <c r="E39" s="1" t="s">
        <v>73</v>
      </c>
    </row>
    <row r="40" spans="1:9" x14ac:dyDescent="0.35">
      <c r="A40" s="2">
        <v>1</v>
      </c>
      <c r="B40" s="9" t="s">
        <v>74</v>
      </c>
      <c r="C40" s="7">
        <f>E12</f>
        <v>4796000</v>
      </c>
      <c r="D40" s="11">
        <v>0.2</v>
      </c>
      <c r="E40" s="7">
        <f>C40*D40</f>
        <v>959200</v>
      </c>
    </row>
    <row r="41" spans="1:9" x14ac:dyDescent="0.35">
      <c r="A41" s="2">
        <v>2</v>
      </c>
      <c r="B41" s="9" t="s">
        <v>27</v>
      </c>
      <c r="C41" s="7">
        <f t="shared" ref="C41:C44" si="10">E13</f>
        <v>3730000</v>
      </c>
      <c r="D41" s="11">
        <v>0.2</v>
      </c>
      <c r="E41" s="7">
        <f t="shared" ref="E41:E45" si="11">C41*D41</f>
        <v>746000</v>
      </c>
    </row>
    <row r="42" spans="1:9" x14ac:dyDescent="0.35">
      <c r="A42" s="2">
        <v>3</v>
      </c>
      <c r="B42" s="9" t="s">
        <v>28</v>
      </c>
      <c r="C42" s="7">
        <f t="shared" si="10"/>
        <v>3338000</v>
      </c>
      <c r="D42" s="11">
        <v>0.2</v>
      </c>
      <c r="E42" s="7">
        <f t="shared" si="11"/>
        <v>667600</v>
      </c>
    </row>
    <row r="43" spans="1:9" ht="29" x14ac:dyDescent="0.35">
      <c r="A43" s="2">
        <v>4</v>
      </c>
      <c r="B43" s="9" t="s">
        <v>29</v>
      </c>
      <c r="C43" s="7">
        <f t="shared" si="10"/>
        <v>3020000</v>
      </c>
      <c r="D43" s="11">
        <v>0.2</v>
      </c>
      <c r="E43" s="7">
        <f t="shared" si="11"/>
        <v>604000</v>
      </c>
    </row>
    <row r="44" spans="1:9" x14ac:dyDescent="0.35">
      <c r="A44" s="2">
        <v>5</v>
      </c>
      <c r="B44" s="9" t="s">
        <v>30</v>
      </c>
      <c r="C44" s="7">
        <f t="shared" si="10"/>
        <v>3630000</v>
      </c>
      <c r="D44" s="11">
        <v>0.2</v>
      </c>
      <c r="E44" s="7">
        <f t="shared" si="11"/>
        <v>726000</v>
      </c>
    </row>
    <row r="45" spans="1:9" x14ac:dyDescent="0.35">
      <c r="A45" s="2">
        <v>6</v>
      </c>
      <c r="B45" s="9" t="s">
        <v>62</v>
      </c>
      <c r="C45" s="7">
        <f>D31</f>
        <v>1981520</v>
      </c>
      <c r="D45" s="11">
        <v>2.5000000000000001E-2</v>
      </c>
      <c r="E45" s="7">
        <f t="shared" si="11"/>
        <v>49538</v>
      </c>
    </row>
    <row r="46" spans="1:9" x14ac:dyDescent="0.35">
      <c r="A46" s="21" t="s">
        <v>9</v>
      </c>
      <c r="B46" s="21"/>
      <c r="C46" s="21"/>
      <c r="D46" s="21"/>
      <c r="E46" s="7">
        <f>SUM(E40:E45)</f>
        <v>3752338</v>
      </c>
    </row>
    <row r="48" spans="1:9" x14ac:dyDescent="0.35">
      <c r="A48" s="15" t="s">
        <v>75</v>
      </c>
      <c r="B48" s="15"/>
      <c r="C48" s="15"/>
      <c r="D48" s="15"/>
      <c r="E48" s="15"/>
      <c r="F48" s="15"/>
      <c r="G48" s="15"/>
      <c r="H48" s="15"/>
      <c r="I48" s="15"/>
    </row>
    <row r="49" spans="1:9" ht="63.65" customHeight="1" x14ac:dyDescent="0.35">
      <c r="A49" s="8" t="s">
        <v>0</v>
      </c>
      <c r="B49" s="1" t="s">
        <v>1</v>
      </c>
      <c r="C49" s="1" t="s">
        <v>46</v>
      </c>
      <c r="D49" s="1" t="s">
        <v>76</v>
      </c>
      <c r="E49" s="1" t="s">
        <v>77</v>
      </c>
      <c r="F49" s="1" t="s">
        <v>43</v>
      </c>
      <c r="G49" s="1" t="s">
        <v>78</v>
      </c>
      <c r="H49" s="1" t="s">
        <v>44</v>
      </c>
      <c r="I49" s="1" t="s">
        <v>79</v>
      </c>
    </row>
    <row r="50" spans="1:9" x14ac:dyDescent="0.35">
      <c r="A50" s="2">
        <v>1</v>
      </c>
      <c r="B50" s="9" t="s">
        <v>74</v>
      </c>
      <c r="C50" s="7">
        <f>250*2*8*(1-0.06)</f>
        <v>3760</v>
      </c>
      <c r="D50" s="7">
        <f>D12</f>
        <v>2</v>
      </c>
      <c r="E50" s="12">
        <v>1.03</v>
      </c>
      <c r="F50" s="4">
        <f>C3</f>
        <v>2.5000000000000001E-2</v>
      </c>
      <c r="G50" s="7">
        <f>ROUNDUP(C50*D50*E50/F50, 0)</f>
        <v>309824</v>
      </c>
      <c r="H50" s="7">
        <f>D3</f>
        <v>160000</v>
      </c>
      <c r="I50" s="5">
        <f>H50*F50/(C50*D50*E50)</f>
        <v>0.51642222681264194</v>
      </c>
    </row>
    <row r="51" spans="1:9" x14ac:dyDescent="0.35">
      <c r="A51" s="2">
        <v>2</v>
      </c>
      <c r="B51" s="9" t="s">
        <v>27</v>
      </c>
      <c r="C51" s="7">
        <f t="shared" ref="C51:C54" si="12">250*2*8*(1-0.06)</f>
        <v>3760</v>
      </c>
      <c r="D51" s="7">
        <f t="shared" ref="D51:D54" si="13">D13</f>
        <v>2</v>
      </c>
      <c r="E51" s="12">
        <v>1.03</v>
      </c>
      <c r="F51" s="4">
        <f t="shared" ref="F51:F54" si="14">C4</f>
        <v>2.8333333333333332E-2</v>
      </c>
      <c r="G51" s="7">
        <f t="shared" ref="G51:G54" si="15">ROUNDUP(C51*D51*E51/F51, 0)</f>
        <v>273375</v>
      </c>
      <c r="H51" s="7">
        <f t="shared" ref="H51:H54" si="16">D4</f>
        <v>160000</v>
      </c>
      <c r="I51" s="5">
        <f t="shared" ref="I51:I54" si="17">H51*F51/(C51*D51*E51)</f>
        <v>0.5852785237209942</v>
      </c>
    </row>
    <row r="52" spans="1:9" x14ac:dyDescent="0.35">
      <c r="A52" s="2">
        <v>3</v>
      </c>
      <c r="B52" s="9" t="s">
        <v>28</v>
      </c>
      <c r="C52" s="7">
        <f t="shared" si="12"/>
        <v>3760</v>
      </c>
      <c r="D52" s="7">
        <f t="shared" si="13"/>
        <v>2</v>
      </c>
      <c r="E52" s="12">
        <v>1.03</v>
      </c>
      <c r="F52" s="4">
        <f t="shared" si="14"/>
        <v>4.3333333333333335E-2</v>
      </c>
      <c r="G52" s="7">
        <f t="shared" si="15"/>
        <v>178745</v>
      </c>
      <c r="H52" s="7">
        <f t="shared" si="16"/>
        <v>160000</v>
      </c>
      <c r="I52" s="5">
        <f t="shared" si="17"/>
        <v>0.89513185980857957</v>
      </c>
    </row>
    <row r="53" spans="1:9" ht="29" x14ac:dyDescent="0.35">
      <c r="A53" s="2">
        <v>4</v>
      </c>
      <c r="B53" s="9" t="s">
        <v>29</v>
      </c>
      <c r="C53" s="7">
        <f t="shared" si="12"/>
        <v>3760</v>
      </c>
      <c r="D53" s="7">
        <f t="shared" si="13"/>
        <v>2</v>
      </c>
      <c r="E53" s="12">
        <v>1.03</v>
      </c>
      <c r="F53" s="4">
        <f t="shared" si="14"/>
        <v>2.8333333333333332E-2</v>
      </c>
      <c r="G53" s="7">
        <f t="shared" si="15"/>
        <v>273375</v>
      </c>
      <c r="H53" s="7">
        <f t="shared" si="16"/>
        <v>160000</v>
      </c>
      <c r="I53" s="5">
        <f t="shared" si="17"/>
        <v>0.5852785237209942</v>
      </c>
    </row>
    <row r="54" spans="1:9" x14ac:dyDescent="0.35">
      <c r="A54" s="2">
        <v>5</v>
      </c>
      <c r="B54" s="9" t="s">
        <v>30</v>
      </c>
      <c r="C54" s="7">
        <f t="shared" si="12"/>
        <v>3760</v>
      </c>
      <c r="D54" s="7">
        <f t="shared" si="13"/>
        <v>2</v>
      </c>
      <c r="E54" s="12">
        <v>1.03</v>
      </c>
      <c r="F54" s="4">
        <f t="shared" si="14"/>
        <v>3.1666666666666662E-2</v>
      </c>
      <c r="G54" s="7">
        <f t="shared" si="15"/>
        <v>244598</v>
      </c>
      <c r="H54" s="7">
        <f t="shared" si="16"/>
        <v>160000</v>
      </c>
      <c r="I54" s="5">
        <f t="shared" si="17"/>
        <v>0.65413482062934647</v>
      </c>
    </row>
    <row r="56" spans="1:9" x14ac:dyDescent="0.35">
      <c r="A56" s="15" t="s">
        <v>80</v>
      </c>
      <c r="B56" s="15"/>
      <c r="C56" s="15"/>
      <c r="D56" s="15"/>
      <c r="E56" s="15"/>
      <c r="F56" s="15"/>
    </row>
    <row r="57" spans="1:9" ht="29" x14ac:dyDescent="0.35">
      <c r="A57" s="1" t="s">
        <v>81</v>
      </c>
      <c r="B57" s="1" t="s">
        <v>82</v>
      </c>
      <c r="C57" s="1" t="s">
        <v>83</v>
      </c>
      <c r="D57" s="1" t="s">
        <v>84</v>
      </c>
      <c r="E57" s="1" t="s">
        <v>85</v>
      </c>
      <c r="F57" s="1" t="s">
        <v>86</v>
      </c>
    </row>
    <row r="58" spans="1:9" x14ac:dyDescent="0.35">
      <c r="A58" s="5">
        <f>(30*25*15*7800*K3*1000)/360/1000000000</f>
        <v>39</v>
      </c>
      <c r="B58" s="7">
        <f>A58*40*350</f>
        <v>546000</v>
      </c>
      <c r="C58" s="7">
        <f>B58/2</f>
        <v>273000</v>
      </c>
      <c r="D58" s="7">
        <f>A58*2*350</f>
        <v>27300</v>
      </c>
      <c r="E58" s="7">
        <v>0</v>
      </c>
      <c r="F58" s="7">
        <f>C58+D58+E58</f>
        <v>300300</v>
      </c>
    </row>
    <row r="60" spans="1:9" x14ac:dyDescent="0.35">
      <c r="A60" s="15" t="s">
        <v>88</v>
      </c>
      <c r="B60" s="15"/>
      <c r="C60" s="15"/>
      <c r="D60" s="15"/>
    </row>
    <row r="61" spans="1:9" ht="58" x14ac:dyDescent="0.35">
      <c r="A61" s="1" t="s">
        <v>89</v>
      </c>
      <c r="B61" s="1" t="s">
        <v>90</v>
      </c>
      <c r="C61" s="1" t="s">
        <v>91</v>
      </c>
      <c r="D61" s="1" t="s">
        <v>92</v>
      </c>
    </row>
    <row r="62" spans="1:9" x14ac:dyDescent="0.35">
      <c r="A62" s="5">
        <f>(30*25*15*7800*350)/1000000000</f>
        <v>30.712499999999999</v>
      </c>
      <c r="B62" s="5">
        <f>(A62*K3*1000)/(0.45*360)</f>
        <v>30333.333333333332</v>
      </c>
      <c r="C62" s="5">
        <f>0.45+(1-0.45)/2</f>
        <v>0.72500000000000009</v>
      </c>
      <c r="D62" s="5">
        <f>B62*7*C62</f>
        <v>153941.66666666666</v>
      </c>
    </row>
    <row r="64" spans="1:9" x14ac:dyDescent="0.35">
      <c r="A64" s="15" t="s">
        <v>93</v>
      </c>
      <c r="B64" s="15"/>
    </row>
    <row r="65" spans="1:5" ht="43.5" x14ac:dyDescent="0.35">
      <c r="A65" s="1" t="s">
        <v>94</v>
      </c>
      <c r="B65" s="1" t="s">
        <v>95</v>
      </c>
      <c r="D65" s="1" t="s">
        <v>97</v>
      </c>
      <c r="E65" s="1" t="s">
        <v>96</v>
      </c>
    </row>
    <row r="66" spans="1:5" x14ac:dyDescent="0.35">
      <c r="A66" s="7">
        <f>A62/0.45</f>
        <v>68.25</v>
      </c>
      <c r="B66" s="7">
        <f>A66*(K3*1000/250)*3</f>
        <v>131040</v>
      </c>
      <c r="D66" s="5">
        <f>F58+D62+B66</f>
        <v>585281.66666666663</v>
      </c>
      <c r="E66" s="7">
        <f>250*8*(1-0.15)</f>
        <v>1700</v>
      </c>
    </row>
    <row r="68" spans="1:5" x14ac:dyDescent="0.35">
      <c r="A68" s="15" t="s">
        <v>98</v>
      </c>
      <c r="B68" s="15"/>
      <c r="C68" s="15"/>
      <c r="D68" s="15"/>
      <c r="E68" s="15"/>
    </row>
    <row r="69" spans="1:5" ht="29" x14ac:dyDescent="0.35">
      <c r="A69" s="1" t="s">
        <v>0</v>
      </c>
      <c r="B69" s="1" t="s">
        <v>99</v>
      </c>
      <c r="C69" s="1" t="s">
        <v>32</v>
      </c>
      <c r="D69" s="1" t="s">
        <v>43</v>
      </c>
      <c r="E69" s="1" t="s">
        <v>100</v>
      </c>
    </row>
    <row r="70" spans="1:5" x14ac:dyDescent="0.35">
      <c r="A70" s="9">
        <v>1</v>
      </c>
      <c r="B70" s="9" t="s">
        <v>74</v>
      </c>
      <c r="C70" s="14" t="s">
        <v>101</v>
      </c>
      <c r="D70" s="4">
        <f>C3</f>
        <v>2.5000000000000001E-2</v>
      </c>
      <c r="E70" s="7">
        <f>ROUNDUP((D70*$K$3*1000)/($E$66*1.03), 0)</f>
        <v>3</v>
      </c>
    </row>
    <row r="71" spans="1:5" x14ac:dyDescent="0.35">
      <c r="A71" s="9">
        <v>2</v>
      </c>
      <c r="B71" s="9" t="s">
        <v>27</v>
      </c>
      <c r="C71" s="14" t="s">
        <v>102</v>
      </c>
      <c r="D71" s="4">
        <f t="shared" ref="D71:D74" si="18">C4</f>
        <v>2.8333333333333332E-2</v>
      </c>
      <c r="E71" s="7">
        <f t="shared" ref="E71:E74" si="19">ROUNDUP((D71*$K$3*1000)/($E$66*1.03), 0)</f>
        <v>3</v>
      </c>
    </row>
    <row r="72" spans="1:5" x14ac:dyDescent="0.35">
      <c r="A72" s="9">
        <v>3</v>
      </c>
      <c r="B72" s="9" t="s">
        <v>28</v>
      </c>
      <c r="C72" s="14" t="s">
        <v>103</v>
      </c>
      <c r="D72" s="4">
        <f t="shared" si="18"/>
        <v>4.3333333333333335E-2</v>
      </c>
      <c r="E72" s="7">
        <f t="shared" si="19"/>
        <v>4</v>
      </c>
    </row>
    <row r="73" spans="1:5" ht="29" x14ac:dyDescent="0.35">
      <c r="A73" s="9">
        <v>4</v>
      </c>
      <c r="B73" s="9" t="s">
        <v>29</v>
      </c>
      <c r="C73" s="14" t="s">
        <v>103</v>
      </c>
      <c r="D73" s="4">
        <f t="shared" si="18"/>
        <v>2.8333333333333332E-2</v>
      </c>
      <c r="E73" s="7">
        <f t="shared" si="19"/>
        <v>3</v>
      </c>
    </row>
    <row r="74" spans="1:5" x14ac:dyDescent="0.35">
      <c r="A74" s="9">
        <v>5</v>
      </c>
      <c r="B74" s="9" t="s">
        <v>30</v>
      </c>
      <c r="C74" s="14" t="s">
        <v>102</v>
      </c>
      <c r="D74" s="4">
        <f t="shared" si="18"/>
        <v>3.1666666666666662E-2</v>
      </c>
      <c r="E74" s="7">
        <f t="shared" si="19"/>
        <v>3</v>
      </c>
    </row>
    <row r="75" spans="1:5" x14ac:dyDescent="0.35">
      <c r="A75" s="21" t="s">
        <v>9</v>
      </c>
      <c r="B75" s="21"/>
      <c r="C75" s="21"/>
      <c r="D75" s="21"/>
      <c r="E75" s="7">
        <f>SUM(E70:E74)</f>
        <v>16</v>
      </c>
    </row>
    <row r="77" spans="1:5" x14ac:dyDescent="0.35">
      <c r="A77" s="15" t="s">
        <v>104</v>
      </c>
      <c r="B77" s="15"/>
      <c r="C77" s="15"/>
      <c r="D77" s="15"/>
      <c r="E77" s="15"/>
    </row>
    <row r="78" spans="1:5" ht="29" x14ac:dyDescent="0.35">
      <c r="A78" s="1" t="s">
        <v>0</v>
      </c>
      <c r="B78" s="1" t="s">
        <v>99</v>
      </c>
      <c r="C78" s="1" t="s">
        <v>43</v>
      </c>
      <c r="D78" s="1" t="s">
        <v>105</v>
      </c>
      <c r="E78" s="1" t="s">
        <v>106</v>
      </c>
    </row>
    <row r="79" spans="1:5" x14ac:dyDescent="0.35">
      <c r="A79" s="9">
        <v>1</v>
      </c>
      <c r="B79" s="9" t="s">
        <v>74</v>
      </c>
      <c r="C79" s="4">
        <f>C3</f>
        <v>2.5000000000000001E-2</v>
      </c>
      <c r="D79" s="7">
        <f>L14</f>
        <v>28</v>
      </c>
      <c r="E79" s="5">
        <f>C79*D79*$K$3*1000</f>
        <v>112000.00000000001</v>
      </c>
    </row>
    <row r="80" spans="1:5" x14ac:dyDescent="0.35">
      <c r="A80" s="9">
        <v>2</v>
      </c>
      <c r="B80" s="9" t="s">
        <v>27</v>
      </c>
      <c r="C80" s="4">
        <f t="shared" ref="C80:C83" si="20">C4</f>
        <v>2.8333333333333332E-2</v>
      </c>
      <c r="D80" s="7">
        <f t="shared" ref="D80:D83" si="21">L15</f>
        <v>22</v>
      </c>
      <c r="E80" s="5">
        <f t="shared" ref="E80:E83" si="22">C80*D80*$K$3*1000</f>
        <v>99733.333333333314</v>
      </c>
    </row>
    <row r="81" spans="1:9" x14ac:dyDescent="0.35">
      <c r="A81" s="9">
        <v>3</v>
      </c>
      <c r="B81" s="9" t="s">
        <v>28</v>
      </c>
      <c r="C81" s="4">
        <f t="shared" si="20"/>
        <v>4.3333333333333335E-2</v>
      </c>
      <c r="D81" s="7">
        <f t="shared" si="21"/>
        <v>35</v>
      </c>
      <c r="E81" s="5">
        <f t="shared" si="22"/>
        <v>242666.66666666666</v>
      </c>
    </row>
    <row r="82" spans="1:9" ht="29" x14ac:dyDescent="0.35">
      <c r="A82" s="9">
        <v>4</v>
      </c>
      <c r="B82" s="9" t="s">
        <v>29</v>
      </c>
      <c r="C82" s="4">
        <f t="shared" si="20"/>
        <v>2.8333333333333332E-2</v>
      </c>
      <c r="D82" s="7">
        <f t="shared" si="21"/>
        <v>35</v>
      </c>
      <c r="E82" s="5">
        <f t="shared" si="22"/>
        <v>158666.66666666666</v>
      </c>
    </row>
    <row r="83" spans="1:9" x14ac:dyDescent="0.35">
      <c r="A83" s="9">
        <v>5</v>
      </c>
      <c r="B83" s="9" t="s">
        <v>30</v>
      </c>
      <c r="C83" s="4">
        <f t="shared" si="20"/>
        <v>3.1666666666666662E-2</v>
      </c>
      <c r="D83" s="7">
        <f t="shared" si="21"/>
        <v>22</v>
      </c>
      <c r="E83" s="5">
        <f t="shared" si="22"/>
        <v>111466.66666666664</v>
      </c>
    </row>
    <row r="84" spans="1:9" x14ac:dyDescent="0.35">
      <c r="A84" s="16" t="s">
        <v>9</v>
      </c>
      <c r="B84" s="17"/>
      <c r="C84" s="17"/>
      <c r="D84" s="18"/>
      <c r="E84" s="5">
        <f>SUM(E79:E83)</f>
        <v>724533.33333333326</v>
      </c>
    </row>
    <row r="86" spans="1:9" x14ac:dyDescent="0.35">
      <c r="A86" s="15" t="s">
        <v>107</v>
      </c>
      <c r="B86" s="15"/>
      <c r="C86" s="15"/>
      <c r="D86" s="15"/>
    </row>
    <row r="87" spans="1:9" ht="43.5" x14ac:dyDescent="0.35">
      <c r="A87" s="1" t="s">
        <v>108</v>
      </c>
      <c r="B87" s="1" t="s">
        <v>109</v>
      </c>
      <c r="C87" s="1" t="s">
        <v>110</v>
      </c>
      <c r="D87" s="1" t="s">
        <v>111</v>
      </c>
    </row>
    <row r="88" spans="1:9" x14ac:dyDescent="0.35">
      <c r="A88" s="5">
        <f>30*25*15*7800/1000000000</f>
        <v>8.7749999999999995E-2</v>
      </c>
      <c r="B88" s="5">
        <f>A88/N3</f>
        <v>0.10968749999999999</v>
      </c>
      <c r="C88" s="5">
        <f>A88*350</f>
        <v>30.712499999999999</v>
      </c>
      <c r="D88" s="5">
        <f>A88*(1-N3)*1500/1000</f>
        <v>2.6324999999999994E-2</v>
      </c>
    </row>
    <row r="90" spans="1:9" x14ac:dyDescent="0.35">
      <c r="A90" s="15" t="s">
        <v>112</v>
      </c>
      <c r="B90" s="15"/>
      <c r="C90" s="15"/>
    </row>
    <row r="91" spans="1:9" ht="29" x14ac:dyDescent="0.35">
      <c r="A91" s="1" t="s">
        <v>113</v>
      </c>
      <c r="B91" s="1" t="s">
        <v>114</v>
      </c>
      <c r="C91" s="1" t="s">
        <v>115</v>
      </c>
      <c r="E91" s="14" t="s">
        <v>136</v>
      </c>
      <c r="F91" s="14" t="s">
        <v>137</v>
      </c>
      <c r="G91" s="14" t="s">
        <v>138</v>
      </c>
      <c r="H91" s="14" t="s">
        <v>139</v>
      </c>
      <c r="I91" s="14" t="s">
        <v>140</v>
      </c>
    </row>
    <row r="92" spans="1:9" ht="29" x14ac:dyDescent="0.35">
      <c r="A92" s="1" t="s">
        <v>116</v>
      </c>
      <c r="B92" s="9" t="s">
        <v>117</v>
      </c>
      <c r="C92" s="5">
        <f>C88</f>
        <v>30.712499999999999</v>
      </c>
      <c r="E92" s="5">
        <f>(1800+4500+900)*1000+(E46-E45)</f>
        <v>10902800</v>
      </c>
      <c r="F92" s="5">
        <f>(980+5800+360)*1000+E45</f>
        <v>7189538</v>
      </c>
      <c r="G92" s="5">
        <f>E84</f>
        <v>724533.33333333326</v>
      </c>
      <c r="H92" s="13">
        <f>E92/G92</f>
        <v>15.048030916451971</v>
      </c>
      <c r="I92" s="13">
        <f>F92/G92</f>
        <v>9.9229913507545096</v>
      </c>
    </row>
    <row r="93" spans="1:9" ht="58" x14ac:dyDescent="0.35">
      <c r="A93" s="1" t="s">
        <v>118</v>
      </c>
      <c r="B93" s="9" t="s">
        <v>119</v>
      </c>
      <c r="C93" s="5"/>
    </row>
    <row r="94" spans="1:9" ht="29" x14ac:dyDescent="0.35">
      <c r="A94" s="1" t="s">
        <v>120</v>
      </c>
      <c r="B94" s="9" t="s">
        <v>121</v>
      </c>
      <c r="C94" s="5">
        <f>C92*0.08</f>
        <v>2.4569999999999999</v>
      </c>
    </row>
    <row r="95" spans="1:9" ht="43.5" x14ac:dyDescent="0.35">
      <c r="A95" s="1" t="s">
        <v>122</v>
      </c>
      <c r="B95" s="9" t="s">
        <v>123</v>
      </c>
      <c r="C95" s="5"/>
    </row>
    <row r="96" spans="1:9" x14ac:dyDescent="0.35">
      <c r="A96" s="1" t="s">
        <v>124</v>
      </c>
      <c r="B96" s="9" t="s">
        <v>125</v>
      </c>
      <c r="C96" s="5">
        <f>-D88</f>
        <v>-2.6324999999999994E-2</v>
      </c>
    </row>
    <row r="97" spans="1:3" ht="58" x14ac:dyDescent="0.35">
      <c r="A97" s="1" t="s">
        <v>126</v>
      </c>
      <c r="B97" s="9" t="s">
        <v>127</v>
      </c>
      <c r="C97" s="5">
        <f>SUMPRODUCT(C79:C83,D79:D83)</f>
        <v>4.5283333333333333</v>
      </c>
    </row>
    <row r="98" spans="1:3" ht="58" x14ac:dyDescent="0.35">
      <c r="A98" s="1" t="s">
        <v>128</v>
      </c>
      <c r="B98" s="9" t="s">
        <v>129</v>
      </c>
      <c r="C98" s="5">
        <f>C97*0.15</f>
        <v>0.67925000000000002</v>
      </c>
    </row>
    <row r="99" spans="1:3" ht="29" x14ac:dyDescent="0.35">
      <c r="A99" s="1" t="s">
        <v>130</v>
      </c>
      <c r="B99" s="9" t="s">
        <v>131</v>
      </c>
      <c r="C99" s="5">
        <f>(C97+C98)*0.3</f>
        <v>1.5622749999999999</v>
      </c>
    </row>
    <row r="100" spans="1:3" ht="58" x14ac:dyDescent="0.35">
      <c r="A100" s="1" t="s">
        <v>132</v>
      </c>
      <c r="B100" s="9" t="s">
        <v>133</v>
      </c>
      <c r="C100" s="5">
        <f>C97*H92</f>
        <v>68.142500000000013</v>
      </c>
    </row>
    <row r="101" spans="1:3" ht="29" x14ac:dyDescent="0.35">
      <c r="A101" s="1" t="s">
        <v>134</v>
      </c>
      <c r="B101" s="9" t="s">
        <v>135</v>
      </c>
      <c r="C101" s="5">
        <f>C97*I92</f>
        <v>44.934612500000007</v>
      </c>
    </row>
    <row r="102" spans="1:3" ht="31.25" customHeight="1" x14ac:dyDescent="0.35">
      <c r="A102" s="19" t="s">
        <v>141</v>
      </c>
      <c r="B102" s="20"/>
      <c r="C102" s="5">
        <f>SUM(C92:C101)</f>
        <v>152.99014583333337</v>
      </c>
    </row>
  </sheetData>
  <mergeCells count="33">
    <mergeCell ref="A36:C36"/>
    <mergeCell ref="A29:D29"/>
    <mergeCell ref="A46:D46"/>
    <mergeCell ref="A38:E38"/>
    <mergeCell ref="A48:I48"/>
    <mergeCell ref="O1:S1"/>
    <mergeCell ref="L5:M5"/>
    <mergeCell ref="J5:J6"/>
    <mergeCell ref="K5:K6"/>
    <mergeCell ref="A8:F8"/>
    <mergeCell ref="A1:G1"/>
    <mergeCell ref="A17:D17"/>
    <mergeCell ref="A10:E10"/>
    <mergeCell ref="L1:N1"/>
    <mergeCell ref="J1:J2"/>
    <mergeCell ref="K1:K2"/>
    <mergeCell ref="A27:E27"/>
    <mergeCell ref="A19:F19"/>
    <mergeCell ref="B20:B21"/>
    <mergeCell ref="C20:C21"/>
    <mergeCell ref="A20:A21"/>
    <mergeCell ref="D20:E20"/>
    <mergeCell ref="F20:F21"/>
    <mergeCell ref="A56:F56"/>
    <mergeCell ref="A60:D60"/>
    <mergeCell ref="A64:B64"/>
    <mergeCell ref="A75:D75"/>
    <mergeCell ref="A68:E68"/>
    <mergeCell ref="A77:E77"/>
    <mergeCell ref="A84:D84"/>
    <mergeCell ref="A86:D86"/>
    <mergeCell ref="A102:B102"/>
    <mergeCell ref="A90:C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Кузин</dc:creator>
  <cp:lastModifiedBy>Егор Губин</cp:lastModifiedBy>
  <dcterms:created xsi:type="dcterms:W3CDTF">2024-09-13T17:30:40Z</dcterms:created>
  <dcterms:modified xsi:type="dcterms:W3CDTF">2025-09-26T08:27:49Z</dcterms:modified>
</cp:coreProperties>
</file>