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0515" windowHeight="4695" firstSheet="2" activeTab="8"/>
  </bookViews>
  <sheets>
    <sheet name="Sheet1" sheetId="1" r:id="rId1"/>
    <sheet name="JAN 2017" sheetId="5" r:id="rId2"/>
    <sheet name="FEB 2017" sheetId="6" r:id="rId3"/>
    <sheet name="MAR 2017" sheetId="7" r:id="rId4"/>
    <sheet name="APRIL 2017" sheetId="8" r:id="rId5"/>
    <sheet name="MEI 2017" sheetId="9" r:id="rId6"/>
    <sheet name="JUNI2017" sheetId="10" r:id="rId7"/>
    <sheet name="JULI 2017" sheetId="11" r:id="rId8"/>
    <sheet name="PERBAIKAN JULI 2017" sheetId="2" r:id="rId9"/>
    <sheet name="Sheet3" sheetId="3" r:id="rId10"/>
    <sheet name="Sheet4" sheetId="12" r:id="rId11"/>
  </sheets>
  <definedNames>
    <definedName name="_xlnm.Print_Area" localSheetId="4">'APRIL 2017'!$A$1:$AE$192</definedName>
    <definedName name="_xlnm.Print_Area" localSheetId="2">'FEB 2017'!$A$1:$AE$192</definedName>
    <definedName name="_xlnm.Print_Area" localSheetId="1">'JAN 2017'!$A$1:$AE$192</definedName>
    <definedName name="_xlnm.Print_Area" localSheetId="7">'JULI 2017'!$A$1:$AE$60</definedName>
    <definedName name="_xlnm.Print_Area" localSheetId="6">JUNI2017!$A$1:$AE$192</definedName>
    <definedName name="_xlnm.Print_Area" localSheetId="3">'MAR 2017'!$A$1:$AE$192</definedName>
    <definedName name="_xlnm.Print_Area" localSheetId="5">'MEI 2017'!$A$1:$AE$192</definedName>
    <definedName name="_xlnm.Print_Titles" localSheetId="4">'APRIL 2017'!$A$10:$IV$16</definedName>
    <definedName name="_xlnm.Print_Titles" localSheetId="2">'FEB 2017'!$A$10:$IV$16</definedName>
    <definedName name="_xlnm.Print_Titles" localSheetId="1">'JAN 2017'!$A$10:$IV$16</definedName>
    <definedName name="_xlnm.Print_Titles" localSheetId="7">'JULI 2017'!$A$10:$IV$16</definedName>
    <definedName name="_xlnm.Print_Titles" localSheetId="6">JUNI2017!$A$10:$IV$16</definedName>
    <definedName name="_xlnm.Print_Titles" localSheetId="3">'MAR 2017'!$A$10:$IV$16</definedName>
    <definedName name="_xlnm.Print_Titles" localSheetId="5">'MEI 2017'!$A$10:$IV$16</definedName>
  </definedNames>
  <calcPr calcId="144525"/>
</workbook>
</file>

<file path=xl/calcChain.xml><?xml version="1.0" encoding="utf-8"?>
<calcChain xmlns="http://schemas.openxmlformats.org/spreadsheetml/2006/main">
  <c r="Z184" i="2" l="1"/>
  <c r="Q184" i="2"/>
  <c r="O181" i="2"/>
  <c r="W181" i="2" s="1"/>
  <c r="X181" i="2" s="1"/>
  <c r="AA178" i="2"/>
  <c r="O178" i="2"/>
  <c r="W178" i="2" s="1"/>
  <c r="X178" i="2" s="1"/>
  <c r="AA175" i="2"/>
  <c r="O175" i="2"/>
  <c r="W175" i="2" s="1"/>
  <c r="X175" i="2" s="1"/>
  <c r="W174" i="2"/>
  <c r="X174" i="2" s="1"/>
  <c r="O174" i="2"/>
  <c r="AA174" i="2" s="1"/>
  <c r="O171" i="2"/>
  <c r="V171" i="2" s="1"/>
  <c r="W171" i="2" s="1"/>
  <c r="X171" i="2" s="1"/>
  <c r="O170" i="2"/>
  <c r="O169" i="2"/>
  <c r="O168" i="2"/>
  <c r="V168" i="2" s="1"/>
  <c r="V166" i="2"/>
  <c r="W166" i="2" s="1"/>
  <c r="X166" i="2" s="1"/>
  <c r="O166" i="2"/>
  <c r="O165" i="2"/>
  <c r="O164" i="2"/>
  <c r="W163" i="2"/>
  <c r="X163" i="2" s="1"/>
  <c r="O163" i="2"/>
  <c r="AA163" i="2" s="1"/>
  <c r="O162" i="2"/>
  <c r="O161" i="2"/>
  <c r="W157" i="2"/>
  <c r="X157" i="2" s="1"/>
  <c r="V157" i="2"/>
  <c r="O157" i="2"/>
  <c r="AA154" i="2"/>
  <c r="O154" i="2"/>
  <c r="W154" i="2" s="1"/>
  <c r="X154" i="2" s="1"/>
  <c r="V153" i="2"/>
  <c r="O153" i="2"/>
  <c r="W152" i="2"/>
  <c r="X152" i="2" s="1"/>
  <c r="V152" i="2"/>
  <c r="AA152" i="2" s="1"/>
  <c r="O152" i="2"/>
  <c r="V151" i="2"/>
  <c r="O151" i="2"/>
  <c r="W150" i="2"/>
  <c r="X150" i="2" s="1"/>
  <c r="V150" i="2"/>
  <c r="O150" i="2"/>
  <c r="AA150" i="2" s="1"/>
  <c r="V149" i="2"/>
  <c r="W149" i="2" s="1"/>
  <c r="X149" i="2" s="1"/>
  <c r="O149" i="2"/>
  <c r="O145" i="2"/>
  <c r="AA145" i="2" s="1"/>
  <c r="O143" i="2"/>
  <c r="AA143" i="2" s="1"/>
  <c r="W141" i="2"/>
  <c r="X141" i="2" s="1"/>
  <c r="O141" i="2"/>
  <c r="AA141" i="2" s="1"/>
  <c r="V137" i="2"/>
  <c r="W137" i="2" s="1"/>
  <c r="X137" i="2" s="1"/>
  <c r="O137" i="2"/>
  <c r="V136" i="2"/>
  <c r="O136" i="2"/>
  <c r="W135" i="2"/>
  <c r="X135" i="2" s="1"/>
  <c r="O135" i="2"/>
  <c r="AA135" i="2" s="1"/>
  <c r="O134" i="2"/>
  <c r="AA134" i="2" s="1"/>
  <c r="O133" i="2"/>
  <c r="AA133" i="2" s="1"/>
  <c r="O132" i="2"/>
  <c r="AA132" i="2" s="1"/>
  <c r="V131" i="2"/>
  <c r="O131" i="2"/>
  <c r="AA130" i="2"/>
  <c r="O130" i="2"/>
  <c r="W130" i="2" s="1"/>
  <c r="X130" i="2" s="1"/>
  <c r="AA129" i="2"/>
  <c r="X129" i="2"/>
  <c r="W129" i="2"/>
  <c r="O129" i="2"/>
  <c r="O128" i="2"/>
  <c r="W128" i="2" s="1"/>
  <c r="X128" i="2" s="1"/>
  <c r="O127" i="2"/>
  <c r="AA127" i="2" s="1"/>
  <c r="V126" i="2"/>
  <c r="W126" i="2" s="1"/>
  <c r="X126" i="2" s="1"/>
  <c r="O126" i="2"/>
  <c r="O122" i="2"/>
  <c r="W121" i="2"/>
  <c r="X121" i="2" s="1"/>
  <c r="O121" i="2"/>
  <c r="AA121" i="2" s="1"/>
  <c r="O117" i="2"/>
  <c r="W117" i="2" s="1"/>
  <c r="X117" i="2" s="1"/>
  <c r="V116" i="2"/>
  <c r="AA116" i="2" s="1"/>
  <c r="O116" i="2"/>
  <c r="O112" i="2"/>
  <c r="W112" i="2" s="1"/>
  <c r="X112" i="2" s="1"/>
  <c r="Y111" i="2"/>
  <c r="Y110" i="2"/>
  <c r="Y109" i="2"/>
  <c r="Y108" i="2"/>
  <c r="Y107" i="2"/>
  <c r="O106" i="2"/>
  <c r="O105" i="2"/>
  <c r="W105" i="2" s="1"/>
  <c r="X105" i="2" s="1"/>
  <c r="O104" i="2"/>
  <c r="W104" i="2" s="1"/>
  <c r="X104" i="2" s="1"/>
  <c r="W103" i="2"/>
  <c r="X103" i="2" s="1"/>
  <c r="O103" i="2"/>
  <c r="AA103" i="2" s="1"/>
  <c r="W102" i="2"/>
  <c r="X102" i="2" s="1"/>
  <c r="O102" i="2"/>
  <c r="O101" i="2"/>
  <c r="AA101" i="2" s="1"/>
  <c r="O100" i="2"/>
  <c r="W100" i="2" s="1"/>
  <c r="X100" i="2" s="1"/>
  <c r="O99" i="2"/>
  <c r="O98" i="2"/>
  <c r="O97" i="2"/>
  <c r="AA97" i="2" s="1"/>
  <c r="X96" i="2"/>
  <c r="W96" i="2"/>
  <c r="O96" i="2"/>
  <c r="Y94" i="2"/>
  <c r="Y93" i="2"/>
  <c r="O91" i="2"/>
  <c r="W91" i="2" s="1"/>
  <c r="X91" i="2" s="1"/>
  <c r="O90" i="2"/>
  <c r="O89" i="2"/>
  <c r="W88" i="2"/>
  <c r="X88" i="2" s="1"/>
  <c r="O88" i="2"/>
  <c r="AA88" i="2" s="1"/>
  <c r="O87" i="2"/>
  <c r="W87" i="2" s="1"/>
  <c r="X87" i="2" s="1"/>
  <c r="W85" i="2"/>
  <c r="X85" i="2" s="1"/>
  <c r="O85" i="2"/>
  <c r="AA85" i="2" s="1"/>
  <c r="O84" i="2"/>
  <c r="AA84" i="2" s="1"/>
  <c r="W82" i="2"/>
  <c r="X82" i="2" s="1"/>
  <c r="O82" i="2"/>
  <c r="AA82" i="2" s="1"/>
  <c r="O79" i="2"/>
  <c r="W79" i="2" s="1"/>
  <c r="X79" i="2" s="1"/>
  <c r="W76" i="2"/>
  <c r="X76" i="2" s="1"/>
  <c r="O76" i="2"/>
  <c r="AA76" i="2" s="1"/>
  <c r="V74" i="2"/>
  <c r="O74" i="2"/>
  <c r="AA73" i="2"/>
  <c r="W73" i="2"/>
  <c r="X73" i="2" s="1"/>
  <c r="O73" i="2"/>
  <c r="V72" i="2"/>
  <c r="O72" i="2"/>
  <c r="X70" i="2"/>
  <c r="V70" i="2"/>
  <c r="O70" i="2"/>
  <c r="AA61" i="2"/>
  <c r="W61" i="2"/>
  <c r="X61" i="2" s="1"/>
  <c r="O61" i="2"/>
  <c r="O60" i="2"/>
  <c r="AA60" i="2" s="1"/>
  <c r="AA59" i="2"/>
  <c r="W59" i="2"/>
  <c r="X59" i="2" s="1"/>
  <c r="O59" i="2"/>
  <c r="O58" i="2"/>
  <c r="AA58" i="2" s="1"/>
  <c r="AA57" i="2"/>
  <c r="W57" i="2"/>
  <c r="X57" i="2" s="1"/>
  <c r="O57" i="2"/>
  <c r="O56" i="2"/>
  <c r="AA56" i="2" s="1"/>
  <c r="AA54" i="2"/>
  <c r="W54" i="2"/>
  <c r="X54" i="2" s="1"/>
  <c r="O54" i="2"/>
  <c r="V53" i="2"/>
  <c r="O53" i="2"/>
  <c r="O52" i="2"/>
  <c r="W52" i="2" s="1"/>
  <c r="X52" i="2" s="1"/>
  <c r="O51" i="2"/>
  <c r="AA51" i="2" s="1"/>
  <c r="O50" i="2"/>
  <c r="W50" i="2" s="1"/>
  <c r="X50" i="2" s="1"/>
  <c r="O49" i="2"/>
  <c r="AA49" i="2" s="1"/>
  <c r="O47" i="2"/>
  <c r="W47" i="2" s="1"/>
  <c r="X47" i="2" s="1"/>
  <c r="O46" i="2"/>
  <c r="AA46" i="2" s="1"/>
  <c r="O45" i="2"/>
  <c r="W45" i="2" s="1"/>
  <c r="X45" i="2" s="1"/>
  <c r="O44" i="2"/>
  <c r="AA44" i="2" s="1"/>
  <c r="O42" i="2"/>
  <c r="W42" i="2" s="1"/>
  <c r="X42" i="2" s="1"/>
  <c r="O41" i="2"/>
  <c r="AA41" i="2" s="1"/>
  <c r="O40" i="2"/>
  <c r="W40" i="2" s="1"/>
  <c r="X40" i="2" s="1"/>
  <c r="O39" i="2"/>
  <c r="AA39" i="2" s="1"/>
  <c r="O37" i="2"/>
  <c r="W37" i="2" s="1"/>
  <c r="X37" i="2" s="1"/>
  <c r="O36" i="2"/>
  <c r="AA36" i="2" s="1"/>
  <c r="O34" i="2"/>
  <c r="W34" i="2" s="1"/>
  <c r="X34" i="2" s="1"/>
  <c r="O33" i="2"/>
  <c r="AA33" i="2" s="1"/>
  <c r="O32" i="2"/>
  <c r="W32" i="2" s="1"/>
  <c r="X32" i="2" s="1"/>
  <c r="V30" i="2"/>
  <c r="O30" i="2"/>
  <c r="O29" i="2"/>
  <c r="AA28" i="2"/>
  <c r="O28" i="2"/>
  <c r="W28" i="2" s="1"/>
  <c r="X28" i="2" s="1"/>
  <c r="O27" i="2"/>
  <c r="W27" i="2" s="1"/>
  <c r="X27" i="2" s="1"/>
  <c r="AA26" i="2"/>
  <c r="O26" i="2"/>
  <c r="W26" i="2" s="1"/>
  <c r="X26" i="2" s="1"/>
  <c r="AA168" i="2" l="1"/>
  <c r="W168" i="2"/>
  <c r="X168" i="2" s="1"/>
  <c r="W36" i="2"/>
  <c r="X36" i="2" s="1"/>
  <c r="W44" i="2"/>
  <c r="X44" i="2" s="1"/>
  <c r="W49" i="2"/>
  <c r="X49" i="2" s="1"/>
  <c r="W53" i="2"/>
  <c r="X53" i="2" s="1"/>
  <c r="AA72" i="2"/>
  <c r="W116" i="2"/>
  <c r="X116" i="2" s="1"/>
  <c r="W127" i="2"/>
  <c r="X127" i="2" s="1"/>
  <c r="AA128" i="2"/>
  <c r="AA131" i="2"/>
  <c r="W133" i="2"/>
  <c r="X133" i="2" s="1"/>
  <c r="W151" i="2"/>
  <c r="X151" i="2" s="1"/>
  <c r="W33" i="2"/>
  <c r="X33" i="2" s="1"/>
  <c r="W39" i="2"/>
  <c r="X39" i="2" s="1"/>
  <c r="W41" i="2"/>
  <c r="X41" i="2" s="1"/>
  <c r="W46" i="2"/>
  <c r="X46" i="2" s="1"/>
  <c r="W51" i="2"/>
  <c r="X51" i="2" s="1"/>
  <c r="W97" i="2"/>
  <c r="X97" i="2" s="1"/>
  <c r="AA112" i="2"/>
  <c r="W131" i="2"/>
  <c r="X131" i="2" s="1"/>
  <c r="W136" i="2"/>
  <c r="X136" i="2" s="1"/>
  <c r="W145" i="2"/>
  <c r="X145" i="2" s="1"/>
  <c r="W153" i="2"/>
  <c r="X153" i="2" s="1"/>
  <c r="AA157" i="2"/>
  <c r="AA181" i="2"/>
  <c r="AA137" i="2"/>
  <c r="W30" i="2"/>
  <c r="X30" i="2" s="1"/>
  <c r="AA27" i="2"/>
  <c r="W29" i="2"/>
  <c r="X29" i="2" s="1"/>
  <c r="AA29" i="2"/>
  <c r="AA30" i="2"/>
  <c r="AA53" i="2"/>
  <c r="O184" i="2"/>
  <c r="P74" i="2" s="1"/>
  <c r="AA32" i="2"/>
  <c r="AA34" i="2"/>
  <c r="AA37" i="2"/>
  <c r="AA40" i="2"/>
  <c r="AA42" i="2"/>
  <c r="AA45" i="2"/>
  <c r="AA47" i="2"/>
  <c r="AA50" i="2"/>
  <c r="AA52" i="2"/>
  <c r="W56" i="2"/>
  <c r="X56" i="2" s="1"/>
  <c r="W58" i="2"/>
  <c r="X58" i="2" s="1"/>
  <c r="W60" i="2"/>
  <c r="X60" i="2" s="1"/>
  <c r="AA70" i="2"/>
  <c r="W72" i="2"/>
  <c r="X72" i="2" s="1"/>
  <c r="AA74" i="2"/>
  <c r="AA79" i="2"/>
  <c r="W90" i="2"/>
  <c r="X90" i="2" s="1"/>
  <c r="W99" i="2"/>
  <c r="X99" i="2" s="1"/>
  <c r="AA102" i="2"/>
  <c r="AA104" i="2"/>
  <c r="AA122" i="2"/>
  <c r="W122" i="2"/>
  <c r="X122" i="2" s="1"/>
  <c r="AA126" i="2"/>
  <c r="W70" i="2"/>
  <c r="W74" i="2"/>
  <c r="X74" i="2" s="1"/>
  <c r="W84" i="2"/>
  <c r="X84" i="2" s="1"/>
  <c r="AA87" i="2"/>
  <c r="AA96" i="2"/>
  <c r="W101" i="2"/>
  <c r="X101" i="2" s="1"/>
  <c r="AA89" i="2"/>
  <c r="AA90" i="2"/>
  <c r="AA98" i="2"/>
  <c r="AA99" i="2"/>
  <c r="AA106" i="2"/>
  <c r="P60" i="2"/>
  <c r="W89" i="2"/>
  <c r="X89" i="2" s="1"/>
  <c r="AA91" i="2"/>
  <c r="W98" i="2"/>
  <c r="X98" i="2" s="1"/>
  <c r="AA100" i="2"/>
  <c r="AA105" i="2"/>
  <c r="W106" i="2"/>
  <c r="X106" i="2" s="1"/>
  <c r="AA117" i="2"/>
  <c r="W132" i="2"/>
  <c r="X132" i="2" s="1"/>
  <c r="W134" i="2"/>
  <c r="X134" i="2" s="1"/>
  <c r="AA136" i="2"/>
  <c r="W143" i="2"/>
  <c r="X143" i="2" s="1"/>
  <c r="AA149" i="2"/>
  <c r="AA153" i="2"/>
  <c r="V161" i="2"/>
  <c r="W161" i="2" s="1"/>
  <c r="X161" i="2" s="1"/>
  <c r="V164" i="2"/>
  <c r="W164" i="2" s="1"/>
  <c r="X164" i="2" s="1"/>
  <c r="V169" i="2"/>
  <c r="W169" i="2" s="1"/>
  <c r="X169" i="2" s="1"/>
  <c r="AA151" i="2"/>
  <c r="AA166" i="2"/>
  <c r="AA171" i="2"/>
  <c r="P134" i="2"/>
  <c r="V162" i="2"/>
  <c r="W162" i="2" s="1"/>
  <c r="X162" i="2" s="1"/>
  <c r="V165" i="2"/>
  <c r="W165" i="2" s="1"/>
  <c r="X165" i="2" s="1"/>
  <c r="V170" i="2"/>
  <c r="W170" i="2" s="1"/>
  <c r="X170" i="2" s="1"/>
  <c r="Y150" i="11"/>
  <c r="Y70" i="11"/>
  <c r="Y137" i="11"/>
  <c r="Z137" i="11"/>
  <c r="AA137" i="11" s="1"/>
  <c r="Y74" i="11"/>
  <c r="Y152" i="11"/>
  <c r="Z152" i="11" s="1"/>
  <c r="AA152" i="11" s="1"/>
  <c r="Y151" i="11"/>
  <c r="Z151" i="11" s="1"/>
  <c r="AA151" i="11" s="1"/>
  <c r="Y149" i="11"/>
  <c r="Z149" i="11" s="1"/>
  <c r="AA149" i="11" s="1"/>
  <c r="Y157" i="11"/>
  <c r="Y171" i="11"/>
  <c r="Y170" i="11"/>
  <c r="Y169" i="11"/>
  <c r="Y168" i="11"/>
  <c r="Y166" i="11"/>
  <c r="Z166" i="11" s="1"/>
  <c r="AA166" i="11" s="1"/>
  <c r="Y165" i="11"/>
  <c r="Y164" i="11"/>
  <c r="Y162" i="11"/>
  <c r="Y161" i="11"/>
  <c r="AD181" i="11"/>
  <c r="AC184" i="11"/>
  <c r="T184" i="11"/>
  <c r="Z181" i="11"/>
  <c r="AA181" i="11" s="1"/>
  <c r="R181" i="11"/>
  <c r="AD178" i="11"/>
  <c r="R178" i="11"/>
  <c r="Z178" i="11" s="1"/>
  <c r="AA178" i="11" s="1"/>
  <c r="AD175" i="11"/>
  <c r="R175" i="11"/>
  <c r="Z175" i="11" s="1"/>
  <c r="AA175" i="11" s="1"/>
  <c r="AD174" i="11"/>
  <c r="R174" i="11"/>
  <c r="Z174" i="11" s="1"/>
  <c r="AA174" i="11" s="1"/>
  <c r="Z171" i="11"/>
  <c r="AA171" i="11" s="1"/>
  <c r="R171" i="11"/>
  <c r="R170" i="11"/>
  <c r="R169" i="11"/>
  <c r="R168" i="11"/>
  <c r="R166" i="11"/>
  <c r="R165" i="11"/>
  <c r="R164" i="11"/>
  <c r="Z163" i="11"/>
  <c r="AA163" i="11" s="1"/>
  <c r="R163" i="11"/>
  <c r="AD163" i="11" s="1"/>
  <c r="R162" i="11"/>
  <c r="R161" i="11"/>
  <c r="Z157" i="11"/>
  <c r="AA157" i="11" s="1"/>
  <c r="R157" i="11"/>
  <c r="R154" i="11"/>
  <c r="Z154" i="11" s="1"/>
  <c r="AA154" i="11" s="1"/>
  <c r="Z153" i="11"/>
  <c r="AA153" i="11" s="1"/>
  <c r="Y153" i="11"/>
  <c r="R153" i="11"/>
  <c r="AD153" i="11" s="1"/>
  <c r="R152" i="11"/>
  <c r="R151" i="11"/>
  <c r="AD151" i="11" s="1"/>
  <c r="Z150" i="11"/>
  <c r="AA150" i="11" s="1"/>
  <c r="R150" i="11"/>
  <c r="AD150" i="11" s="1"/>
  <c r="R149" i="11"/>
  <c r="AD149" i="11" s="1"/>
  <c r="AD145" i="11"/>
  <c r="Z145" i="11"/>
  <c r="AA145" i="11" s="1"/>
  <c r="R145" i="11"/>
  <c r="AD143" i="11"/>
  <c r="R143" i="11"/>
  <c r="Z143" i="11" s="1"/>
  <c r="AA143" i="11" s="1"/>
  <c r="AD141" i="11"/>
  <c r="AA141" i="11"/>
  <c r="Z141" i="11"/>
  <c r="R141" i="11"/>
  <c r="R137" i="11"/>
  <c r="AD137" i="11" s="1"/>
  <c r="Z136" i="11"/>
  <c r="AA136" i="11" s="1"/>
  <c r="Y136" i="11"/>
  <c r="R136" i="11"/>
  <c r="AD136" i="11" s="1"/>
  <c r="AD135" i="11"/>
  <c r="AA135" i="11"/>
  <c r="Z135" i="11"/>
  <c r="R135" i="11"/>
  <c r="AD134" i="11"/>
  <c r="R134" i="11"/>
  <c r="Z134" i="11" s="1"/>
  <c r="AA134" i="11" s="1"/>
  <c r="AD133" i="11"/>
  <c r="AA133" i="11"/>
  <c r="Z133" i="11"/>
  <c r="R133" i="11"/>
  <c r="AD132" i="11"/>
  <c r="R132" i="11"/>
  <c r="Z132" i="11" s="1"/>
  <c r="AA132" i="11" s="1"/>
  <c r="Y131" i="11"/>
  <c r="Z131" i="11" s="1"/>
  <c r="AA131" i="11" s="1"/>
  <c r="R131" i="11"/>
  <c r="R130" i="11"/>
  <c r="Z130" i="11" s="1"/>
  <c r="AA130" i="11" s="1"/>
  <c r="Z129" i="11"/>
  <c r="AA129" i="11" s="1"/>
  <c r="R129" i="11"/>
  <c r="AD129" i="11" s="1"/>
  <c r="R128" i="11"/>
  <c r="Z128" i="11" s="1"/>
  <c r="AA128" i="11" s="1"/>
  <c r="Z127" i="11"/>
  <c r="AA127" i="11" s="1"/>
  <c r="R127" i="11"/>
  <c r="AD127" i="11" s="1"/>
  <c r="Z126" i="11"/>
  <c r="AA126" i="11" s="1"/>
  <c r="Y126" i="11"/>
  <c r="AD126" i="11" s="1"/>
  <c r="R126" i="11"/>
  <c r="AD122" i="11"/>
  <c r="R122" i="11"/>
  <c r="Z122" i="11" s="1"/>
  <c r="AA122" i="11" s="1"/>
  <c r="AD121" i="11"/>
  <c r="Z121" i="11"/>
  <c r="AA121" i="11" s="1"/>
  <c r="R121" i="11"/>
  <c r="AD117" i="11"/>
  <c r="AA117" i="11"/>
  <c r="R117" i="11"/>
  <c r="Z117" i="11" s="1"/>
  <c r="AD116" i="11"/>
  <c r="Y116" i="11"/>
  <c r="Z116" i="11" s="1"/>
  <c r="AA116" i="11" s="1"/>
  <c r="R116" i="11"/>
  <c r="R112" i="11"/>
  <c r="AB111" i="11"/>
  <c r="AB110" i="11"/>
  <c r="AB109" i="11"/>
  <c r="AB108" i="11"/>
  <c r="AB107" i="11"/>
  <c r="AD106" i="11"/>
  <c r="R106" i="11"/>
  <c r="Z106" i="11" s="1"/>
  <c r="AA106" i="11" s="1"/>
  <c r="AD105" i="11"/>
  <c r="AA105" i="11"/>
  <c r="Z105" i="11"/>
  <c r="R105" i="11"/>
  <c r="AD104" i="11"/>
  <c r="R104" i="11"/>
  <c r="Z104" i="11" s="1"/>
  <c r="AA104" i="11" s="1"/>
  <c r="AD103" i="11"/>
  <c r="AA103" i="11"/>
  <c r="Z103" i="11"/>
  <c r="R103" i="11"/>
  <c r="AD102" i="11"/>
  <c r="R102" i="11"/>
  <c r="Z102" i="11" s="1"/>
  <c r="AA102" i="11" s="1"/>
  <c r="AD101" i="11"/>
  <c r="AA101" i="11"/>
  <c r="Z101" i="11"/>
  <c r="R101" i="11"/>
  <c r="AD100" i="11"/>
  <c r="R100" i="11"/>
  <c r="Z100" i="11" s="1"/>
  <c r="AA100" i="11" s="1"/>
  <c r="AD99" i="11"/>
  <c r="Z99" i="11"/>
  <c r="AA99" i="11" s="1"/>
  <c r="R99" i="11"/>
  <c r="AD98" i="11"/>
  <c r="R98" i="11"/>
  <c r="Z98" i="11" s="1"/>
  <c r="AA98" i="11" s="1"/>
  <c r="AD97" i="11"/>
  <c r="AA97" i="11"/>
  <c r="Z97" i="11"/>
  <c r="R97" i="11"/>
  <c r="AD96" i="11"/>
  <c r="AA96" i="11"/>
  <c r="R96" i="11"/>
  <c r="Z96" i="11" s="1"/>
  <c r="AB94" i="11"/>
  <c r="AB93" i="11"/>
  <c r="AD91" i="11"/>
  <c r="AA91" i="11"/>
  <c r="R91" i="11"/>
  <c r="Z91" i="11" s="1"/>
  <c r="AD90" i="11"/>
  <c r="AA90" i="11"/>
  <c r="Z90" i="11"/>
  <c r="R90" i="11"/>
  <c r="AD89" i="11"/>
  <c r="R89" i="11"/>
  <c r="Z89" i="11" s="1"/>
  <c r="AA89" i="11" s="1"/>
  <c r="AD88" i="11"/>
  <c r="AA88" i="11"/>
  <c r="Z88" i="11"/>
  <c r="R88" i="11"/>
  <c r="AD87" i="11"/>
  <c r="R87" i="11"/>
  <c r="Z87" i="11" s="1"/>
  <c r="AA87" i="11" s="1"/>
  <c r="AD85" i="11"/>
  <c r="AA85" i="11"/>
  <c r="Z85" i="11"/>
  <c r="R85" i="11"/>
  <c r="AD84" i="11"/>
  <c r="AA84" i="11"/>
  <c r="R84" i="11"/>
  <c r="Z84" i="11" s="1"/>
  <c r="AD82" i="11"/>
  <c r="AA82" i="11"/>
  <c r="Z82" i="11"/>
  <c r="R82" i="11"/>
  <c r="AD79" i="11"/>
  <c r="AA79" i="11"/>
  <c r="R79" i="11"/>
  <c r="Z79" i="11" s="1"/>
  <c r="AD76" i="11"/>
  <c r="AA76" i="11"/>
  <c r="Z76" i="11"/>
  <c r="R76" i="11"/>
  <c r="R74" i="11"/>
  <c r="Z73" i="11"/>
  <c r="AA73" i="11" s="1"/>
  <c r="R73" i="11"/>
  <c r="Z72" i="11"/>
  <c r="AA72" i="11" s="1"/>
  <c r="Y72" i="11"/>
  <c r="AD72" i="11" s="1"/>
  <c r="R72" i="11"/>
  <c r="AD70" i="11"/>
  <c r="AA70" i="11"/>
  <c r="R70" i="11"/>
  <c r="R61" i="11"/>
  <c r="R60" i="11"/>
  <c r="R59" i="11"/>
  <c r="Z59" i="11" s="1"/>
  <c r="AA59" i="11" s="1"/>
  <c r="Z58" i="11"/>
  <c r="AA58" i="11" s="1"/>
  <c r="R58" i="11"/>
  <c r="AD58" i="11" s="1"/>
  <c r="R57" i="11"/>
  <c r="Z57" i="11" s="1"/>
  <c r="AA57" i="11" s="1"/>
  <c r="AD56" i="11"/>
  <c r="Z56" i="11"/>
  <c r="AA56" i="11" s="1"/>
  <c r="R56" i="11"/>
  <c r="R54" i="11"/>
  <c r="Z54" i="11" s="1"/>
  <c r="AA54" i="11" s="1"/>
  <c r="Y53" i="11"/>
  <c r="Z53" i="11" s="1"/>
  <c r="AA53" i="11" s="1"/>
  <c r="R53" i="11"/>
  <c r="R52" i="11"/>
  <c r="Z52" i="11" s="1"/>
  <c r="AA52" i="11" s="1"/>
  <c r="AD51" i="11"/>
  <c r="Z51" i="11"/>
  <c r="AA51" i="11" s="1"/>
  <c r="R51" i="11"/>
  <c r="R50" i="11"/>
  <c r="AD49" i="11"/>
  <c r="Z49" i="11"/>
  <c r="AA49" i="11" s="1"/>
  <c r="R49" i="11"/>
  <c r="R47" i="11"/>
  <c r="AD46" i="11"/>
  <c r="Z46" i="11"/>
  <c r="AA46" i="11" s="1"/>
  <c r="R46" i="11"/>
  <c r="R45" i="11"/>
  <c r="AD44" i="11"/>
  <c r="Z44" i="11"/>
  <c r="AA44" i="11" s="1"/>
  <c r="R44" i="11"/>
  <c r="R42" i="11"/>
  <c r="AD41" i="11"/>
  <c r="Z41" i="11"/>
  <c r="AA41" i="11" s="1"/>
  <c r="R41" i="11"/>
  <c r="R40" i="11"/>
  <c r="AD39" i="11"/>
  <c r="Z39" i="11"/>
  <c r="AA39" i="11" s="1"/>
  <c r="R39" i="11"/>
  <c r="R37" i="11"/>
  <c r="AD37" i="11" s="1"/>
  <c r="AD36" i="11"/>
  <c r="Z36" i="11"/>
  <c r="AA36" i="11" s="1"/>
  <c r="R36" i="11"/>
  <c r="R34" i="11"/>
  <c r="AD33" i="11"/>
  <c r="Z33" i="11"/>
  <c r="AA33" i="11" s="1"/>
  <c r="R33" i="11"/>
  <c r="R32" i="11"/>
  <c r="AD32" i="11" s="1"/>
  <c r="Z30" i="11"/>
  <c r="AA30" i="11" s="1"/>
  <c r="Y30" i="11"/>
  <c r="R30" i="11"/>
  <c r="AD30" i="11" s="1"/>
  <c r="AD29" i="11"/>
  <c r="Z29" i="11"/>
  <c r="AA29" i="11" s="1"/>
  <c r="R29" i="11"/>
  <c r="R28" i="11"/>
  <c r="Z28" i="11" s="1"/>
  <c r="AA28" i="11" s="1"/>
  <c r="AD27" i="11"/>
  <c r="Z27" i="11"/>
  <c r="AA27" i="11" s="1"/>
  <c r="R27" i="11"/>
  <c r="R26" i="11"/>
  <c r="AD26" i="11" s="1"/>
  <c r="P163" i="2" l="1"/>
  <c r="Y163" i="2" s="1"/>
  <c r="P105" i="2"/>
  <c r="Y105" i="2" s="1"/>
  <c r="P135" i="2"/>
  <c r="Y135" i="2" s="1"/>
  <c r="P161" i="2"/>
  <c r="Y161" i="2" s="1"/>
  <c r="P132" i="2"/>
  <c r="P58" i="2"/>
  <c r="P133" i="2"/>
  <c r="Y133" i="2" s="1"/>
  <c r="P166" i="2"/>
  <c r="Y166" i="2" s="1"/>
  <c r="P136" i="2"/>
  <c r="Y136" i="2" s="1"/>
  <c r="P164" i="2"/>
  <c r="P91" i="2"/>
  <c r="Y91" i="2" s="1"/>
  <c r="P96" i="2"/>
  <c r="Y96" i="2" s="1"/>
  <c r="P37" i="2"/>
  <c r="Y37" i="2" s="1"/>
  <c r="P117" i="2"/>
  <c r="Y117" i="2" s="1"/>
  <c r="P169" i="2"/>
  <c r="Y169" i="2" s="1"/>
  <c r="AA162" i="2"/>
  <c r="P102" i="2"/>
  <c r="Y102" i="2" s="1"/>
  <c r="P47" i="2"/>
  <c r="Y47" i="2" s="1"/>
  <c r="AA164" i="2"/>
  <c r="P89" i="2"/>
  <c r="Y89" i="2" s="1"/>
  <c r="P153" i="2"/>
  <c r="Y153" i="2" s="1"/>
  <c r="P122" i="2"/>
  <c r="Y122" i="2" s="1"/>
  <c r="P79" i="2"/>
  <c r="Y79" i="2" s="1"/>
  <c r="P52" i="2"/>
  <c r="Y52" i="2" s="1"/>
  <c r="P32" i="2"/>
  <c r="Y32" i="2" s="1"/>
  <c r="X184" i="2"/>
  <c r="P42" i="2"/>
  <c r="Y42" i="2" s="1"/>
  <c r="P145" i="2"/>
  <c r="Y145" i="2" s="1"/>
  <c r="P121" i="2"/>
  <c r="Y121" i="2" s="1"/>
  <c r="Y164" i="2"/>
  <c r="Y132" i="2"/>
  <c r="P100" i="2"/>
  <c r="Y100" i="2" s="1"/>
  <c r="P56" i="2"/>
  <c r="Y56" i="2" s="1"/>
  <c r="P126" i="2"/>
  <c r="Y126" i="2" s="1"/>
  <c r="P98" i="2"/>
  <c r="P87" i="2"/>
  <c r="Y87" i="2" s="1"/>
  <c r="P171" i="2"/>
  <c r="Y171" i="2" s="1"/>
  <c r="P84" i="2"/>
  <c r="Y84" i="2" s="1"/>
  <c r="P50" i="2"/>
  <c r="Y50" i="2" s="1"/>
  <c r="P45" i="2"/>
  <c r="Y45" i="2" s="1"/>
  <c r="P40" i="2"/>
  <c r="Y40" i="2" s="1"/>
  <c r="P34" i="2"/>
  <c r="Y34" i="2" s="1"/>
  <c r="P90" i="2"/>
  <c r="Y98" i="2"/>
  <c r="Y134" i="2"/>
  <c r="P143" i="2"/>
  <c r="P141" i="2"/>
  <c r="Y141" i="2" s="1"/>
  <c r="AA169" i="2"/>
  <c r="AA161" i="2"/>
  <c r="Y143" i="2"/>
  <c r="AA170" i="2"/>
  <c r="P151" i="2"/>
  <c r="Y151" i="2" s="1"/>
  <c r="P149" i="2"/>
  <c r="Y149" i="2" s="1"/>
  <c r="P106" i="2"/>
  <c r="Y106" i="2" s="1"/>
  <c r="AA165" i="2"/>
  <c r="P104" i="2"/>
  <c r="Y104" i="2" s="1"/>
  <c r="P101" i="2"/>
  <c r="Y101" i="2" s="1"/>
  <c r="P99" i="2"/>
  <c r="Y99" i="2"/>
  <c r="Y60" i="2"/>
  <c r="P29" i="2"/>
  <c r="Y29" i="2" s="1"/>
  <c r="P27" i="2"/>
  <c r="Y27" i="2" s="1"/>
  <c r="V184" i="2"/>
  <c r="W184" i="2" s="1"/>
  <c r="Y74" i="2"/>
  <c r="Y90" i="2"/>
  <c r="Y58" i="2"/>
  <c r="P181" i="2"/>
  <c r="Y181" i="2" s="1"/>
  <c r="P175" i="2"/>
  <c r="Y175" i="2" s="1"/>
  <c r="P170" i="2"/>
  <c r="Y170" i="2" s="1"/>
  <c r="P165" i="2"/>
  <c r="Y165" i="2" s="1"/>
  <c r="P162" i="2"/>
  <c r="Y162" i="2" s="1"/>
  <c r="P154" i="2"/>
  <c r="Y154" i="2" s="1"/>
  <c r="P150" i="2"/>
  <c r="Y150" i="2" s="1"/>
  <c r="P137" i="2"/>
  <c r="Y137" i="2" s="1"/>
  <c r="P178" i="2"/>
  <c r="Y178" i="2" s="1"/>
  <c r="P174" i="2"/>
  <c r="Y174" i="2" s="1"/>
  <c r="P168" i="2"/>
  <c r="Y168" i="2" s="1"/>
  <c r="P157" i="2"/>
  <c r="Y157" i="2" s="1"/>
  <c r="P152" i="2"/>
  <c r="Y152" i="2" s="1"/>
  <c r="P131" i="2"/>
  <c r="Y131" i="2" s="1"/>
  <c r="P129" i="2"/>
  <c r="Y129" i="2" s="1"/>
  <c r="P127" i="2"/>
  <c r="Y127" i="2" s="1"/>
  <c r="P116" i="2"/>
  <c r="Y116" i="2" s="1"/>
  <c r="P112" i="2"/>
  <c r="Y112" i="2" s="1"/>
  <c r="P128" i="2"/>
  <c r="Y128" i="2" s="1"/>
  <c r="P97" i="2"/>
  <c r="Y97" i="2" s="1"/>
  <c r="P88" i="2"/>
  <c r="Y88" i="2" s="1"/>
  <c r="P82" i="2"/>
  <c r="Y82" i="2" s="1"/>
  <c r="P76" i="2"/>
  <c r="Y76" i="2" s="1"/>
  <c r="P72" i="2"/>
  <c r="Y72" i="2" s="1"/>
  <c r="P53" i="2"/>
  <c r="Y53" i="2" s="1"/>
  <c r="P130" i="2"/>
  <c r="Y130" i="2" s="1"/>
  <c r="P103" i="2"/>
  <c r="Y103" i="2" s="1"/>
  <c r="P85" i="2"/>
  <c r="Y85" i="2" s="1"/>
  <c r="P73" i="2"/>
  <c r="Y73" i="2" s="1"/>
  <c r="P61" i="2"/>
  <c r="Y61" i="2" s="1"/>
  <c r="P59" i="2"/>
  <c r="Y59" i="2" s="1"/>
  <c r="P57" i="2"/>
  <c r="Y57" i="2" s="1"/>
  <c r="P54" i="2"/>
  <c r="Y54" i="2" s="1"/>
  <c r="P30" i="2"/>
  <c r="Y30" i="2" s="1"/>
  <c r="P28" i="2"/>
  <c r="Y28" i="2" s="1"/>
  <c r="P26" i="2"/>
  <c r="P41" i="2"/>
  <c r="Y41" i="2" s="1"/>
  <c r="P49" i="2"/>
  <c r="Y49" i="2" s="1"/>
  <c r="P44" i="2"/>
  <c r="Y44" i="2" s="1"/>
  <c r="P39" i="2"/>
  <c r="Y39" i="2" s="1"/>
  <c r="P33" i="2"/>
  <c r="Y33" i="2" s="1"/>
  <c r="P46" i="2"/>
  <c r="Y46" i="2" s="1"/>
  <c r="P36" i="2"/>
  <c r="Y36" i="2" s="1"/>
  <c r="P51" i="2"/>
  <c r="Y51" i="2" s="1"/>
  <c r="P70" i="2"/>
  <c r="Y70" i="2" s="1"/>
  <c r="AD74" i="11"/>
  <c r="AD157" i="11"/>
  <c r="AD40" i="11"/>
  <c r="AD42" i="11"/>
  <c r="AD45" i="11"/>
  <c r="AD47" i="11"/>
  <c r="AD50" i="11"/>
  <c r="AD52" i="11"/>
  <c r="AD61" i="11"/>
  <c r="AD28" i="11"/>
  <c r="Z32" i="11"/>
  <c r="AA32" i="11" s="1"/>
  <c r="Z34" i="11"/>
  <c r="AA34" i="11" s="1"/>
  <c r="Z37" i="11"/>
  <c r="AA37" i="11" s="1"/>
  <c r="Z40" i="11"/>
  <c r="AA40" i="11" s="1"/>
  <c r="Z42" i="11"/>
  <c r="AA42" i="11" s="1"/>
  <c r="Z45" i="11"/>
  <c r="AA45" i="11" s="1"/>
  <c r="Z47" i="11"/>
  <c r="AA47" i="11" s="1"/>
  <c r="Z50" i="11"/>
  <c r="AA50" i="11" s="1"/>
  <c r="AD54" i="11"/>
  <c r="AD57" i="11"/>
  <c r="Z60" i="11"/>
  <c r="AA60" i="11" s="1"/>
  <c r="Z61" i="11"/>
  <c r="AA61" i="11" s="1"/>
  <c r="Z70" i="11"/>
  <c r="AD73" i="11"/>
  <c r="Z74" i="11"/>
  <c r="AA74" i="11" s="1"/>
  <c r="R184" i="11"/>
  <c r="S45" i="11" s="1"/>
  <c r="AD34" i="11"/>
  <c r="Z26" i="11"/>
  <c r="AA26" i="11" s="1"/>
  <c r="S116" i="11"/>
  <c r="AB116" i="11" s="1"/>
  <c r="AD162" i="11"/>
  <c r="AD53" i="11"/>
  <c r="AD59" i="11"/>
  <c r="S59" i="11"/>
  <c r="AB59" i="11" s="1"/>
  <c r="AD60" i="11"/>
  <c r="AB127" i="11"/>
  <c r="S166" i="11"/>
  <c r="AB166" i="11" s="1"/>
  <c r="S74" i="11"/>
  <c r="Z112" i="11"/>
  <c r="AA112" i="11" s="1"/>
  <c r="AD112" i="11"/>
  <c r="S112" i="11"/>
  <c r="S127" i="11"/>
  <c r="S163" i="11"/>
  <c r="AB163" i="11" s="1"/>
  <c r="Z168" i="11"/>
  <c r="AA168" i="11" s="1"/>
  <c r="AD131" i="11"/>
  <c r="AD152" i="11"/>
  <c r="AD166" i="11"/>
  <c r="AD171" i="11"/>
  <c r="AD128" i="11"/>
  <c r="S130" i="11"/>
  <c r="AB130" i="11" s="1"/>
  <c r="AD130" i="11"/>
  <c r="S154" i="11"/>
  <c r="AB154" i="11" s="1"/>
  <c r="AD154" i="11"/>
  <c r="Z162" i="11"/>
  <c r="AA162" i="11" s="1"/>
  <c r="S164" i="11"/>
  <c r="Z165" i="11"/>
  <c r="AA165" i="11" s="1"/>
  <c r="Z170" i="11"/>
  <c r="AA170" i="11" s="1"/>
  <c r="Z161" i="11"/>
  <c r="AA161" i="11" s="1"/>
  <c r="Z164" i="11"/>
  <c r="AA164" i="11" s="1"/>
  <c r="Z169" i="11"/>
  <c r="AA169" i="11" s="1"/>
  <c r="Y149" i="10"/>
  <c r="Y126" i="10"/>
  <c r="Y137" i="10"/>
  <c r="Z137" i="10" s="1"/>
  <c r="AA137" i="10" s="1"/>
  <c r="Y136" i="10"/>
  <c r="Z136" i="10" s="1"/>
  <c r="AA136" i="10" s="1"/>
  <c r="Y181" i="10"/>
  <c r="Y150" i="10"/>
  <c r="Z150" i="10" s="1"/>
  <c r="AA150" i="10" s="1"/>
  <c r="Y30" i="10"/>
  <c r="Y151" i="10"/>
  <c r="Z151" i="10" s="1"/>
  <c r="AA151" i="10" s="1"/>
  <c r="Y74" i="10"/>
  <c r="AD74" i="10" s="1"/>
  <c r="Y171" i="10"/>
  <c r="Z171" i="10" s="1"/>
  <c r="AA171" i="10" s="1"/>
  <c r="Y170" i="10"/>
  <c r="Y169" i="10"/>
  <c r="Y168" i="10"/>
  <c r="Z168" i="10" s="1"/>
  <c r="AA168" i="10" s="1"/>
  <c r="Y166" i="10"/>
  <c r="Z166" i="10" s="1"/>
  <c r="AA166" i="10" s="1"/>
  <c r="Y165" i="10"/>
  <c r="Y164" i="10"/>
  <c r="Y162" i="10"/>
  <c r="Y161" i="10"/>
  <c r="Y70" i="10"/>
  <c r="AD70" i="10" s="1"/>
  <c r="AC184" i="10"/>
  <c r="T184" i="10"/>
  <c r="R181" i="10"/>
  <c r="Z178" i="10"/>
  <c r="AA178" i="10" s="1"/>
  <c r="R178" i="10"/>
  <c r="AD178" i="10" s="1"/>
  <c r="R175" i="10"/>
  <c r="Z175" i="10" s="1"/>
  <c r="AA175" i="10" s="1"/>
  <c r="Z174" i="10"/>
  <c r="AA174" i="10" s="1"/>
  <c r="R174" i="10"/>
  <c r="AD174" i="10" s="1"/>
  <c r="R171" i="10"/>
  <c r="R170" i="10"/>
  <c r="R169" i="10"/>
  <c r="R168" i="10"/>
  <c r="R166" i="10"/>
  <c r="R165" i="10"/>
  <c r="R164" i="10"/>
  <c r="AD163" i="10"/>
  <c r="Z163" i="10"/>
  <c r="AA163" i="10" s="1"/>
  <c r="R163" i="10"/>
  <c r="R162" i="10"/>
  <c r="R161" i="10"/>
  <c r="AD157" i="10"/>
  <c r="Z157" i="10"/>
  <c r="AA157" i="10" s="1"/>
  <c r="R157" i="10"/>
  <c r="R154" i="10"/>
  <c r="AD154" i="10" s="1"/>
  <c r="Y153" i="10"/>
  <c r="Z153" i="10" s="1"/>
  <c r="AA153" i="10" s="1"/>
  <c r="R153" i="10"/>
  <c r="Y152" i="10"/>
  <c r="Z152" i="10" s="1"/>
  <c r="AA152" i="10" s="1"/>
  <c r="R152" i="10"/>
  <c r="R151" i="10"/>
  <c r="AD151" i="10" s="1"/>
  <c r="R150" i="10"/>
  <c r="Z149" i="10"/>
  <c r="AA149" i="10" s="1"/>
  <c r="R149" i="10"/>
  <c r="R145" i="10"/>
  <c r="Z145" i="10" s="1"/>
  <c r="AA145" i="10" s="1"/>
  <c r="Z143" i="10"/>
  <c r="AA143" i="10" s="1"/>
  <c r="R143" i="10"/>
  <c r="AD143" i="10" s="1"/>
  <c r="R141" i="10"/>
  <c r="Z141" i="10" s="1"/>
  <c r="AA141" i="10" s="1"/>
  <c r="R137" i="10"/>
  <c r="R136" i="10"/>
  <c r="R135" i="10"/>
  <c r="Z135" i="10" s="1"/>
  <c r="AA135" i="10" s="1"/>
  <c r="AD134" i="10"/>
  <c r="Z134" i="10"/>
  <c r="AA134" i="10" s="1"/>
  <c r="R134" i="10"/>
  <c r="R133" i="10"/>
  <c r="Z133" i="10" s="1"/>
  <c r="AA133" i="10" s="1"/>
  <c r="AD132" i="10"/>
  <c r="Z132" i="10"/>
  <c r="AA132" i="10" s="1"/>
  <c r="R132" i="10"/>
  <c r="Y131" i="10"/>
  <c r="Z131" i="10" s="1"/>
  <c r="AA131" i="10" s="1"/>
  <c r="R131" i="10"/>
  <c r="R130" i="10"/>
  <c r="AD130" i="10" s="1"/>
  <c r="AD129" i="10"/>
  <c r="Z129" i="10"/>
  <c r="AA129" i="10" s="1"/>
  <c r="R129" i="10"/>
  <c r="R128" i="10"/>
  <c r="AD128" i="10" s="1"/>
  <c r="AD127" i="10"/>
  <c r="Z127" i="10"/>
  <c r="AA127" i="10" s="1"/>
  <c r="R127" i="10"/>
  <c r="R126" i="10"/>
  <c r="AD126" i="10" s="1"/>
  <c r="AD122" i="10"/>
  <c r="Z122" i="10"/>
  <c r="AA122" i="10" s="1"/>
  <c r="R122" i="10"/>
  <c r="R121" i="10"/>
  <c r="AD121" i="10" s="1"/>
  <c r="AD117" i="10"/>
  <c r="Z117" i="10"/>
  <c r="AA117" i="10" s="1"/>
  <c r="R117" i="10"/>
  <c r="Y116" i="10"/>
  <c r="R116" i="10"/>
  <c r="AD112" i="10"/>
  <c r="Z112" i="10"/>
  <c r="AA112" i="10" s="1"/>
  <c r="R112" i="10"/>
  <c r="AB111" i="10"/>
  <c r="AB110" i="10"/>
  <c r="AB109" i="10"/>
  <c r="AB108" i="10"/>
  <c r="AB107" i="10"/>
  <c r="AD106" i="10"/>
  <c r="Z106" i="10"/>
  <c r="AA106" i="10" s="1"/>
  <c r="R106" i="10"/>
  <c r="R105" i="10"/>
  <c r="AD105" i="10" s="1"/>
  <c r="AD104" i="10"/>
  <c r="Z104" i="10"/>
  <c r="AA104" i="10" s="1"/>
  <c r="R104" i="10"/>
  <c r="R103" i="10"/>
  <c r="AD102" i="10"/>
  <c r="Z102" i="10"/>
  <c r="AA102" i="10" s="1"/>
  <c r="R102" i="10"/>
  <c r="R101" i="10"/>
  <c r="AD100" i="10"/>
  <c r="Z100" i="10"/>
  <c r="AA100" i="10" s="1"/>
  <c r="R100" i="10"/>
  <c r="R99" i="10"/>
  <c r="AD98" i="10"/>
  <c r="Z98" i="10"/>
  <c r="AA98" i="10" s="1"/>
  <c r="R98" i="10"/>
  <c r="R97" i="10"/>
  <c r="AD96" i="10"/>
  <c r="AA96" i="10"/>
  <c r="Z96" i="10"/>
  <c r="R96" i="10"/>
  <c r="AB94" i="10"/>
  <c r="AB93" i="10"/>
  <c r="AD91" i="10"/>
  <c r="Z91" i="10"/>
  <c r="AA91" i="10" s="1"/>
  <c r="R91" i="10"/>
  <c r="AA90" i="10"/>
  <c r="Z90" i="10"/>
  <c r="R90" i="10"/>
  <c r="Z89" i="10"/>
  <c r="AA89" i="10" s="1"/>
  <c r="R89" i="10"/>
  <c r="R88" i="10"/>
  <c r="R87" i="10"/>
  <c r="AD87" i="10" s="1"/>
  <c r="R85" i="10"/>
  <c r="Z85" i="10" s="1"/>
  <c r="AA85" i="10" s="1"/>
  <c r="R84" i="10"/>
  <c r="AD84" i="10" s="1"/>
  <c r="Z82" i="10"/>
  <c r="AA82" i="10" s="1"/>
  <c r="R82" i="10"/>
  <c r="Z79" i="10"/>
  <c r="AA79" i="10" s="1"/>
  <c r="R79" i="10"/>
  <c r="AD79" i="10" s="1"/>
  <c r="R76" i="10"/>
  <c r="Z76" i="10" s="1"/>
  <c r="AA76" i="10" s="1"/>
  <c r="Z74" i="10"/>
  <c r="AA74" i="10" s="1"/>
  <c r="R74" i="10"/>
  <c r="AD73" i="10"/>
  <c r="R73" i="10"/>
  <c r="Z73" i="10" s="1"/>
  <c r="AA73" i="10" s="1"/>
  <c r="Y72" i="10"/>
  <c r="R72" i="10"/>
  <c r="Z72" i="10" s="1"/>
  <c r="AA72" i="10" s="1"/>
  <c r="AA70" i="10"/>
  <c r="Z70" i="10"/>
  <c r="R70" i="10"/>
  <c r="R61" i="10"/>
  <c r="Z61" i="10" s="1"/>
  <c r="AA61" i="10" s="1"/>
  <c r="AD60" i="10"/>
  <c r="Z60" i="10"/>
  <c r="AA60" i="10" s="1"/>
  <c r="R60" i="10"/>
  <c r="R59" i="10"/>
  <c r="Z59" i="10" s="1"/>
  <c r="AA59" i="10" s="1"/>
  <c r="AD58" i="10"/>
  <c r="Z58" i="10"/>
  <c r="AA58" i="10" s="1"/>
  <c r="R58" i="10"/>
  <c r="R57" i="10"/>
  <c r="Z57" i="10" s="1"/>
  <c r="AA57" i="10" s="1"/>
  <c r="AD56" i="10"/>
  <c r="Z56" i="10"/>
  <c r="AA56" i="10" s="1"/>
  <c r="R56" i="10"/>
  <c r="R54" i="10"/>
  <c r="Z54" i="10" s="1"/>
  <c r="AA54" i="10" s="1"/>
  <c r="Y53" i="10"/>
  <c r="Z53" i="10" s="1"/>
  <c r="AA53" i="10" s="1"/>
  <c r="R53" i="10"/>
  <c r="R52" i="10"/>
  <c r="AD52" i="10" s="1"/>
  <c r="Z51" i="10"/>
  <c r="AA51" i="10" s="1"/>
  <c r="R51" i="10"/>
  <c r="AD51" i="10" s="1"/>
  <c r="R50" i="10"/>
  <c r="AD50" i="10" s="1"/>
  <c r="Z49" i="10"/>
  <c r="AA49" i="10" s="1"/>
  <c r="R49" i="10"/>
  <c r="AD49" i="10" s="1"/>
  <c r="R47" i="10"/>
  <c r="AD47" i="10" s="1"/>
  <c r="Z46" i="10"/>
  <c r="AA46" i="10" s="1"/>
  <c r="R46" i="10"/>
  <c r="AD46" i="10" s="1"/>
  <c r="R45" i="10"/>
  <c r="AD45" i="10" s="1"/>
  <c r="Z44" i="10"/>
  <c r="AA44" i="10" s="1"/>
  <c r="R44" i="10"/>
  <c r="AD44" i="10" s="1"/>
  <c r="R42" i="10"/>
  <c r="AD42" i="10" s="1"/>
  <c r="Z41" i="10"/>
  <c r="AA41" i="10" s="1"/>
  <c r="R41" i="10"/>
  <c r="AD41" i="10" s="1"/>
  <c r="R40" i="10"/>
  <c r="AD40" i="10" s="1"/>
  <c r="Z39" i="10"/>
  <c r="AA39" i="10" s="1"/>
  <c r="R39" i="10"/>
  <c r="AD39" i="10" s="1"/>
  <c r="R37" i="10"/>
  <c r="Z36" i="10"/>
  <c r="AA36" i="10" s="1"/>
  <c r="R36" i="10"/>
  <c r="AD36" i="10" s="1"/>
  <c r="R34" i="10"/>
  <c r="AD34" i="10" s="1"/>
  <c r="Z33" i="10"/>
  <c r="AA33" i="10" s="1"/>
  <c r="R33" i="10"/>
  <c r="AD33" i="10" s="1"/>
  <c r="R32" i="10"/>
  <c r="AD32" i="10" s="1"/>
  <c r="Z30" i="10"/>
  <c r="AA30" i="10" s="1"/>
  <c r="R30" i="10"/>
  <c r="AD30" i="10" s="1"/>
  <c r="AD29" i="10"/>
  <c r="Z29" i="10"/>
  <c r="AA29" i="10" s="1"/>
  <c r="R29" i="10"/>
  <c r="R28" i="10"/>
  <c r="Z28" i="10" s="1"/>
  <c r="AA28" i="10" s="1"/>
  <c r="AD27" i="10"/>
  <c r="R27" i="10"/>
  <c r="Z27" i="10" s="1"/>
  <c r="AA27" i="10" s="1"/>
  <c r="AA26" i="10"/>
  <c r="Z26" i="10"/>
  <c r="R26" i="10"/>
  <c r="AA184" i="2" l="1"/>
  <c r="P184" i="2"/>
  <c r="Y26" i="2"/>
  <c r="Y184" i="2" s="1"/>
  <c r="S150" i="11"/>
  <c r="AB150" i="11" s="1"/>
  <c r="S157" i="11"/>
  <c r="AB157" i="11" s="1"/>
  <c r="S171" i="11"/>
  <c r="AB171" i="11" s="1"/>
  <c r="S131" i="11"/>
  <c r="AB131" i="11" s="1"/>
  <c r="AB112" i="11"/>
  <c r="S70" i="11"/>
  <c r="AB70" i="11" s="1"/>
  <c r="AA184" i="11"/>
  <c r="S57" i="11"/>
  <c r="AB57" i="11" s="1"/>
  <c r="S32" i="11"/>
  <c r="S50" i="11"/>
  <c r="AB169" i="11"/>
  <c r="S169" i="11"/>
  <c r="S161" i="11"/>
  <c r="S137" i="11"/>
  <c r="AB137" i="11" s="1"/>
  <c r="S128" i="11"/>
  <c r="AB128" i="11" s="1"/>
  <c r="S129" i="11"/>
  <c r="AB129" i="11" s="1"/>
  <c r="AD170" i="11"/>
  <c r="AD169" i="11"/>
  <c r="S37" i="11"/>
  <c r="AB37" i="11" s="1"/>
  <c r="AD168" i="11"/>
  <c r="S152" i="11"/>
  <c r="AB152" i="11" s="1"/>
  <c r="AB74" i="11"/>
  <c r="AB45" i="11"/>
  <c r="S28" i="11"/>
  <c r="AB28" i="11" s="1"/>
  <c r="S47" i="11"/>
  <c r="AB47" i="11" s="1"/>
  <c r="AB164" i="11"/>
  <c r="AD165" i="11"/>
  <c r="AD164" i="11"/>
  <c r="S73" i="11"/>
  <c r="AB73" i="11" s="1"/>
  <c r="S54" i="11"/>
  <c r="AB54" i="11" s="1"/>
  <c r="AB32" i="11"/>
  <c r="S26" i="11"/>
  <c r="S52" i="11"/>
  <c r="AB52" i="11" s="1"/>
  <c r="S60" i="11"/>
  <c r="AB60" i="11" s="1"/>
  <c r="S40" i="11"/>
  <c r="AB161" i="11"/>
  <c r="Y184" i="11"/>
  <c r="Z184" i="11" s="1"/>
  <c r="S178" i="11"/>
  <c r="AB178" i="11" s="1"/>
  <c r="S174" i="11"/>
  <c r="AB174" i="11" s="1"/>
  <c r="S168" i="11"/>
  <c r="AB168" i="11" s="1"/>
  <c r="S153" i="11"/>
  <c r="AB153" i="11" s="1"/>
  <c r="S149" i="11"/>
  <c r="AB149" i="11" s="1"/>
  <c r="S143" i="11"/>
  <c r="AB143" i="11" s="1"/>
  <c r="S136" i="11"/>
  <c r="AB136" i="11" s="1"/>
  <c r="S134" i="11"/>
  <c r="AB134" i="11" s="1"/>
  <c r="S132" i="11"/>
  <c r="AB132" i="11" s="1"/>
  <c r="S122" i="11"/>
  <c r="AB122" i="11" s="1"/>
  <c r="S117" i="11"/>
  <c r="AB117" i="11" s="1"/>
  <c r="S106" i="11"/>
  <c r="AB106" i="11" s="1"/>
  <c r="S104" i="11"/>
  <c r="AB104" i="11" s="1"/>
  <c r="S102" i="11"/>
  <c r="AB102" i="11" s="1"/>
  <c r="S100" i="11"/>
  <c r="AB100" i="11" s="1"/>
  <c r="S98" i="11"/>
  <c r="AB98" i="11" s="1"/>
  <c r="S181" i="11"/>
  <c r="AB181" i="11" s="1"/>
  <c r="S175" i="11"/>
  <c r="AB175" i="11" s="1"/>
  <c r="S170" i="11"/>
  <c r="AB170" i="11" s="1"/>
  <c r="S165" i="11"/>
  <c r="AB165" i="11" s="1"/>
  <c r="S162" i="11"/>
  <c r="AB162" i="11" s="1"/>
  <c r="S151" i="11"/>
  <c r="AB151" i="11" s="1"/>
  <c r="S145" i="11"/>
  <c r="AB145" i="11" s="1"/>
  <c r="S141" i="11"/>
  <c r="AB141" i="11" s="1"/>
  <c r="S135" i="11"/>
  <c r="AB135" i="11" s="1"/>
  <c r="S133" i="11"/>
  <c r="AB133" i="11" s="1"/>
  <c r="S126" i="11"/>
  <c r="AB126" i="11" s="1"/>
  <c r="S105" i="11"/>
  <c r="AB105" i="11" s="1"/>
  <c r="S103" i="11"/>
  <c r="AB103" i="11" s="1"/>
  <c r="S101" i="11"/>
  <c r="AB101" i="11" s="1"/>
  <c r="S99" i="11"/>
  <c r="AB99" i="11" s="1"/>
  <c r="S97" i="11"/>
  <c r="AB97" i="11" s="1"/>
  <c r="S96" i="11"/>
  <c r="AB96" i="11" s="1"/>
  <c r="S88" i="11"/>
  <c r="AB88" i="11" s="1"/>
  <c r="S87" i="11"/>
  <c r="AB87" i="11" s="1"/>
  <c r="S27" i="11"/>
  <c r="AB27" i="11" s="1"/>
  <c r="S85" i="11"/>
  <c r="AB85" i="11" s="1"/>
  <c r="S84" i="11"/>
  <c r="AB84" i="11" s="1"/>
  <c r="S58" i="11"/>
  <c r="AB58" i="11" s="1"/>
  <c r="S56" i="11"/>
  <c r="AB56" i="11" s="1"/>
  <c r="S29" i="11"/>
  <c r="AB29" i="11" s="1"/>
  <c r="S91" i="11"/>
  <c r="AB91" i="11" s="1"/>
  <c r="S82" i="11"/>
  <c r="AB82" i="11" s="1"/>
  <c r="S79" i="11"/>
  <c r="AB79" i="11" s="1"/>
  <c r="S53" i="11"/>
  <c r="AB53" i="11" s="1"/>
  <c r="S51" i="11"/>
  <c r="AB51" i="11" s="1"/>
  <c r="S49" i="11"/>
  <c r="AB49" i="11" s="1"/>
  <c r="S46" i="11"/>
  <c r="AB46" i="11" s="1"/>
  <c r="S44" i="11"/>
  <c r="AB44" i="11" s="1"/>
  <c r="S41" i="11"/>
  <c r="AB41" i="11" s="1"/>
  <c r="S39" i="11"/>
  <c r="AB39" i="11" s="1"/>
  <c r="S36" i="11"/>
  <c r="AB36" i="11" s="1"/>
  <c r="S33" i="11"/>
  <c r="AB33" i="11" s="1"/>
  <c r="S121" i="11"/>
  <c r="AB121" i="11" s="1"/>
  <c r="S90" i="11"/>
  <c r="AB90" i="11" s="1"/>
  <c r="S89" i="11"/>
  <c r="AB89" i="11" s="1"/>
  <c r="S76" i="11"/>
  <c r="AB76" i="11" s="1"/>
  <c r="S72" i="11"/>
  <c r="AB72" i="11" s="1"/>
  <c r="AD161" i="11"/>
  <c r="AB50" i="11"/>
  <c r="AB40" i="11"/>
  <c r="S30" i="11"/>
  <c r="AB30" i="11" s="1"/>
  <c r="S61" i="11"/>
  <c r="AB61" i="11" s="1"/>
  <c r="S34" i="11"/>
  <c r="AB34" i="11" s="1"/>
  <c r="S42" i="11"/>
  <c r="AB42" i="11" s="1"/>
  <c r="Z181" i="10"/>
  <c r="AA181" i="10" s="1"/>
  <c r="AB46" i="10"/>
  <c r="S53" i="10"/>
  <c r="AB53" i="10" s="1"/>
  <c r="S37" i="10"/>
  <c r="AB44" i="10"/>
  <c r="R184" i="10"/>
  <c r="S74" i="10" s="1"/>
  <c r="AB74" i="10" s="1"/>
  <c r="S34" i="10"/>
  <c r="AD37" i="10"/>
  <c r="S40" i="10"/>
  <c r="S45" i="10"/>
  <c r="S26" i="10"/>
  <c r="AB26" i="10" s="1"/>
  <c r="AD26" i="10"/>
  <c r="AD28" i="10"/>
  <c r="S30" i="10"/>
  <c r="AB30" i="10" s="1"/>
  <c r="Z32" i="10"/>
  <c r="AA32" i="10" s="1"/>
  <c r="Z34" i="10"/>
  <c r="AA34" i="10" s="1"/>
  <c r="Z37" i="10"/>
  <c r="AA37" i="10" s="1"/>
  <c r="AB37" i="10" s="1"/>
  <c r="Z40" i="10"/>
  <c r="AA40" i="10" s="1"/>
  <c r="AB40" i="10" s="1"/>
  <c r="Z42" i="10"/>
  <c r="AA42" i="10" s="1"/>
  <c r="Z45" i="10"/>
  <c r="AA45" i="10" s="1"/>
  <c r="Z47" i="10"/>
  <c r="AA47" i="10" s="1"/>
  <c r="Z50" i="10"/>
  <c r="AA50" i="10" s="1"/>
  <c r="Z52" i="10"/>
  <c r="AA52" i="10" s="1"/>
  <c r="AD54" i="10"/>
  <c r="S57" i="10"/>
  <c r="AB57" i="10" s="1"/>
  <c r="AD57" i="10"/>
  <c r="AD59" i="10"/>
  <c r="S61" i="10"/>
  <c r="AB61" i="10" s="1"/>
  <c r="AD61" i="10"/>
  <c r="S76" i="10"/>
  <c r="AB76" i="10" s="1"/>
  <c r="AD76" i="10"/>
  <c r="Z84" i="10"/>
  <c r="AA84" i="10" s="1"/>
  <c r="AD88" i="10"/>
  <c r="S88" i="10"/>
  <c r="AD89" i="10"/>
  <c r="AD97" i="10"/>
  <c r="S97" i="10"/>
  <c r="Z97" i="10"/>
  <c r="AA97" i="10" s="1"/>
  <c r="AB97" i="10" s="1"/>
  <c r="AB135" i="10"/>
  <c r="S150" i="10"/>
  <c r="AB153" i="10"/>
  <c r="S169" i="10"/>
  <c r="AB178" i="10"/>
  <c r="S33" i="10"/>
  <c r="AB33" i="10" s="1"/>
  <c r="S36" i="10"/>
  <c r="AB36" i="10" s="1"/>
  <c r="S39" i="10"/>
  <c r="AB39" i="10" s="1"/>
  <c r="S41" i="10"/>
  <c r="AB41" i="10" s="1"/>
  <c r="S44" i="10"/>
  <c r="S46" i="10"/>
  <c r="S49" i="10"/>
  <c r="AB49" i="10" s="1"/>
  <c r="S51" i="10"/>
  <c r="AB51" i="10" s="1"/>
  <c r="AD72" i="10"/>
  <c r="Z87" i="10"/>
  <c r="AA87" i="10" s="1"/>
  <c r="Z88" i="10"/>
  <c r="AA88" i="10" s="1"/>
  <c r="AB88" i="10" s="1"/>
  <c r="AD90" i="10"/>
  <c r="S90" i="10"/>
  <c r="AB90" i="10" s="1"/>
  <c r="AD103" i="10"/>
  <c r="S103" i="10"/>
  <c r="Z103" i="10"/>
  <c r="AA103" i="10" s="1"/>
  <c r="AD116" i="10"/>
  <c r="S116" i="10"/>
  <c r="Z116" i="10"/>
  <c r="AA116" i="10" s="1"/>
  <c r="AB145" i="10"/>
  <c r="S161" i="10"/>
  <c r="AD53" i="10"/>
  <c r="AD82" i="10"/>
  <c r="S82" i="10"/>
  <c r="AB82" i="10" s="1"/>
  <c r="AD101" i="10"/>
  <c r="S101" i="10"/>
  <c r="Z101" i="10"/>
  <c r="AA101" i="10" s="1"/>
  <c r="S149" i="10"/>
  <c r="AB150" i="10"/>
  <c r="S164" i="10"/>
  <c r="S168" i="10"/>
  <c r="S47" i="10"/>
  <c r="S50" i="10"/>
  <c r="S52" i="10"/>
  <c r="AD85" i="10"/>
  <c r="S85" i="10"/>
  <c r="AB85" i="10" s="1"/>
  <c r="AD99" i="10"/>
  <c r="S99" i="10"/>
  <c r="Z99" i="10"/>
  <c r="AA99" i="10" s="1"/>
  <c r="AB99" i="10" s="1"/>
  <c r="S137" i="10"/>
  <c r="AB137" i="10" s="1"/>
  <c r="AB149" i="10"/>
  <c r="S153" i="10"/>
  <c r="AB168" i="10"/>
  <c r="Z105" i="10"/>
  <c r="AA105" i="10" s="1"/>
  <c r="Z121" i="10"/>
  <c r="AA121" i="10" s="1"/>
  <c r="AB121" i="10" s="1"/>
  <c r="Z126" i="10"/>
  <c r="AA126" i="10" s="1"/>
  <c r="AB126" i="10" s="1"/>
  <c r="Z128" i="10"/>
  <c r="AA128" i="10" s="1"/>
  <c r="Z130" i="10"/>
  <c r="AA130" i="10" s="1"/>
  <c r="AD137" i="10"/>
  <c r="AD150" i="10"/>
  <c r="Z154" i="10"/>
  <c r="AA154" i="10" s="1"/>
  <c r="Z161" i="10"/>
  <c r="AA161" i="10" s="1"/>
  <c r="AD161" i="10"/>
  <c r="Z164" i="10"/>
  <c r="AA164" i="10" s="1"/>
  <c r="AB164" i="10" s="1"/>
  <c r="Z169" i="10"/>
  <c r="AA169" i="10" s="1"/>
  <c r="AB169" i="10" s="1"/>
  <c r="AD169" i="10"/>
  <c r="S174" i="10"/>
  <c r="AB174" i="10" s="1"/>
  <c r="S178" i="10"/>
  <c r="AD136" i="10"/>
  <c r="AD149" i="10"/>
  <c r="AD153" i="10"/>
  <c r="AD168" i="10"/>
  <c r="AD131" i="10"/>
  <c r="S133" i="10"/>
  <c r="AB133" i="10" s="1"/>
  <c r="AD133" i="10"/>
  <c r="S135" i="10"/>
  <c r="AD135" i="10"/>
  <c r="S141" i="10"/>
  <c r="AB141" i="10" s="1"/>
  <c r="AD141" i="10"/>
  <c r="S145" i="10"/>
  <c r="AD145" i="10"/>
  <c r="S151" i="10"/>
  <c r="AB151" i="10" s="1"/>
  <c r="AD152" i="10"/>
  <c r="S162" i="10"/>
  <c r="S165" i="10"/>
  <c r="AD166" i="10"/>
  <c r="S170" i="10"/>
  <c r="AD171" i="10"/>
  <c r="S175" i="10"/>
  <c r="AB175" i="10" s="1"/>
  <c r="AD175" i="10"/>
  <c r="AD181" i="10"/>
  <c r="S105" i="10"/>
  <c r="S121" i="10"/>
  <c r="S126" i="10"/>
  <c r="S128" i="10"/>
  <c r="S130" i="10"/>
  <c r="S154" i="10"/>
  <c r="Z162" i="10"/>
  <c r="AA162" i="10" s="1"/>
  <c r="AB162" i="10" s="1"/>
  <c r="Z165" i="10"/>
  <c r="AA165" i="10" s="1"/>
  <c r="AB165" i="10" s="1"/>
  <c r="Z170" i="10"/>
  <c r="AA170" i="10" s="1"/>
  <c r="Y137" i="9"/>
  <c r="Z137" i="9" s="1"/>
  <c r="AA137" i="9" s="1"/>
  <c r="Y136" i="9"/>
  <c r="Y131" i="9"/>
  <c r="Y53" i="9"/>
  <c r="AD53" i="9" s="1"/>
  <c r="Y152" i="9"/>
  <c r="Y30" i="9"/>
  <c r="Y153" i="9"/>
  <c r="Y149" i="9"/>
  <c r="Y171" i="9"/>
  <c r="Y170" i="9"/>
  <c r="AD170" i="9" s="1"/>
  <c r="Y169" i="9"/>
  <c r="Y168" i="9"/>
  <c r="Y166" i="9"/>
  <c r="Y165" i="9"/>
  <c r="Y164" i="9"/>
  <c r="Y162" i="9"/>
  <c r="Y161" i="9"/>
  <c r="Y151" i="9"/>
  <c r="Z151" i="9" s="1"/>
  <c r="AA151" i="9" s="1"/>
  <c r="Y116" i="9"/>
  <c r="Z116" i="9"/>
  <c r="AA116" i="9" s="1"/>
  <c r="AC184" i="9"/>
  <c r="T184" i="9"/>
  <c r="AD181" i="9"/>
  <c r="Z181" i="9"/>
  <c r="AA181" i="9" s="1"/>
  <c r="R181" i="9"/>
  <c r="R178" i="9"/>
  <c r="Z178" i="9" s="1"/>
  <c r="AA178" i="9" s="1"/>
  <c r="AD175" i="9"/>
  <c r="Z175" i="9"/>
  <c r="AA175" i="9" s="1"/>
  <c r="R175" i="9"/>
  <c r="R174" i="9"/>
  <c r="Z174" i="9" s="1"/>
  <c r="AA174" i="9" s="1"/>
  <c r="Z171" i="9"/>
  <c r="AA171" i="9" s="1"/>
  <c r="R171" i="9"/>
  <c r="R170" i="9"/>
  <c r="R169" i="9"/>
  <c r="R168" i="9"/>
  <c r="Z166" i="9"/>
  <c r="AA166" i="9" s="1"/>
  <c r="R166" i="9"/>
  <c r="AD165" i="9"/>
  <c r="R165" i="9"/>
  <c r="R164" i="9"/>
  <c r="R163" i="9"/>
  <c r="Z162" i="9"/>
  <c r="AA162" i="9" s="1"/>
  <c r="R162" i="9"/>
  <c r="AD161" i="9"/>
  <c r="R161" i="9"/>
  <c r="R157" i="9"/>
  <c r="AD154" i="9"/>
  <c r="Z154" i="9"/>
  <c r="AA154" i="9" s="1"/>
  <c r="R154" i="9"/>
  <c r="AD153" i="9"/>
  <c r="R153" i="9"/>
  <c r="R152" i="9"/>
  <c r="R151" i="9"/>
  <c r="AD151" i="9" s="1"/>
  <c r="Y150" i="9"/>
  <c r="Z150" i="9" s="1"/>
  <c r="AA150" i="9" s="1"/>
  <c r="R150" i="9"/>
  <c r="AD149" i="9"/>
  <c r="R149" i="9"/>
  <c r="R145" i="9"/>
  <c r="Z145" i="9" s="1"/>
  <c r="AA145" i="9" s="1"/>
  <c r="AD143" i="9"/>
  <c r="Z143" i="9"/>
  <c r="AA143" i="9" s="1"/>
  <c r="R143" i="9"/>
  <c r="R141" i="9"/>
  <c r="Z141" i="9" s="1"/>
  <c r="AA141" i="9" s="1"/>
  <c r="R137" i="9"/>
  <c r="AD136" i="9"/>
  <c r="R136" i="9"/>
  <c r="R135" i="9"/>
  <c r="Z135" i="9" s="1"/>
  <c r="AA135" i="9" s="1"/>
  <c r="AD134" i="9"/>
  <c r="Z134" i="9"/>
  <c r="AA134" i="9" s="1"/>
  <c r="R134" i="9"/>
  <c r="R133" i="9"/>
  <c r="Z133" i="9" s="1"/>
  <c r="AA133" i="9" s="1"/>
  <c r="AD132" i="9"/>
  <c r="Z132" i="9"/>
  <c r="AA132" i="9" s="1"/>
  <c r="R132" i="9"/>
  <c r="R131" i="9"/>
  <c r="Z131" i="9" s="1"/>
  <c r="AA131" i="9" s="1"/>
  <c r="AD130" i="9"/>
  <c r="Z130" i="9"/>
  <c r="AA130" i="9" s="1"/>
  <c r="R130" i="9"/>
  <c r="R129" i="9"/>
  <c r="Z129" i="9" s="1"/>
  <c r="AA129" i="9" s="1"/>
  <c r="AD128" i="9"/>
  <c r="Z128" i="9"/>
  <c r="AA128" i="9" s="1"/>
  <c r="R128" i="9"/>
  <c r="R127" i="9"/>
  <c r="Z127" i="9" s="1"/>
  <c r="AA127" i="9" s="1"/>
  <c r="AD126" i="9"/>
  <c r="Z126" i="9"/>
  <c r="AA126" i="9" s="1"/>
  <c r="R126" i="9"/>
  <c r="AA122" i="9"/>
  <c r="R122" i="9"/>
  <c r="Z122" i="9" s="1"/>
  <c r="AD121" i="9"/>
  <c r="Z121" i="9"/>
  <c r="AA121" i="9" s="1"/>
  <c r="R121" i="9"/>
  <c r="R117" i="9"/>
  <c r="Z117" i="9" s="1"/>
  <c r="AA117" i="9" s="1"/>
  <c r="AD116" i="9"/>
  <c r="R116" i="9"/>
  <c r="AA112" i="9"/>
  <c r="R112" i="9"/>
  <c r="Z112" i="9" s="1"/>
  <c r="AB111" i="9"/>
  <c r="AB110" i="9"/>
  <c r="AB109" i="9"/>
  <c r="AB108" i="9"/>
  <c r="AB107" i="9"/>
  <c r="AD106" i="9"/>
  <c r="Z106" i="9"/>
  <c r="AA106" i="9" s="1"/>
  <c r="R106" i="9"/>
  <c r="R105" i="9"/>
  <c r="AD104" i="9"/>
  <c r="Z104" i="9"/>
  <c r="AA104" i="9" s="1"/>
  <c r="R104" i="9"/>
  <c r="AD103" i="9"/>
  <c r="R103" i="9"/>
  <c r="Z103" i="9" s="1"/>
  <c r="AA103" i="9" s="1"/>
  <c r="AD102" i="9"/>
  <c r="AA102" i="9"/>
  <c r="Z102" i="9"/>
  <c r="R102" i="9"/>
  <c r="AD101" i="9"/>
  <c r="R101" i="9"/>
  <c r="Z101" i="9" s="1"/>
  <c r="AA101" i="9" s="1"/>
  <c r="AD100" i="9"/>
  <c r="Z100" i="9"/>
  <c r="AA100" i="9" s="1"/>
  <c r="R100" i="9"/>
  <c r="AD99" i="9"/>
  <c r="R99" i="9"/>
  <c r="Z99" i="9" s="1"/>
  <c r="AA99" i="9" s="1"/>
  <c r="AD98" i="9"/>
  <c r="Z98" i="9"/>
  <c r="AA98" i="9" s="1"/>
  <c r="R98" i="9"/>
  <c r="AD97" i="9"/>
  <c r="R97" i="9"/>
  <c r="Z97" i="9" s="1"/>
  <c r="AA97" i="9" s="1"/>
  <c r="AD96" i="9"/>
  <c r="AA96" i="9"/>
  <c r="Z96" i="9"/>
  <c r="R96" i="9"/>
  <c r="AB94" i="9"/>
  <c r="AB93" i="9"/>
  <c r="AD91" i="9"/>
  <c r="Z91" i="9"/>
  <c r="AA91" i="9" s="1"/>
  <c r="R91" i="9"/>
  <c r="AA90" i="9"/>
  <c r="R90" i="9"/>
  <c r="Z90" i="9" s="1"/>
  <c r="AD89" i="9"/>
  <c r="AA89" i="9"/>
  <c r="Z89" i="9"/>
  <c r="R89" i="9"/>
  <c r="R88" i="9"/>
  <c r="Z88" i="9" s="1"/>
  <c r="AA88" i="9" s="1"/>
  <c r="AD87" i="9"/>
  <c r="Z87" i="9"/>
  <c r="AA87" i="9" s="1"/>
  <c r="R87" i="9"/>
  <c r="AA85" i="9"/>
  <c r="R85" i="9"/>
  <c r="Z85" i="9" s="1"/>
  <c r="AD84" i="9"/>
  <c r="AA84" i="9"/>
  <c r="Z84" i="9"/>
  <c r="R84" i="9"/>
  <c r="R82" i="9"/>
  <c r="Z82" i="9" s="1"/>
  <c r="AA82" i="9" s="1"/>
  <c r="AD79" i="9"/>
  <c r="Z79" i="9"/>
  <c r="AA79" i="9" s="1"/>
  <c r="R79" i="9"/>
  <c r="AA76" i="9"/>
  <c r="R76" i="9"/>
  <c r="Z76" i="9" s="1"/>
  <c r="Y74" i="9"/>
  <c r="Z74" i="9" s="1"/>
  <c r="AA74" i="9" s="1"/>
  <c r="R74" i="9"/>
  <c r="R73" i="9"/>
  <c r="Y72" i="9"/>
  <c r="Z72" i="9" s="1"/>
  <c r="AA72" i="9" s="1"/>
  <c r="R72" i="9"/>
  <c r="AA70" i="9"/>
  <c r="AD70" i="9"/>
  <c r="R70" i="9"/>
  <c r="R61" i="9"/>
  <c r="Z61" i="9" s="1"/>
  <c r="AA61" i="9" s="1"/>
  <c r="AD60" i="9"/>
  <c r="Z60" i="9"/>
  <c r="AA60" i="9" s="1"/>
  <c r="R60" i="9"/>
  <c r="R59" i="9"/>
  <c r="Z59" i="9" s="1"/>
  <c r="AA59" i="9" s="1"/>
  <c r="AD58" i="9"/>
  <c r="Z58" i="9"/>
  <c r="AA58" i="9" s="1"/>
  <c r="R58" i="9"/>
  <c r="R57" i="9"/>
  <c r="Z57" i="9" s="1"/>
  <c r="AA57" i="9" s="1"/>
  <c r="AD56" i="9"/>
  <c r="Z56" i="9"/>
  <c r="AA56" i="9" s="1"/>
  <c r="R56" i="9"/>
  <c r="R54" i="9"/>
  <c r="Z54" i="9" s="1"/>
  <c r="AA54" i="9" s="1"/>
  <c r="Z53" i="9"/>
  <c r="AA53" i="9" s="1"/>
  <c r="R53" i="9"/>
  <c r="R52" i="9"/>
  <c r="Z52" i="9" s="1"/>
  <c r="AA52" i="9" s="1"/>
  <c r="AD51" i="9"/>
  <c r="Z51" i="9"/>
  <c r="AA51" i="9" s="1"/>
  <c r="R51" i="9"/>
  <c r="R50" i="9"/>
  <c r="Z50" i="9" s="1"/>
  <c r="AA50" i="9" s="1"/>
  <c r="AD49" i="9"/>
  <c r="Z49" i="9"/>
  <c r="AA49" i="9" s="1"/>
  <c r="R49" i="9"/>
  <c r="R47" i="9"/>
  <c r="Z47" i="9" s="1"/>
  <c r="AA47" i="9" s="1"/>
  <c r="AD46" i="9"/>
  <c r="Z46" i="9"/>
  <c r="AA46" i="9" s="1"/>
  <c r="R46" i="9"/>
  <c r="R45" i="9"/>
  <c r="Z45" i="9" s="1"/>
  <c r="AA45" i="9" s="1"/>
  <c r="AD44" i="9"/>
  <c r="Z44" i="9"/>
  <c r="AA44" i="9" s="1"/>
  <c r="R44" i="9"/>
  <c r="R42" i="9"/>
  <c r="Z42" i="9" s="1"/>
  <c r="AA42" i="9" s="1"/>
  <c r="AD41" i="9"/>
  <c r="Z41" i="9"/>
  <c r="AA41" i="9" s="1"/>
  <c r="R41" i="9"/>
  <c r="R40" i="9"/>
  <c r="Z40" i="9" s="1"/>
  <c r="AA40" i="9" s="1"/>
  <c r="AD39" i="9"/>
  <c r="Z39" i="9"/>
  <c r="AA39" i="9" s="1"/>
  <c r="R39" i="9"/>
  <c r="R37" i="9"/>
  <c r="Z37" i="9" s="1"/>
  <c r="AA37" i="9" s="1"/>
  <c r="AD36" i="9"/>
  <c r="Z36" i="9"/>
  <c r="AA36" i="9" s="1"/>
  <c r="R36" i="9"/>
  <c r="R34" i="9"/>
  <c r="Z34" i="9" s="1"/>
  <c r="AA34" i="9" s="1"/>
  <c r="AD33" i="9"/>
  <c r="Z33" i="9"/>
  <c r="AA33" i="9" s="1"/>
  <c r="R33" i="9"/>
  <c r="R32" i="9"/>
  <c r="Z32" i="9" s="1"/>
  <c r="AA32" i="9" s="1"/>
  <c r="AD30" i="9"/>
  <c r="R30" i="9"/>
  <c r="R29" i="9"/>
  <c r="Z28" i="9"/>
  <c r="AA28" i="9" s="1"/>
  <c r="R28" i="9"/>
  <c r="AD28" i="9" s="1"/>
  <c r="R27" i="9"/>
  <c r="AD27" i="9" s="1"/>
  <c r="Z26" i="9"/>
  <c r="AA26" i="9" s="1"/>
  <c r="R26" i="9"/>
  <c r="AD184" i="11" l="1"/>
  <c r="S184" i="11"/>
  <c r="AB26" i="11"/>
  <c r="AB184" i="11" s="1"/>
  <c r="AB161" i="10"/>
  <c r="AB130" i="10"/>
  <c r="AB105" i="10"/>
  <c r="AA184" i="10"/>
  <c r="AD162" i="10"/>
  <c r="AB101" i="10"/>
  <c r="AD170" i="10"/>
  <c r="AB87" i="10"/>
  <c r="S87" i="10"/>
  <c r="S72" i="10"/>
  <c r="AB72" i="10" s="1"/>
  <c r="S59" i="10"/>
  <c r="AB59" i="10" s="1"/>
  <c r="S54" i="10"/>
  <c r="AB54" i="10" s="1"/>
  <c r="AB45" i="10"/>
  <c r="AB34" i="10"/>
  <c r="S28" i="10"/>
  <c r="AB28" i="10" s="1"/>
  <c r="S42" i="10"/>
  <c r="S184" i="10" s="1"/>
  <c r="S32" i="10"/>
  <c r="AD165" i="10"/>
  <c r="AB170" i="10"/>
  <c r="AD164" i="10"/>
  <c r="AD184" i="10" s="1"/>
  <c r="AB154" i="10"/>
  <c r="AB128" i="10"/>
  <c r="AB116" i="10"/>
  <c r="AB103" i="10"/>
  <c r="AB52" i="10"/>
  <c r="AB32" i="10"/>
  <c r="S181" i="10"/>
  <c r="AB181" i="10" s="1"/>
  <c r="S171" i="10"/>
  <c r="AB171" i="10" s="1"/>
  <c r="S166" i="10"/>
  <c r="AB166" i="10" s="1"/>
  <c r="S163" i="10"/>
  <c r="AB163" i="10" s="1"/>
  <c r="S157" i="10"/>
  <c r="AB157" i="10" s="1"/>
  <c r="S152" i="10"/>
  <c r="AB152" i="10" s="1"/>
  <c r="S131" i="10"/>
  <c r="AB131" i="10" s="1"/>
  <c r="S129" i="10"/>
  <c r="AB129" i="10" s="1"/>
  <c r="S127" i="10"/>
  <c r="AB127" i="10" s="1"/>
  <c r="S122" i="10"/>
  <c r="AB122" i="10" s="1"/>
  <c r="S117" i="10"/>
  <c r="AB117" i="10" s="1"/>
  <c r="S143" i="10"/>
  <c r="AB143" i="10" s="1"/>
  <c r="S136" i="10"/>
  <c r="AB136" i="10" s="1"/>
  <c r="S134" i="10"/>
  <c r="AB134" i="10" s="1"/>
  <c r="S132" i="10"/>
  <c r="AB132" i="10" s="1"/>
  <c r="S112" i="10"/>
  <c r="AB112" i="10" s="1"/>
  <c r="S100" i="10"/>
  <c r="AB100" i="10" s="1"/>
  <c r="S84" i="10"/>
  <c r="AB84" i="10" s="1"/>
  <c r="S73" i="10"/>
  <c r="AB73" i="10" s="1"/>
  <c r="S29" i="10"/>
  <c r="AB29" i="10" s="1"/>
  <c r="S106" i="10"/>
  <c r="AB106" i="10" s="1"/>
  <c r="S102" i="10"/>
  <c r="AB102" i="10" s="1"/>
  <c r="S91" i="10"/>
  <c r="AB91" i="10" s="1"/>
  <c r="S79" i="10"/>
  <c r="AB79" i="10" s="1"/>
  <c r="S70" i="10"/>
  <c r="AB70" i="10" s="1"/>
  <c r="S60" i="10"/>
  <c r="AB60" i="10" s="1"/>
  <c r="S58" i="10"/>
  <c r="AB58" i="10" s="1"/>
  <c r="S56" i="10"/>
  <c r="AB56" i="10" s="1"/>
  <c r="S104" i="10"/>
  <c r="AB104" i="10" s="1"/>
  <c r="S98" i="10"/>
  <c r="AB98" i="10" s="1"/>
  <c r="S96" i="10"/>
  <c r="AB96" i="10" s="1"/>
  <c r="S27" i="10"/>
  <c r="AB27" i="10" s="1"/>
  <c r="S89" i="10"/>
  <c r="AB89" i="10" s="1"/>
  <c r="Y184" i="10"/>
  <c r="Z184" i="10" s="1"/>
  <c r="AB50" i="10"/>
  <c r="AB47" i="10"/>
  <c r="AD29" i="9"/>
  <c r="R184" i="9"/>
  <c r="S30" i="9" s="1"/>
  <c r="Z27" i="9"/>
  <c r="AA27" i="9" s="1"/>
  <c r="Z29" i="9"/>
  <c r="AA29" i="9" s="1"/>
  <c r="AD32" i="9"/>
  <c r="S34" i="9"/>
  <c r="AB34" i="9" s="1"/>
  <c r="AD34" i="9"/>
  <c r="AD37" i="9"/>
  <c r="S40" i="9"/>
  <c r="AB40" i="9" s="1"/>
  <c r="AD40" i="9"/>
  <c r="AD42" i="9"/>
  <c r="S45" i="9"/>
  <c r="AB45" i="9" s="1"/>
  <c r="AD45" i="9"/>
  <c r="AD47" i="9"/>
  <c r="S50" i="9"/>
  <c r="AB50" i="9" s="1"/>
  <c r="AD50" i="9"/>
  <c r="AD52" i="9"/>
  <c r="S54" i="9"/>
  <c r="AB54" i="9" s="1"/>
  <c r="AD54" i="9"/>
  <c r="AD57" i="9"/>
  <c r="S59" i="9"/>
  <c r="AB59" i="9" s="1"/>
  <c r="AD59" i="9"/>
  <c r="AD61" i="9"/>
  <c r="Z70" i="9"/>
  <c r="AD72" i="9"/>
  <c r="Z73" i="9"/>
  <c r="AA73" i="9" s="1"/>
  <c r="AD76" i="9"/>
  <c r="AD85" i="9"/>
  <c r="AD90" i="9"/>
  <c r="AB133" i="9"/>
  <c r="AB151" i="9"/>
  <c r="S157" i="9"/>
  <c r="S27" i="9"/>
  <c r="AD26" i="9"/>
  <c r="S28" i="9"/>
  <c r="AB28" i="9" s="1"/>
  <c r="S72" i="9"/>
  <c r="AB72" i="9" s="1"/>
  <c r="S90" i="9"/>
  <c r="AB90" i="9" s="1"/>
  <c r="S97" i="9"/>
  <c r="AB97" i="9" s="1"/>
  <c r="S103" i="9"/>
  <c r="AB103" i="9" s="1"/>
  <c r="AB145" i="9"/>
  <c r="S169" i="9"/>
  <c r="AD73" i="9"/>
  <c r="AD82" i="9"/>
  <c r="AD88" i="9"/>
  <c r="AB112" i="9"/>
  <c r="AB174" i="9"/>
  <c r="Z30" i="9"/>
  <c r="AA30" i="9" s="1"/>
  <c r="S74" i="9"/>
  <c r="AB74" i="9" s="1"/>
  <c r="AD74" i="9"/>
  <c r="S82" i="9"/>
  <c r="AB82" i="9" s="1"/>
  <c r="S88" i="9"/>
  <c r="AB88" i="9" s="1"/>
  <c r="AD105" i="9"/>
  <c r="Z105" i="9"/>
  <c r="AA105" i="9" s="1"/>
  <c r="S112" i="9"/>
  <c r="AD112" i="9"/>
  <c r="AD117" i="9"/>
  <c r="S122" i="9"/>
  <c r="AB122" i="9" s="1"/>
  <c r="AD122" i="9"/>
  <c r="AD127" i="9"/>
  <c r="S129" i="9"/>
  <c r="AB129" i="9" s="1"/>
  <c r="AD129" i="9"/>
  <c r="AD131" i="9"/>
  <c r="S133" i="9"/>
  <c r="AD133" i="9"/>
  <c r="AD135" i="9"/>
  <c r="Z136" i="9"/>
  <c r="AA136" i="9" s="1"/>
  <c r="S141" i="9"/>
  <c r="AB141" i="9" s="1"/>
  <c r="AD141" i="9"/>
  <c r="S145" i="9"/>
  <c r="AD145" i="9"/>
  <c r="Z149" i="9"/>
  <c r="AA149" i="9" s="1"/>
  <c r="S151" i="9"/>
  <c r="AD152" i="9"/>
  <c r="Z153" i="9"/>
  <c r="AA153" i="9" s="1"/>
  <c r="AD157" i="9"/>
  <c r="Z161" i="9"/>
  <c r="AA161" i="9" s="1"/>
  <c r="S163" i="9"/>
  <c r="Z164" i="9"/>
  <c r="AA164" i="9" s="1"/>
  <c r="AD164" i="9"/>
  <c r="Z165" i="9"/>
  <c r="AA165" i="9" s="1"/>
  <c r="S168" i="9"/>
  <c r="Z169" i="9"/>
  <c r="AA169" i="9" s="1"/>
  <c r="AD169" i="9"/>
  <c r="Z170" i="9"/>
  <c r="AA170" i="9" s="1"/>
  <c r="S174" i="9"/>
  <c r="AD174" i="9"/>
  <c r="S178" i="9"/>
  <c r="AB178" i="9" s="1"/>
  <c r="AD178" i="9"/>
  <c r="Z152" i="9"/>
  <c r="AA152" i="9" s="1"/>
  <c r="Z157" i="9"/>
  <c r="AA157" i="9" s="1"/>
  <c r="Z163" i="9"/>
  <c r="AA163" i="9" s="1"/>
  <c r="AB163" i="9" s="1"/>
  <c r="Z168" i="9"/>
  <c r="AA168" i="9" s="1"/>
  <c r="AD137" i="9"/>
  <c r="AD150" i="9"/>
  <c r="AD162" i="9"/>
  <c r="AD166" i="9"/>
  <c r="AD171" i="9"/>
  <c r="Y72" i="8"/>
  <c r="Y72" i="7"/>
  <c r="Y136" i="7"/>
  <c r="Y152" i="7"/>
  <c r="Y30" i="8"/>
  <c r="Y152" i="8"/>
  <c r="Y137" i="8"/>
  <c r="Y150" i="8"/>
  <c r="Y151" i="8"/>
  <c r="Y162" i="8"/>
  <c r="Y161" i="8"/>
  <c r="Y165" i="8"/>
  <c r="Y164" i="8"/>
  <c r="Y136" i="8"/>
  <c r="AB42" i="10" l="1"/>
  <c r="AB184" i="10" s="1"/>
  <c r="AB27" i="9"/>
  <c r="AB169" i="9"/>
  <c r="AB30" i="9"/>
  <c r="AB152" i="9"/>
  <c r="Y184" i="9"/>
  <c r="Z184" i="9" s="1"/>
  <c r="S152" i="9"/>
  <c r="S101" i="9"/>
  <c r="AB101" i="9" s="1"/>
  <c r="S85" i="9"/>
  <c r="AB85" i="9" s="1"/>
  <c r="S61" i="9"/>
  <c r="AB61" i="9" s="1"/>
  <c r="S57" i="9"/>
  <c r="AB57" i="9" s="1"/>
  <c r="S52" i="9"/>
  <c r="AB52" i="9" s="1"/>
  <c r="S47" i="9"/>
  <c r="AB47" i="9" s="1"/>
  <c r="S42" i="9"/>
  <c r="AB42" i="9" s="1"/>
  <c r="S37" i="9"/>
  <c r="AB37" i="9" s="1"/>
  <c r="S32" i="9"/>
  <c r="AB32" i="9" s="1"/>
  <c r="AB157" i="9"/>
  <c r="AB168" i="9"/>
  <c r="AB170" i="9"/>
  <c r="S135" i="9"/>
  <c r="AB135" i="9" s="1"/>
  <c r="S131" i="9"/>
  <c r="AB131" i="9" s="1"/>
  <c r="S127" i="9"/>
  <c r="AB127" i="9" s="1"/>
  <c r="S117" i="9"/>
  <c r="AB117" i="9" s="1"/>
  <c r="S164" i="9"/>
  <c r="AB164" i="9" s="1"/>
  <c r="S105" i="9"/>
  <c r="AB105" i="9" s="1"/>
  <c r="S99" i="9"/>
  <c r="AB99" i="9" s="1"/>
  <c r="S76" i="9"/>
  <c r="AB76" i="9" s="1"/>
  <c r="S26" i="9"/>
  <c r="AD168" i="9"/>
  <c r="AA184" i="9"/>
  <c r="AD163" i="9"/>
  <c r="AD184" i="9" s="1"/>
  <c r="S181" i="9"/>
  <c r="AB181" i="9" s="1"/>
  <c r="S175" i="9"/>
  <c r="AB175" i="9" s="1"/>
  <c r="S170" i="9"/>
  <c r="S165" i="9"/>
  <c r="AB165" i="9" s="1"/>
  <c r="S161" i="9"/>
  <c r="AB161" i="9" s="1"/>
  <c r="S153" i="9"/>
  <c r="AB153" i="9" s="1"/>
  <c r="S149" i="9"/>
  <c r="AB149" i="9" s="1"/>
  <c r="S143" i="9"/>
  <c r="AB143" i="9" s="1"/>
  <c r="S136" i="9"/>
  <c r="AB136" i="9" s="1"/>
  <c r="S134" i="9"/>
  <c r="AB134" i="9" s="1"/>
  <c r="S132" i="9"/>
  <c r="AB132" i="9" s="1"/>
  <c r="S130" i="9"/>
  <c r="AB130" i="9" s="1"/>
  <c r="S128" i="9"/>
  <c r="AB128" i="9" s="1"/>
  <c r="S171" i="9"/>
  <c r="AB171" i="9" s="1"/>
  <c r="S166" i="9"/>
  <c r="AB166" i="9" s="1"/>
  <c r="S162" i="9"/>
  <c r="AB162" i="9" s="1"/>
  <c r="S154" i="9"/>
  <c r="AB154" i="9" s="1"/>
  <c r="S150" i="9"/>
  <c r="AB150" i="9" s="1"/>
  <c r="S137" i="9"/>
  <c r="AB137" i="9" s="1"/>
  <c r="S106" i="9"/>
  <c r="AB106" i="9" s="1"/>
  <c r="S104" i="9"/>
  <c r="AB104" i="9" s="1"/>
  <c r="S102" i="9"/>
  <c r="AB102" i="9" s="1"/>
  <c r="S100" i="9"/>
  <c r="AB100" i="9" s="1"/>
  <c r="S98" i="9"/>
  <c r="AB98" i="9" s="1"/>
  <c r="S96" i="9"/>
  <c r="AB96" i="9" s="1"/>
  <c r="S51" i="9"/>
  <c r="AB51" i="9" s="1"/>
  <c r="S49" i="9"/>
  <c r="AB49" i="9" s="1"/>
  <c r="S46" i="9"/>
  <c r="AB46" i="9" s="1"/>
  <c r="S44" i="9"/>
  <c r="AB44" i="9" s="1"/>
  <c r="S36" i="9"/>
  <c r="AB36" i="9" s="1"/>
  <c r="S121" i="9"/>
  <c r="AB121" i="9" s="1"/>
  <c r="S91" i="9"/>
  <c r="AB91" i="9" s="1"/>
  <c r="S87" i="9"/>
  <c r="AB87" i="9" s="1"/>
  <c r="S79" i="9"/>
  <c r="AB79" i="9" s="1"/>
  <c r="S70" i="9"/>
  <c r="AB70" i="9" s="1"/>
  <c r="S60" i="9"/>
  <c r="AB60" i="9" s="1"/>
  <c r="S58" i="9"/>
  <c r="AB58" i="9" s="1"/>
  <c r="S56" i="9"/>
  <c r="AB56" i="9" s="1"/>
  <c r="S39" i="9"/>
  <c r="AB39" i="9" s="1"/>
  <c r="S41" i="9"/>
  <c r="AB41" i="9" s="1"/>
  <c r="S33" i="9"/>
  <c r="AB33" i="9" s="1"/>
  <c r="S126" i="9"/>
  <c r="AB126" i="9" s="1"/>
  <c r="S116" i="9"/>
  <c r="AB116" i="9" s="1"/>
  <c r="S89" i="9"/>
  <c r="AB89" i="9" s="1"/>
  <c r="S84" i="9"/>
  <c r="AB84" i="9" s="1"/>
  <c r="S53" i="9"/>
  <c r="AB53" i="9" s="1"/>
  <c r="S73" i="9"/>
  <c r="AB73" i="9" s="1"/>
  <c r="S29" i="9"/>
  <c r="AB29" i="9" s="1"/>
  <c r="AA96" i="8"/>
  <c r="AA70" i="8"/>
  <c r="AA106" i="8"/>
  <c r="AA104" i="8"/>
  <c r="AA103" i="8"/>
  <c r="AA102" i="8"/>
  <c r="AA100" i="8"/>
  <c r="AA99" i="8"/>
  <c r="AA98" i="8"/>
  <c r="AA97" i="8"/>
  <c r="Y74" i="8"/>
  <c r="AD74" i="8" s="1"/>
  <c r="AA171" i="8"/>
  <c r="AA181" i="8"/>
  <c r="Y157" i="8"/>
  <c r="Z157" i="8" s="1"/>
  <c r="AA157" i="8" s="1"/>
  <c r="Y153" i="8"/>
  <c r="Y149" i="8"/>
  <c r="Y171" i="8"/>
  <c r="Y170" i="8"/>
  <c r="Z170" i="8" s="1"/>
  <c r="AA170" i="8" s="1"/>
  <c r="Y169" i="8"/>
  <c r="Y168" i="8"/>
  <c r="Y163" i="8"/>
  <c r="Y166" i="8"/>
  <c r="Z163" i="8"/>
  <c r="AA163" i="8" s="1"/>
  <c r="Z162" i="8"/>
  <c r="AA162" i="8" s="1"/>
  <c r="AC184" i="8"/>
  <c r="T184" i="8"/>
  <c r="Z181" i="8"/>
  <c r="R181" i="8"/>
  <c r="R178" i="8"/>
  <c r="AD178" i="8" s="1"/>
  <c r="Z175" i="8"/>
  <c r="AA175" i="8" s="1"/>
  <c r="R175" i="8"/>
  <c r="AD175" i="8" s="1"/>
  <c r="R174" i="8"/>
  <c r="AD174" i="8" s="1"/>
  <c r="Z171" i="8"/>
  <c r="AD171" i="8"/>
  <c r="R171" i="8"/>
  <c r="R170" i="8"/>
  <c r="R169" i="8"/>
  <c r="R168" i="8"/>
  <c r="Z166" i="8"/>
  <c r="AA166" i="8" s="1"/>
  <c r="AD166" i="8"/>
  <c r="R166" i="8"/>
  <c r="Z165" i="8"/>
  <c r="AA165" i="8" s="1"/>
  <c r="R165" i="8"/>
  <c r="R164" i="8"/>
  <c r="AD163" i="8"/>
  <c r="R163" i="8"/>
  <c r="R162" i="8"/>
  <c r="R161" i="8"/>
  <c r="R157" i="8"/>
  <c r="Z154" i="8"/>
  <c r="AA154" i="8" s="1"/>
  <c r="R154" i="8"/>
  <c r="AD154" i="8" s="1"/>
  <c r="Z153" i="8"/>
  <c r="AA153" i="8" s="1"/>
  <c r="R153" i="8"/>
  <c r="Z152" i="8"/>
  <c r="AA152" i="8" s="1"/>
  <c r="R152" i="8"/>
  <c r="Z151" i="8"/>
  <c r="AA151" i="8" s="1"/>
  <c r="AD151" i="8"/>
  <c r="R151" i="8"/>
  <c r="Z150" i="8"/>
  <c r="AA150" i="8" s="1"/>
  <c r="R150" i="8"/>
  <c r="Z149" i="8"/>
  <c r="AA149" i="8" s="1"/>
  <c r="R149" i="8"/>
  <c r="AD149" i="8" s="1"/>
  <c r="Z145" i="8"/>
  <c r="AA145" i="8" s="1"/>
  <c r="R145" i="8"/>
  <c r="Z143" i="8"/>
  <c r="AA143" i="8" s="1"/>
  <c r="AD143" i="8"/>
  <c r="R143" i="8"/>
  <c r="Z141" i="8"/>
  <c r="AA141" i="8" s="1"/>
  <c r="R141" i="8"/>
  <c r="Z137" i="8"/>
  <c r="AA137" i="8" s="1"/>
  <c r="R137" i="8"/>
  <c r="AD137" i="8" s="1"/>
  <c r="Z136" i="8"/>
  <c r="AA136" i="8" s="1"/>
  <c r="R136" i="8"/>
  <c r="Z135" i="8"/>
  <c r="AA135" i="8" s="1"/>
  <c r="R135" i="8"/>
  <c r="AD135" i="8" s="1"/>
  <c r="R134" i="8"/>
  <c r="AD134" i="8" s="1"/>
  <c r="Z133" i="8"/>
  <c r="AA133" i="8" s="1"/>
  <c r="R133" i="8"/>
  <c r="AD133" i="8" s="1"/>
  <c r="R132" i="8"/>
  <c r="AD132" i="8" s="1"/>
  <c r="Z131" i="8"/>
  <c r="AA131" i="8" s="1"/>
  <c r="R131" i="8"/>
  <c r="AD131" i="8" s="1"/>
  <c r="R130" i="8"/>
  <c r="Z129" i="8"/>
  <c r="AA129" i="8" s="1"/>
  <c r="R129" i="8"/>
  <c r="AD129" i="8" s="1"/>
  <c r="R128" i="8"/>
  <c r="Z127" i="8"/>
  <c r="AA127" i="8" s="1"/>
  <c r="R127" i="8"/>
  <c r="AD127" i="8" s="1"/>
  <c r="R126" i="8"/>
  <c r="Z122" i="8"/>
  <c r="AA122" i="8" s="1"/>
  <c r="R122" i="8"/>
  <c r="AD122" i="8" s="1"/>
  <c r="R121" i="8"/>
  <c r="Z117" i="8"/>
  <c r="AA117" i="8" s="1"/>
  <c r="R117" i="8"/>
  <c r="R116" i="8"/>
  <c r="Z116" i="8" s="1"/>
  <c r="AA116" i="8" s="1"/>
  <c r="R112" i="8"/>
  <c r="AB111" i="8"/>
  <c r="AB110" i="8"/>
  <c r="AB109" i="8"/>
  <c r="AB108" i="8"/>
  <c r="AB107" i="8"/>
  <c r="AD106" i="8"/>
  <c r="R106" i="8"/>
  <c r="Z106" i="8" s="1"/>
  <c r="AD105" i="8"/>
  <c r="AA105" i="8"/>
  <c r="Z105" i="8"/>
  <c r="R105" i="8"/>
  <c r="AD104" i="8"/>
  <c r="R104" i="8"/>
  <c r="Z104" i="8" s="1"/>
  <c r="AD103" i="8"/>
  <c r="Z103" i="8"/>
  <c r="R103" i="8"/>
  <c r="AD102" i="8"/>
  <c r="R102" i="8"/>
  <c r="Z102" i="8" s="1"/>
  <c r="AD101" i="8"/>
  <c r="AA101" i="8"/>
  <c r="Z101" i="8"/>
  <c r="R101" i="8"/>
  <c r="R100" i="8"/>
  <c r="Z100" i="8" s="1"/>
  <c r="AD99" i="8"/>
  <c r="Z99" i="8"/>
  <c r="R99" i="8"/>
  <c r="R98" i="8"/>
  <c r="Z98" i="8" s="1"/>
  <c r="AD97" i="8"/>
  <c r="Z97" i="8"/>
  <c r="R97" i="8"/>
  <c r="R96" i="8"/>
  <c r="Z96" i="8" s="1"/>
  <c r="AB94" i="8"/>
  <c r="AB93" i="8"/>
  <c r="AA91" i="8"/>
  <c r="R91" i="8"/>
  <c r="Z91" i="8" s="1"/>
  <c r="AD90" i="8"/>
  <c r="AA90" i="8"/>
  <c r="Z90" i="8"/>
  <c r="R90" i="8"/>
  <c r="R89" i="8"/>
  <c r="Z89" i="8" s="1"/>
  <c r="AA89" i="8" s="1"/>
  <c r="AD88" i="8"/>
  <c r="Z88" i="8"/>
  <c r="AA88" i="8" s="1"/>
  <c r="R88" i="8"/>
  <c r="AA87" i="8"/>
  <c r="R87" i="8"/>
  <c r="Z87" i="8" s="1"/>
  <c r="AD85" i="8"/>
  <c r="AA85" i="8"/>
  <c r="Z85" i="8"/>
  <c r="R85" i="8"/>
  <c r="R84" i="8"/>
  <c r="AD84" i="8" s="1"/>
  <c r="AD82" i="8"/>
  <c r="Z82" i="8"/>
  <c r="AA82" i="8" s="1"/>
  <c r="R82" i="8"/>
  <c r="AA79" i="8"/>
  <c r="R79" i="8"/>
  <c r="Z79" i="8" s="1"/>
  <c r="AD76" i="8"/>
  <c r="AA76" i="8"/>
  <c r="Z76" i="8"/>
  <c r="R76" i="8"/>
  <c r="Z74" i="8"/>
  <c r="AA74" i="8" s="1"/>
  <c r="R74" i="8"/>
  <c r="AA73" i="8"/>
  <c r="Z73" i="8"/>
  <c r="R73" i="8"/>
  <c r="R72" i="8"/>
  <c r="AD72" i="8" s="1"/>
  <c r="Y70" i="8"/>
  <c r="R70" i="8"/>
  <c r="AD61" i="8"/>
  <c r="Z61" i="8"/>
  <c r="AA61" i="8" s="1"/>
  <c r="R61" i="8"/>
  <c r="R60" i="8"/>
  <c r="AD59" i="8"/>
  <c r="Z59" i="8"/>
  <c r="AA59" i="8" s="1"/>
  <c r="R59" i="8"/>
  <c r="R58" i="8"/>
  <c r="AD57" i="8"/>
  <c r="Z57" i="8"/>
  <c r="AA57" i="8" s="1"/>
  <c r="R57" i="8"/>
  <c r="R56" i="8"/>
  <c r="AD54" i="8"/>
  <c r="Z54" i="8"/>
  <c r="AA54" i="8" s="1"/>
  <c r="R54" i="8"/>
  <c r="R53" i="8"/>
  <c r="AD52" i="8"/>
  <c r="Z52" i="8"/>
  <c r="AA52" i="8" s="1"/>
  <c r="R52" i="8"/>
  <c r="R51" i="8"/>
  <c r="AD50" i="8"/>
  <c r="Z50" i="8"/>
  <c r="AA50" i="8" s="1"/>
  <c r="R50" i="8"/>
  <c r="R49" i="8"/>
  <c r="AD47" i="8"/>
  <c r="Z47" i="8"/>
  <c r="AA47" i="8" s="1"/>
  <c r="R47" i="8"/>
  <c r="R46" i="8"/>
  <c r="AD45" i="8"/>
  <c r="Z45" i="8"/>
  <c r="AA45" i="8" s="1"/>
  <c r="R45" i="8"/>
  <c r="R44" i="8"/>
  <c r="AD42" i="8"/>
  <c r="Z42" i="8"/>
  <c r="AA42" i="8" s="1"/>
  <c r="R42" i="8"/>
  <c r="R41" i="8"/>
  <c r="AD40" i="8"/>
  <c r="Z40" i="8"/>
  <c r="AA40" i="8" s="1"/>
  <c r="R40" i="8"/>
  <c r="R39" i="8"/>
  <c r="AD37" i="8"/>
  <c r="Z37" i="8"/>
  <c r="AA37" i="8" s="1"/>
  <c r="R37" i="8"/>
  <c r="R36" i="8"/>
  <c r="AD34" i="8"/>
  <c r="Z34" i="8"/>
  <c r="AA34" i="8" s="1"/>
  <c r="R34" i="8"/>
  <c r="R33" i="8"/>
  <c r="AD32" i="8"/>
  <c r="Z32" i="8"/>
  <c r="AA32" i="8" s="1"/>
  <c r="R32" i="8"/>
  <c r="R30" i="8"/>
  <c r="AD29" i="8"/>
  <c r="Z29" i="8"/>
  <c r="AA29" i="8" s="1"/>
  <c r="R29" i="8"/>
  <c r="R28" i="8"/>
  <c r="AD27" i="8"/>
  <c r="Z27" i="8"/>
  <c r="AA27" i="8" s="1"/>
  <c r="R27" i="8"/>
  <c r="Z26" i="8"/>
  <c r="AA26" i="8" s="1"/>
  <c r="R26" i="8"/>
  <c r="S184" i="9" l="1"/>
  <c r="AB26" i="9"/>
  <c r="AB184" i="9" s="1"/>
  <c r="AD153" i="8"/>
  <c r="Z56" i="8"/>
  <c r="AA56" i="8" s="1"/>
  <c r="AD56" i="8"/>
  <c r="Z33" i="8"/>
  <c r="AA33" i="8" s="1"/>
  <c r="AD33" i="8"/>
  <c r="Z44" i="8"/>
  <c r="AA44" i="8" s="1"/>
  <c r="AD44" i="8"/>
  <c r="Z30" i="8"/>
  <c r="AA30" i="8" s="1"/>
  <c r="AD30" i="8"/>
  <c r="Z41" i="8"/>
  <c r="AA41" i="8" s="1"/>
  <c r="AD41" i="8"/>
  <c r="Z51" i="8"/>
  <c r="AA51" i="8" s="1"/>
  <c r="AD51" i="8"/>
  <c r="Z60" i="8"/>
  <c r="AA60" i="8" s="1"/>
  <c r="AD60" i="8"/>
  <c r="AD70" i="8"/>
  <c r="R184" i="8"/>
  <c r="S33" i="8" s="1"/>
  <c r="AD26" i="8"/>
  <c r="Z28" i="8"/>
  <c r="AA28" i="8" s="1"/>
  <c r="AD28" i="8"/>
  <c r="Z39" i="8"/>
  <c r="AA39" i="8" s="1"/>
  <c r="AD39" i="8"/>
  <c r="Z49" i="8"/>
  <c r="AA49" i="8" s="1"/>
  <c r="AD49" i="8"/>
  <c r="Z58" i="8"/>
  <c r="AA58" i="8" s="1"/>
  <c r="AD58" i="8"/>
  <c r="Z70" i="8"/>
  <c r="Z72" i="8"/>
  <c r="AA72" i="8" s="1"/>
  <c r="Z46" i="8"/>
  <c r="AA46" i="8" s="1"/>
  <c r="AD46" i="8"/>
  <c r="S46" i="8"/>
  <c r="Z84" i="8"/>
  <c r="AA84" i="8" s="1"/>
  <c r="Z36" i="8"/>
  <c r="AA36" i="8" s="1"/>
  <c r="AD36" i="8"/>
  <c r="Z53" i="8"/>
  <c r="AA53" i="8" s="1"/>
  <c r="AD53" i="8"/>
  <c r="S53" i="8"/>
  <c r="AD79" i="8"/>
  <c r="AD87" i="8"/>
  <c r="AD91" i="8"/>
  <c r="S96" i="8"/>
  <c r="AB96" i="8" s="1"/>
  <c r="S100" i="8"/>
  <c r="AB100" i="8" s="1"/>
  <c r="AD112" i="8"/>
  <c r="S112" i="8"/>
  <c r="S181" i="8"/>
  <c r="AB181" i="8" s="1"/>
  <c r="AD73" i="8"/>
  <c r="S73" i="8"/>
  <c r="AB73" i="8" s="1"/>
  <c r="S79" i="8"/>
  <c r="AB79" i="8" s="1"/>
  <c r="AD98" i="8"/>
  <c r="Z112" i="8"/>
  <c r="AA112" i="8" s="1"/>
  <c r="AD121" i="8"/>
  <c r="S121" i="8"/>
  <c r="Z121" i="8"/>
  <c r="AA121" i="8" s="1"/>
  <c r="AB121" i="8" s="1"/>
  <c r="AD126" i="8"/>
  <c r="Z126" i="8"/>
  <c r="AA126" i="8" s="1"/>
  <c r="AD128" i="8"/>
  <c r="Z128" i="8"/>
  <c r="AA128" i="8" s="1"/>
  <c r="AD130" i="8"/>
  <c r="S130" i="8"/>
  <c r="Z130" i="8"/>
  <c r="AA130" i="8" s="1"/>
  <c r="S145" i="8"/>
  <c r="AB145" i="8" s="1"/>
  <c r="AD89" i="8"/>
  <c r="AD117" i="8"/>
  <c r="S117" i="8"/>
  <c r="AB117" i="8" s="1"/>
  <c r="S157" i="8"/>
  <c r="AB157" i="8" s="1"/>
  <c r="AD96" i="8"/>
  <c r="AD100" i="8"/>
  <c r="AD116" i="8"/>
  <c r="S136" i="8"/>
  <c r="AB136" i="8" s="1"/>
  <c r="S152" i="8"/>
  <c r="AB152" i="8" s="1"/>
  <c r="S170" i="8"/>
  <c r="AB170" i="8" s="1"/>
  <c r="Z132" i="8"/>
  <c r="AA132" i="8" s="1"/>
  <c r="Z134" i="8"/>
  <c r="AA134" i="8" s="1"/>
  <c r="AD136" i="8"/>
  <c r="AD145" i="8"/>
  <c r="AD152" i="8"/>
  <c r="AD157" i="8"/>
  <c r="Z168" i="8"/>
  <c r="AA168" i="8" s="1"/>
  <c r="AD168" i="8"/>
  <c r="Z174" i="8"/>
  <c r="AA174" i="8" s="1"/>
  <c r="Z178" i="8"/>
  <c r="AA178" i="8" s="1"/>
  <c r="S122" i="8"/>
  <c r="AB122" i="8" s="1"/>
  <c r="S127" i="8"/>
  <c r="AB127" i="8" s="1"/>
  <c r="S129" i="8"/>
  <c r="AB129" i="8" s="1"/>
  <c r="S133" i="8"/>
  <c r="AB133" i="8" s="1"/>
  <c r="S135" i="8"/>
  <c r="AB135" i="8" s="1"/>
  <c r="S154" i="8"/>
  <c r="AB154" i="8" s="1"/>
  <c r="AD141" i="8"/>
  <c r="AD150" i="8"/>
  <c r="AD162" i="8"/>
  <c r="AD165" i="8"/>
  <c r="AD170" i="8"/>
  <c r="AD181" i="8"/>
  <c r="S132" i="8"/>
  <c r="Z161" i="8"/>
  <c r="AA161" i="8" s="1"/>
  <c r="Z164" i="8"/>
  <c r="AA164" i="8" s="1"/>
  <c r="AA184" i="8" s="1"/>
  <c r="Z169" i="8"/>
  <c r="AA169" i="8" s="1"/>
  <c r="S178" i="8"/>
  <c r="Y149" i="7"/>
  <c r="Y171" i="7"/>
  <c r="Y170" i="7"/>
  <c r="Y169" i="7"/>
  <c r="Y168" i="7"/>
  <c r="Y166" i="7"/>
  <c r="Y165" i="7"/>
  <c r="Y164" i="7"/>
  <c r="Y162" i="7"/>
  <c r="Y161" i="7"/>
  <c r="AB161" i="8" l="1"/>
  <c r="S174" i="8"/>
  <c r="S134" i="8"/>
  <c r="S175" i="8"/>
  <c r="AB175" i="8" s="1"/>
  <c r="S131" i="8"/>
  <c r="AB131" i="8" s="1"/>
  <c r="AB178" i="8"/>
  <c r="AB134" i="8"/>
  <c r="AD164" i="8"/>
  <c r="S116" i="8"/>
  <c r="AB116" i="8" s="1"/>
  <c r="AD169" i="8"/>
  <c r="S150" i="8"/>
  <c r="AB150" i="8" s="1"/>
  <c r="S162" i="8"/>
  <c r="AB162" i="8" s="1"/>
  <c r="AB128" i="8"/>
  <c r="S126" i="8"/>
  <c r="S91" i="8"/>
  <c r="AB91" i="8" s="1"/>
  <c r="S84" i="8"/>
  <c r="AB46" i="8"/>
  <c r="S26" i="8"/>
  <c r="S60" i="8"/>
  <c r="AB60" i="8" s="1"/>
  <c r="S51" i="8"/>
  <c r="S41" i="8"/>
  <c r="AB41" i="8" s="1"/>
  <c r="S30" i="8"/>
  <c r="AB44" i="8"/>
  <c r="AB169" i="8"/>
  <c r="AB174" i="8"/>
  <c r="AB132" i="8"/>
  <c r="S168" i="8"/>
  <c r="AB130" i="8"/>
  <c r="S128" i="8"/>
  <c r="AB112" i="8"/>
  <c r="S87" i="8"/>
  <c r="AB87" i="8" s="1"/>
  <c r="Y184" i="8"/>
  <c r="Z184" i="8" s="1"/>
  <c r="S165" i="8"/>
  <c r="AB165" i="8" s="1"/>
  <c r="S141" i="8"/>
  <c r="AB141" i="8" s="1"/>
  <c r="AB53" i="8"/>
  <c r="S36" i="8"/>
  <c r="AB84" i="8"/>
  <c r="S58" i="8"/>
  <c r="S49" i="8"/>
  <c r="S39" i="8"/>
  <c r="S28" i="8"/>
  <c r="AD161" i="8"/>
  <c r="AD184" i="8" s="1"/>
  <c r="AB72" i="8"/>
  <c r="S169" i="8"/>
  <c r="S164" i="8"/>
  <c r="AB164" i="8" s="1"/>
  <c r="S161" i="8"/>
  <c r="S153" i="8"/>
  <c r="AB153" i="8" s="1"/>
  <c r="S149" i="8"/>
  <c r="AB149" i="8" s="1"/>
  <c r="S137" i="8"/>
  <c r="AB137" i="8" s="1"/>
  <c r="S171" i="8"/>
  <c r="AB171" i="8" s="1"/>
  <c r="S166" i="8"/>
  <c r="AB166" i="8" s="1"/>
  <c r="S163" i="8"/>
  <c r="AB163" i="8" s="1"/>
  <c r="S151" i="8"/>
  <c r="AB151" i="8" s="1"/>
  <c r="S143" i="8"/>
  <c r="AB143" i="8" s="1"/>
  <c r="S105" i="8"/>
  <c r="AB105" i="8" s="1"/>
  <c r="S104" i="8"/>
  <c r="AB104" i="8" s="1"/>
  <c r="S99" i="8"/>
  <c r="AB99" i="8" s="1"/>
  <c r="S103" i="8"/>
  <c r="AB103" i="8" s="1"/>
  <c r="S102" i="8"/>
  <c r="AB102" i="8" s="1"/>
  <c r="S98" i="8"/>
  <c r="AB98" i="8" s="1"/>
  <c r="S88" i="8"/>
  <c r="AB88" i="8" s="1"/>
  <c r="S101" i="8"/>
  <c r="AB101" i="8" s="1"/>
  <c r="S97" i="8"/>
  <c r="AB97" i="8" s="1"/>
  <c r="S106" i="8"/>
  <c r="AB106" i="8" s="1"/>
  <c r="S90" i="8"/>
  <c r="AB90" i="8" s="1"/>
  <c r="S85" i="8"/>
  <c r="AB85" i="8" s="1"/>
  <c r="S76" i="8"/>
  <c r="AB76" i="8" s="1"/>
  <c r="S89" i="8"/>
  <c r="AB89" i="8" s="1"/>
  <c r="S82" i="8"/>
  <c r="AB82" i="8" s="1"/>
  <c r="S27" i="8"/>
  <c r="AB27" i="8" s="1"/>
  <c r="S57" i="8"/>
  <c r="AB57" i="8" s="1"/>
  <c r="S59" i="8"/>
  <c r="AB59" i="8" s="1"/>
  <c r="S50" i="8"/>
  <c r="AB50" i="8" s="1"/>
  <c r="S40" i="8"/>
  <c r="AB40" i="8" s="1"/>
  <c r="S29" i="8"/>
  <c r="AB29" i="8" s="1"/>
  <c r="S54" i="8"/>
  <c r="AB54" i="8" s="1"/>
  <c r="S45" i="8"/>
  <c r="AB45" i="8" s="1"/>
  <c r="S34" i="8"/>
  <c r="AB34" i="8" s="1"/>
  <c r="S47" i="8"/>
  <c r="AB47" i="8" s="1"/>
  <c r="S37" i="8"/>
  <c r="AB37" i="8" s="1"/>
  <c r="S74" i="8"/>
  <c r="AB74" i="8" s="1"/>
  <c r="S61" i="8"/>
  <c r="AB61" i="8" s="1"/>
  <c r="S52" i="8"/>
  <c r="AB52" i="8" s="1"/>
  <c r="S42" i="8"/>
  <c r="AB42" i="8" s="1"/>
  <c r="S32" i="8"/>
  <c r="AB32" i="8" s="1"/>
  <c r="AB51" i="8"/>
  <c r="AB30" i="8"/>
  <c r="S44" i="8"/>
  <c r="S56" i="8"/>
  <c r="AB56" i="8" s="1"/>
  <c r="AB168" i="8"/>
  <c r="AB126" i="8"/>
  <c r="AB36" i="8"/>
  <c r="AB58" i="8"/>
  <c r="AB49" i="8"/>
  <c r="AB39" i="8"/>
  <c r="AB28" i="8"/>
  <c r="S70" i="8"/>
  <c r="AB70" i="8" s="1"/>
  <c r="S72" i="8"/>
  <c r="AB33" i="8"/>
  <c r="Y137" i="7"/>
  <c r="Y181" i="7"/>
  <c r="Z181" i="7" s="1"/>
  <c r="AA181" i="7" s="1"/>
  <c r="Y145" i="7"/>
  <c r="Y143" i="7"/>
  <c r="AD143" i="7" s="1"/>
  <c r="Y141" i="7"/>
  <c r="AD141" i="7" s="1"/>
  <c r="Y157" i="7"/>
  <c r="Y150" i="7"/>
  <c r="Y153" i="7"/>
  <c r="Z153" i="7" s="1"/>
  <c r="AA153" i="7" s="1"/>
  <c r="Y151" i="7"/>
  <c r="Z151" i="7"/>
  <c r="AA151" i="7" s="1"/>
  <c r="Y74" i="7"/>
  <c r="Y70" i="7"/>
  <c r="AC184" i="7"/>
  <c r="T184" i="7"/>
  <c r="R181" i="7"/>
  <c r="R178" i="7"/>
  <c r="AD178" i="7" s="1"/>
  <c r="AD175" i="7"/>
  <c r="Z175" i="7"/>
  <c r="AA175" i="7" s="1"/>
  <c r="R175" i="7"/>
  <c r="R174" i="7"/>
  <c r="AD174" i="7" s="1"/>
  <c r="Z171" i="7"/>
  <c r="AA171" i="7" s="1"/>
  <c r="AD171" i="7"/>
  <c r="R171" i="7"/>
  <c r="Z170" i="7"/>
  <c r="AA170" i="7" s="1"/>
  <c r="R170" i="7"/>
  <c r="R169" i="7"/>
  <c r="R168" i="7"/>
  <c r="Z166" i="7"/>
  <c r="AA166" i="7" s="1"/>
  <c r="AD166" i="7"/>
  <c r="R166" i="7"/>
  <c r="Z165" i="7"/>
  <c r="AA165" i="7" s="1"/>
  <c r="R165" i="7"/>
  <c r="R164" i="7"/>
  <c r="AA163" i="7"/>
  <c r="Z163" i="7"/>
  <c r="R163" i="7"/>
  <c r="AD163" i="7" s="1"/>
  <c r="Z162" i="7"/>
  <c r="AA162" i="7" s="1"/>
  <c r="R162" i="7"/>
  <c r="R161" i="7"/>
  <c r="R157" i="7"/>
  <c r="AD154" i="7"/>
  <c r="Z154" i="7"/>
  <c r="AA154" i="7" s="1"/>
  <c r="R154" i="7"/>
  <c r="R153" i="7"/>
  <c r="AD153" i="7" s="1"/>
  <c r="R152" i="7"/>
  <c r="R151" i="7"/>
  <c r="Z150" i="7"/>
  <c r="AA150" i="7" s="1"/>
  <c r="R150" i="7"/>
  <c r="Z149" i="7"/>
  <c r="AA149" i="7" s="1"/>
  <c r="R149" i="7"/>
  <c r="AD149" i="7" s="1"/>
  <c r="R145" i="7"/>
  <c r="Z143" i="7"/>
  <c r="AA143" i="7" s="1"/>
  <c r="R143" i="7"/>
  <c r="Z141" i="7"/>
  <c r="AA141" i="7" s="1"/>
  <c r="R141" i="7"/>
  <c r="Z137" i="7"/>
  <c r="AA137" i="7" s="1"/>
  <c r="R137" i="7"/>
  <c r="AD137" i="7" s="1"/>
  <c r="R136" i="7"/>
  <c r="AD135" i="7"/>
  <c r="Z135" i="7"/>
  <c r="AA135" i="7" s="1"/>
  <c r="R135" i="7"/>
  <c r="R134" i="7"/>
  <c r="AD133" i="7"/>
  <c r="Z133" i="7"/>
  <c r="AA133" i="7" s="1"/>
  <c r="R133" i="7"/>
  <c r="R132" i="7"/>
  <c r="AD131" i="7"/>
  <c r="Z131" i="7"/>
  <c r="AA131" i="7" s="1"/>
  <c r="R131" i="7"/>
  <c r="R130" i="7"/>
  <c r="AD129" i="7"/>
  <c r="Z129" i="7"/>
  <c r="AA129" i="7" s="1"/>
  <c r="R129" i="7"/>
  <c r="R128" i="7"/>
  <c r="AD127" i="7"/>
  <c r="Z127" i="7"/>
  <c r="AA127" i="7" s="1"/>
  <c r="R127" i="7"/>
  <c r="R126" i="7"/>
  <c r="AD122" i="7"/>
  <c r="Z122" i="7"/>
  <c r="AA122" i="7" s="1"/>
  <c r="R122" i="7"/>
  <c r="R121" i="7"/>
  <c r="AD117" i="7"/>
  <c r="Z117" i="7"/>
  <c r="AA117" i="7" s="1"/>
  <c r="R117" i="7"/>
  <c r="R116" i="7"/>
  <c r="AD112" i="7"/>
  <c r="Z112" i="7"/>
  <c r="AA112" i="7" s="1"/>
  <c r="R112" i="7"/>
  <c r="AB111" i="7"/>
  <c r="AB110" i="7"/>
  <c r="AB109" i="7"/>
  <c r="AB108" i="7"/>
  <c r="AB107" i="7"/>
  <c r="Z106" i="7"/>
  <c r="AA106" i="7" s="1"/>
  <c r="R106" i="7"/>
  <c r="R105" i="7"/>
  <c r="AD104" i="7"/>
  <c r="Z104" i="7"/>
  <c r="AA104" i="7" s="1"/>
  <c r="R104" i="7"/>
  <c r="Z103" i="7"/>
  <c r="AA103" i="7" s="1"/>
  <c r="R103" i="7"/>
  <c r="AD103" i="7" s="1"/>
  <c r="R102" i="7"/>
  <c r="AD102" i="7" s="1"/>
  <c r="AD101" i="7"/>
  <c r="Z101" i="7"/>
  <c r="AA101" i="7" s="1"/>
  <c r="R101" i="7"/>
  <c r="R100" i="7"/>
  <c r="AD100" i="7" s="1"/>
  <c r="R99" i="7"/>
  <c r="AD99" i="7" s="1"/>
  <c r="Z98" i="7"/>
  <c r="AA98" i="7" s="1"/>
  <c r="R98" i="7"/>
  <c r="AD97" i="7"/>
  <c r="Z97" i="7"/>
  <c r="AA97" i="7" s="1"/>
  <c r="R97" i="7"/>
  <c r="AD96" i="7"/>
  <c r="R96" i="7"/>
  <c r="AB94" i="7"/>
  <c r="AB93" i="7"/>
  <c r="Z91" i="7"/>
  <c r="AA91" i="7" s="1"/>
  <c r="R91" i="7"/>
  <c r="AD91" i="7" s="1"/>
  <c r="Z90" i="7"/>
  <c r="AA90" i="7" s="1"/>
  <c r="R90" i="7"/>
  <c r="Z89" i="7"/>
  <c r="AA89" i="7" s="1"/>
  <c r="R89" i="7"/>
  <c r="AD89" i="7" s="1"/>
  <c r="AA88" i="7"/>
  <c r="Z88" i="7"/>
  <c r="R88" i="7"/>
  <c r="AD87" i="7"/>
  <c r="R87" i="7"/>
  <c r="Z87" i="7" s="1"/>
  <c r="AA87" i="7" s="1"/>
  <c r="R85" i="7"/>
  <c r="Z85" i="7" s="1"/>
  <c r="AA85" i="7" s="1"/>
  <c r="R84" i="7"/>
  <c r="R82" i="7"/>
  <c r="Z79" i="7"/>
  <c r="AA79" i="7" s="1"/>
  <c r="R79" i="7"/>
  <c r="AD79" i="7" s="1"/>
  <c r="Z76" i="7"/>
  <c r="AA76" i="7" s="1"/>
  <c r="R76" i="7"/>
  <c r="Z74" i="7"/>
  <c r="AA74" i="7" s="1"/>
  <c r="R74" i="7"/>
  <c r="AD74" i="7" s="1"/>
  <c r="AA73" i="7"/>
  <c r="Z73" i="7"/>
  <c r="R73" i="7"/>
  <c r="R72" i="7"/>
  <c r="Z72" i="7" s="1"/>
  <c r="AA72" i="7" s="1"/>
  <c r="R70" i="7"/>
  <c r="R61" i="7"/>
  <c r="Z60" i="7"/>
  <c r="AA60" i="7" s="1"/>
  <c r="R60" i="7"/>
  <c r="AD60" i="7" s="1"/>
  <c r="R59" i="7"/>
  <c r="Z59" i="7" s="1"/>
  <c r="AA59" i="7" s="1"/>
  <c r="AD58" i="7"/>
  <c r="Z58" i="7"/>
  <c r="AA58" i="7" s="1"/>
  <c r="R58" i="7"/>
  <c r="R57" i="7"/>
  <c r="Z57" i="7" s="1"/>
  <c r="AA57" i="7" s="1"/>
  <c r="AD56" i="7"/>
  <c r="Z56" i="7"/>
  <c r="AA56" i="7" s="1"/>
  <c r="R56" i="7"/>
  <c r="R54" i="7"/>
  <c r="Z54" i="7" s="1"/>
  <c r="AA54" i="7" s="1"/>
  <c r="AD53" i="7"/>
  <c r="Z53" i="7"/>
  <c r="AA53" i="7" s="1"/>
  <c r="R53" i="7"/>
  <c r="R52" i="7"/>
  <c r="Z52" i="7" s="1"/>
  <c r="AA52" i="7" s="1"/>
  <c r="AD51" i="7"/>
  <c r="Z51" i="7"/>
  <c r="AA51" i="7" s="1"/>
  <c r="R51" i="7"/>
  <c r="R50" i="7"/>
  <c r="Z50" i="7" s="1"/>
  <c r="AA50" i="7" s="1"/>
  <c r="AD49" i="7"/>
  <c r="Z49" i="7"/>
  <c r="AA49" i="7" s="1"/>
  <c r="R49" i="7"/>
  <c r="R47" i="7"/>
  <c r="Z47" i="7" s="1"/>
  <c r="AA47" i="7" s="1"/>
  <c r="AD46" i="7"/>
  <c r="Z46" i="7"/>
  <c r="AA46" i="7" s="1"/>
  <c r="R46" i="7"/>
  <c r="R45" i="7"/>
  <c r="Z45" i="7" s="1"/>
  <c r="AA45" i="7" s="1"/>
  <c r="AD44" i="7"/>
  <c r="Z44" i="7"/>
  <c r="AA44" i="7" s="1"/>
  <c r="R44" i="7"/>
  <c r="R42" i="7"/>
  <c r="Z42" i="7" s="1"/>
  <c r="AA42" i="7" s="1"/>
  <c r="AD41" i="7"/>
  <c r="Z41" i="7"/>
  <c r="AA41" i="7" s="1"/>
  <c r="R41" i="7"/>
  <c r="R40" i="7"/>
  <c r="Z40" i="7" s="1"/>
  <c r="AA40" i="7" s="1"/>
  <c r="AD39" i="7"/>
  <c r="Z39" i="7"/>
  <c r="AA39" i="7" s="1"/>
  <c r="R39" i="7"/>
  <c r="R37" i="7"/>
  <c r="Z37" i="7" s="1"/>
  <c r="AA37" i="7" s="1"/>
  <c r="AD36" i="7"/>
  <c r="Z36" i="7"/>
  <c r="AA36" i="7" s="1"/>
  <c r="R36" i="7"/>
  <c r="R34" i="7"/>
  <c r="Z34" i="7" s="1"/>
  <c r="AA34" i="7" s="1"/>
  <c r="AD33" i="7"/>
  <c r="Z33" i="7"/>
  <c r="AA33" i="7" s="1"/>
  <c r="R33" i="7"/>
  <c r="R32" i="7"/>
  <c r="Z32" i="7" s="1"/>
  <c r="AA32" i="7" s="1"/>
  <c r="AD30" i="7"/>
  <c r="Z30" i="7"/>
  <c r="AA30" i="7" s="1"/>
  <c r="R30" i="7"/>
  <c r="R29" i="7"/>
  <c r="Z29" i="7" s="1"/>
  <c r="AA29" i="7" s="1"/>
  <c r="AD28" i="7"/>
  <c r="Z28" i="7"/>
  <c r="AA28" i="7" s="1"/>
  <c r="R28" i="7"/>
  <c r="R27" i="7"/>
  <c r="Z27" i="7" s="1"/>
  <c r="AA27" i="7" s="1"/>
  <c r="AD26" i="7"/>
  <c r="Z26" i="7"/>
  <c r="AA26" i="7" s="1"/>
  <c r="R26" i="7"/>
  <c r="AB184" i="8" l="1"/>
  <c r="S184" i="8"/>
  <c r="AB26" i="8"/>
  <c r="AD151" i="7"/>
  <c r="Z70" i="7"/>
  <c r="AA70" i="7" s="1"/>
  <c r="AD72" i="7"/>
  <c r="AD27" i="7"/>
  <c r="AD29" i="7"/>
  <c r="AD32" i="7"/>
  <c r="AD34" i="7"/>
  <c r="AD37" i="7"/>
  <c r="AD40" i="7"/>
  <c r="AD42" i="7"/>
  <c r="AD45" i="7"/>
  <c r="AD47" i="7"/>
  <c r="AD50" i="7"/>
  <c r="AD52" i="7"/>
  <c r="AD54" i="7"/>
  <c r="AD57" i="7"/>
  <c r="AD59" i="7"/>
  <c r="Z61" i="7"/>
  <c r="AA61" i="7" s="1"/>
  <c r="AD73" i="7"/>
  <c r="Z84" i="7"/>
  <c r="AA84" i="7" s="1"/>
  <c r="AD88" i="7"/>
  <c r="AD98" i="7"/>
  <c r="Z99" i="7"/>
  <c r="AA99" i="7" s="1"/>
  <c r="AD105" i="7"/>
  <c r="AD106" i="7"/>
  <c r="AD126" i="7"/>
  <c r="Z126" i="7"/>
  <c r="AA126" i="7" s="1"/>
  <c r="AD134" i="7"/>
  <c r="Z134" i="7"/>
  <c r="AA134" i="7" s="1"/>
  <c r="AD70" i="7"/>
  <c r="R184" i="7"/>
  <c r="S72" i="7" s="1"/>
  <c r="AB72" i="7" s="1"/>
  <c r="AD76" i="7"/>
  <c r="AD90" i="7"/>
  <c r="S90" i="7"/>
  <c r="AB90" i="7" s="1"/>
  <c r="Z100" i="7"/>
  <c r="AA100" i="7" s="1"/>
  <c r="Z102" i="7"/>
  <c r="AA102" i="7" s="1"/>
  <c r="Z105" i="7"/>
  <c r="AA105" i="7" s="1"/>
  <c r="AD121" i="7"/>
  <c r="Z121" i="7"/>
  <c r="AA121" i="7" s="1"/>
  <c r="AD132" i="7"/>
  <c r="Z132" i="7"/>
  <c r="AA132" i="7" s="1"/>
  <c r="S136" i="7"/>
  <c r="Z136" i="7"/>
  <c r="AA136" i="7" s="1"/>
  <c r="AD136" i="7"/>
  <c r="AD61" i="7"/>
  <c r="AD82" i="7"/>
  <c r="S82" i="7"/>
  <c r="AD84" i="7"/>
  <c r="Z96" i="7"/>
  <c r="AA96" i="7" s="1"/>
  <c r="AD116" i="7"/>
  <c r="Z116" i="7"/>
  <c r="AA116" i="7" s="1"/>
  <c r="AD130" i="7"/>
  <c r="Z130" i="7"/>
  <c r="AA130" i="7" s="1"/>
  <c r="S145" i="7"/>
  <c r="Z145" i="7"/>
  <c r="AA145" i="7" s="1"/>
  <c r="AD145" i="7"/>
  <c r="AD164" i="7"/>
  <c r="Z82" i="7"/>
  <c r="AA82" i="7" s="1"/>
  <c r="AD85" i="7"/>
  <c r="S85" i="7"/>
  <c r="AB85" i="7" s="1"/>
  <c r="AD128" i="7"/>
  <c r="S128" i="7"/>
  <c r="Z128" i="7"/>
  <c r="AA128" i="7" s="1"/>
  <c r="S143" i="7"/>
  <c r="AB143" i="7" s="1"/>
  <c r="AD150" i="7"/>
  <c r="AD152" i="7"/>
  <c r="AD157" i="7"/>
  <c r="S163" i="7"/>
  <c r="AB163" i="7" s="1"/>
  <c r="Z168" i="7"/>
  <c r="AA168" i="7" s="1"/>
  <c r="Z174" i="7"/>
  <c r="AA174" i="7" s="1"/>
  <c r="Z178" i="7"/>
  <c r="AA178" i="7" s="1"/>
  <c r="Z152" i="7"/>
  <c r="AA152" i="7" s="1"/>
  <c r="Z157" i="7"/>
  <c r="AA157" i="7" s="1"/>
  <c r="AD162" i="7"/>
  <c r="AD165" i="7"/>
  <c r="AD170" i="7"/>
  <c r="AD181" i="7"/>
  <c r="Z161" i="7"/>
  <c r="AA161" i="7" s="1"/>
  <c r="Z164" i="7"/>
  <c r="AA164" i="7" s="1"/>
  <c r="Z169" i="7"/>
  <c r="AA169" i="7" s="1"/>
  <c r="Y157" i="6"/>
  <c r="Y151" i="6"/>
  <c r="Y143" i="6"/>
  <c r="Y152" i="6"/>
  <c r="Y181" i="6"/>
  <c r="Y171" i="6"/>
  <c r="Y170" i="6"/>
  <c r="Y169" i="6"/>
  <c r="Y168" i="6"/>
  <c r="Y166" i="6"/>
  <c r="Y165" i="6"/>
  <c r="Y164" i="6"/>
  <c r="Y162" i="6"/>
  <c r="Y161" i="6"/>
  <c r="Y153" i="6"/>
  <c r="Y145" i="6"/>
  <c r="Y141" i="6"/>
  <c r="Y149" i="6"/>
  <c r="Y137" i="6"/>
  <c r="Y136" i="6"/>
  <c r="S152" i="7" l="1"/>
  <c r="AB152" i="7" s="1"/>
  <c r="AB82" i="7"/>
  <c r="S157" i="7"/>
  <c r="AB116" i="7"/>
  <c r="Y184" i="7"/>
  <c r="Z184" i="7" s="1"/>
  <c r="S166" i="7"/>
  <c r="AB166" i="7" s="1"/>
  <c r="S132" i="7"/>
  <c r="S121" i="7"/>
  <c r="AB121" i="7" s="1"/>
  <c r="AB102" i="7"/>
  <c r="S76" i="7"/>
  <c r="AB76" i="7" s="1"/>
  <c r="AB126" i="7"/>
  <c r="AB99" i="7"/>
  <c r="S59" i="7"/>
  <c r="AB59" i="7" s="1"/>
  <c r="S54" i="7"/>
  <c r="AB54" i="7" s="1"/>
  <c r="S50" i="7"/>
  <c r="AB50" i="7" s="1"/>
  <c r="S45" i="7"/>
  <c r="AB45" i="7" s="1"/>
  <c r="S40" i="7"/>
  <c r="AB40" i="7" s="1"/>
  <c r="S34" i="7"/>
  <c r="AB34" i="7" s="1"/>
  <c r="S29" i="7"/>
  <c r="AB29" i="7" s="1"/>
  <c r="S178" i="7"/>
  <c r="S174" i="7"/>
  <c r="AB174" i="7" s="1"/>
  <c r="AB157" i="7"/>
  <c r="AD168" i="7"/>
  <c r="AB128" i="7"/>
  <c r="S102" i="7"/>
  <c r="AB145" i="7"/>
  <c r="S130" i="7"/>
  <c r="AB130" i="7" s="1"/>
  <c r="S116" i="7"/>
  <c r="AB136" i="7"/>
  <c r="AD161" i="7"/>
  <c r="S134" i="7"/>
  <c r="AB134" i="7" s="1"/>
  <c r="S126" i="7"/>
  <c r="S105" i="7"/>
  <c r="AB105" i="7" s="1"/>
  <c r="S87" i="7"/>
  <c r="AB87" i="7" s="1"/>
  <c r="S169" i="7"/>
  <c r="AB169" i="7" s="1"/>
  <c r="S164" i="7"/>
  <c r="AB164" i="7" s="1"/>
  <c r="S161" i="7"/>
  <c r="AB161" i="7" s="1"/>
  <c r="S153" i="7"/>
  <c r="AB153" i="7" s="1"/>
  <c r="S181" i="7"/>
  <c r="AB181" i="7" s="1"/>
  <c r="S175" i="7"/>
  <c r="AB175" i="7" s="1"/>
  <c r="S170" i="7"/>
  <c r="AB170" i="7" s="1"/>
  <c r="S165" i="7"/>
  <c r="AB165" i="7" s="1"/>
  <c r="S162" i="7"/>
  <c r="AB162" i="7" s="1"/>
  <c r="S154" i="7"/>
  <c r="AB154" i="7" s="1"/>
  <c r="S150" i="7"/>
  <c r="AB150" i="7" s="1"/>
  <c r="S141" i="7"/>
  <c r="AB141" i="7" s="1"/>
  <c r="S135" i="7"/>
  <c r="AB135" i="7" s="1"/>
  <c r="S129" i="7"/>
  <c r="AB129" i="7" s="1"/>
  <c r="S112" i="7"/>
  <c r="AB112" i="7" s="1"/>
  <c r="S104" i="7"/>
  <c r="AB104" i="7" s="1"/>
  <c r="S97" i="7"/>
  <c r="AB97" i="7" s="1"/>
  <c r="S49" i="7"/>
  <c r="AB49" i="7" s="1"/>
  <c r="S41" i="7"/>
  <c r="AB41" i="7" s="1"/>
  <c r="S30" i="7"/>
  <c r="AB30" i="7" s="1"/>
  <c r="S28" i="7"/>
  <c r="AB28" i="7" s="1"/>
  <c r="S26" i="7"/>
  <c r="S149" i="7"/>
  <c r="AB149" i="7" s="1"/>
  <c r="S131" i="7"/>
  <c r="AB131" i="7" s="1"/>
  <c r="S117" i="7"/>
  <c r="AB117" i="7" s="1"/>
  <c r="S101" i="7"/>
  <c r="AB101" i="7" s="1"/>
  <c r="S99" i="7"/>
  <c r="S91" i="7"/>
  <c r="AB91" i="7" s="1"/>
  <c r="S79" i="7"/>
  <c r="AB79" i="7" s="1"/>
  <c r="S60" i="7"/>
  <c r="AB60" i="7" s="1"/>
  <c r="S56" i="7"/>
  <c r="AB56" i="7" s="1"/>
  <c r="S137" i="7"/>
  <c r="AB137" i="7" s="1"/>
  <c r="S133" i="7"/>
  <c r="AB133" i="7" s="1"/>
  <c r="S122" i="7"/>
  <c r="AB122" i="7" s="1"/>
  <c r="S96" i="7"/>
  <c r="S89" i="7"/>
  <c r="AB89" i="7" s="1"/>
  <c r="S74" i="7"/>
  <c r="AB74" i="7" s="1"/>
  <c r="S46" i="7"/>
  <c r="AB46" i="7" s="1"/>
  <c r="S44" i="7"/>
  <c r="AB44" i="7" s="1"/>
  <c r="S39" i="7"/>
  <c r="AB39" i="7" s="1"/>
  <c r="S127" i="7"/>
  <c r="AB127" i="7" s="1"/>
  <c r="S58" i="7"/>
  <c r="AB58" i="7" s="1"/>
  <c r="S53" i="7"/>
  <c r="AB53" i="7" s="1"/>
  <c r="S51" i="7"/>
  <c r="AB51" i="7" s="1"/>
  <c r="S36" i="7"/>
  <c r="AB36" i="7" s="1"/>
  <c r="S33" i="7"/>
  <c r="AB33" i="7" s="1"/>
  <c r="S171" i="7"/>
  <c r="AB171" i="7" s="1"/>
  <c r="S98" i="7"/>
  <c r="AB98" i="7" s="1"/>
  <c r="S57" i="7"/>
  <c r="AB57" i="7" s="1"/>
  <c r="S52" i="7"/>
  <c r="AB52" i="7" s="1"/>
  <c r="S47" i="7"/>
  <c r="AB47" i="7" s="1"/>
  <c r="S42" i="7"/>
  <c r="AB42" i="7" s="1"/>
  <c r="S37" i="7"/>
  <c r="AB37" i="7" s="1"/>
  <c r="S32" i="7"/>
  <c r="AB32" i="7" s="1"/>
  <c r="S27" i="7"/>
  <c r="AB27" i="7" s="1"/>
  <c r="S106" i="7"/>
  <c r="AB106" i="7" s="1"/>
  <c r="AB178" i="7"/>
  <c r="AB96" i="7"/>
  <c r="AD169" i="7"/>
  <c r="AB132" i="7"/>
  <c r="S103" i="7"/>
  <c r="AB103" i="7" s="1"/>
  <c r="S70" i="7"/>
  <c r="AB70" i="7" s="1"/>
  <c r="S168" i="7"/>
  <c r="AB168" i="7" s="1"/>
  <c r="S151" i="7"/>
  <c r="AB151" i="7" s="1"/>
  <c r="S100" i="7"/>
  <c r="AB100" i="7" s="1"/>
  <c r="S88" i="7"/>
  <c r="AB88" i="7" s="1"/>
  <c r="S73" i="7"/>
  <c r="AB73" i="7" s="1"/>
  <c r="AA184" i="7"/>
  <c r="S84" i="7"/>
  <c r="AB84" i="7" s="1"/>
  <c r="S61" i="7"/>
  <c r="AB61" i="7" s="1"/>
  <c r="AA102" i="6"/>
  <c r="AA106" i="6"/>
  <c r="AA104" i="6"/>
  <c r="AA103" i="6"/>
  <c r="AA100" i="6"/>
  <c r="AA99" i="6"/>
  <c r="AA98" i="6"/>
  <c r="AA97" i="6"/>
  <c r="AA96" i="6"/>
  <c r="AA169" i="6"/>
  <c r="AA164" i="6"/>
  <c r="AA163" i="6"/>
  <c r="AA150" i="6"/>
  <c r="AA149" i="6"/>
  <c r="AD161" i="6"/>
  <c r="Z169" i="6"/>
  <c r="Z164" i="6"/>
  <c r="Y104" i="6"/>
  <c r="Y103" i="6"/>
  <c r="Y102" i="6"/>
  <c r="Y100" i="6"/>
  <c r="Y99" i="6"/>
  <c r="Y98" i="6"/>
  <c r="Y97" i="6"/>
  <c r="Y96" i="6"/>
  <c r="AC184" i="6"/>
  <c r="T184" i="6"/>
  <c r="R181" i="6"/>
  <c r="R178" i="6"/>
  <c r="Z178" i="6" s="1"/>
  <c r="AA178" i="6" s="1"/>
  <c r="R175" i="6"/>
  <c r="AD175" i="6" s="1"/>
  <c r="R174" i="6"/>
  <c r="Z174" i="6" s="1"/>
  <c r="AA174" i="6" s="1"/>
  <c r="R171" i="6"/>
  <c r="Z171" i="6" s="1"/>
  <c r="AA171" i="6" s="1"/>
  <c r="R170" i="6"/>
  <c r="Z170" i="6" s="1"/>
  <c r="AA170" i="6" s="1"/>
  <c r="R169" i="6"/>
  <c r="R168" i="6"/>
  <c r="R166" i="6"/>
  <c r="Z166" i="6" s="1"/>
  <c r="AA166" i="6" s="1"/>
  <c r="AD165" i="6"/>
  <c r="R165" i="6"/>
  <c r="R164" i="6"/>
  <c r="AD164" i="6" s="1"/>
  <c r="R163" i="6"/>
  <c r="Z163" i="6" s="1"/>
  <c r="R162" i="6"/>
  <c r="R161" i="6"/>
  <c r="R157" i="6"/>
  <c r="R154" i="6"/>
  <c r="Z154" i="6" s="1"/>
  <c r="AA154" i="6" s="1"/>
  <c r="Z153" i="6"/>
  <c r="AA153" i="6" s="1"/>
  <c r="R153" i="6"/>
  <c r="AD153" i="6" s="1"/>
  <c r="AD152" i="6"/>
  <c r="R152" i="6"/>
  <c r="R151" i="6"/>
  <c r="AD151" i="6" s="1"/>
  <c r="Z150" i="6"/>
  <c r="Y150" i="6"/>
  <c r="R150" i="6"/>
  <c r="AD149" i="6"/>
  <c r="Z149" i="6"/>
  <c r="R149" i="6"/>
  <c r="R145" i="6"/>
  <c r="Z145" i="6" s="1"/>
  <c r="AA145" i="6" s="1"/>
  <c r="Z143" i="6"/>
  <c r="AA143" i="6" s="1"/>
  <c r="R143" i="6"/>
  <c r="AD141" i="6"/>
  <c r="R141" i="6"/>
  <c r="R137" i="6"/>
  <c r="AD137" i="6" s="1"/>
  <c r="Z136" i="6"/>
  <c r="AA136" i="6" s="1"/>
  <c r="R136" i="6"/>
  <c r="Z135" i="6"/>
  <c r="AA135" i="6" s="1"/>
  <c r="R135" i="6"/>
  <c r="AD135" i="6" s="1"/>
  <c r="R134" i="6"/>
  <c r="Z134" i="6" s="1"/>
  <c r="AA134" i="6" s="1"/>
  <c r="AD133" i="6"/>
  <c r="Z133" i="6"/>
  <c r="AA133" i="6" s="1"/>
  <c r="R133" i="6"/>
  <c r="R132" i="6"/>
  <c r="Z132" i="6" s="1"/>
  <c r="AA132" i="6" s="1"/>
  <c r="R131" i="6"/>
  <c r="AD131" i="6" s="1"/>
  <c r="AD130" i="6"/>
  <c r="R130" i="6"/>
  <c r="Z130" i="6" s="1"/>
  <c r="AA130" i="6" s="1"/>
  <c r="R129" i="6"/>
  <c r="AD129" i="6" s="1"/>
  <c r="AD128" i="6"/>
  <c r="R128" i="6"/>
  <c r="Z128" i="6" s="1"/>
  <c r="AA128" i="6" s="1"/>
  <c r="Z127" i="6"/>
  <c r="AA127" i="6" s="1"/>
  <c r="R127" i="6"/>
  <c r="AD127" i="6" s="1"/>
  <c r="R126" i="6"/>
  <c r="Z126" i="6" s="1"/>
  <c r="AA126" i="6" s="1"/>
  <c r="AD122" i="6"/>
  <c r="Z122" i="6"/>
  <c r="AA122" i="6" s="1"/>
  <c r="R122" i="6"/>
  <c r="R121" i="6"/>
  <c r="Z121" i="6" s="1"/>
  <c r="AA121" i="6" s="1"/>
  <c r="R117" i="6"/>
  <c r="AD117" i="6" s="1"/>
  <c r="AD116" i="6"/>
  <c r="R116" i="6"/>
  <c r="Z116" i="6" s="1"/>
  <c r="AA116" i="6" s="1"/>
  <c r="R112" i="6"/>
  <c r="AD112" i="6" s="1"/>
  <c r="AB111" i="6"/>
  <c r="AB110" i="6"/>
  <c r="AB109" i="6"/>
  <c r="AB108" i="6"/>
  <c r="AB107" i="6"/>
  <c r="R106" i="6"/>
  <c r="Z105" i="6"/>
  <c r="AA105" i="6" s="1"/>
  <c r="R105" i="6"/>
  <c r="R104" i="6"/>
  <c r="Z104" i="6" s="1"/>
  <c r="R103" i="6"/>
  <c r="R102" i="6"/>
  <c r="R101" i="6"/>
  <c r="Z101" i="6" s="1"/>
  <c r="AA101" i="6" s="1"/>
  <c r="R100" i="6"/>
  <c r="R99" i="6"/>
  <c r="R98" i="6"/>
  <c r="R97" i="6"/>
  <c r="Z97" i="6" s="1"/>
  <c r="R96" i="6"/>
  <c r="Z96" i="6" s="1"/>
  <c r="AB94" i="6"/>
  <c r="AB93" i="6"/>
  <c r="R91" i="6"/>
  <c r="Z91" i="6" s="1"/>
  <c r="AA91" i="6" s="1"/>
  <c r="R90" i="6"/>
  <c r="Z90" i="6" s="1"/>
  <c r="AA90" i="6" s="1"/>
  <c r="R89" i="6"/>
  <c r="R88" i="6"/>
  <c r="R87" i="6"/>
  <c r="Z87" i="6" s="1"/>
  <c r="AA87" i="6" s="1"/>
  <c r="R85" i="6"/>
  <c r="Z85" i="6" s="1"/>
  <c r="AA85" i="6" s="1"/>
  <c r="R84" i="6"/>
  <c r="R82" i="6"/>
  <c r="R79" i="6"/>
  <c r="AD79" i="6" s="1"/>
  <c r="R76" i="6"/>
  <c r="Z76" i="6" s="1"/>
  <c r="AA76" i="6" s="1"/>
  <c r="R74" i="6"/>
  <c r="AD74" i="6" s="1"/>
  <c r="R73" i="6"/>
  <c r="Z73" i="6" s="1"/>
  <c r="AA73" i="6" s="1"/>
  <c r="R72" i="6"/>
  <c r="R70" i="6"/>
  <c r="R61" i="6"/>
  <c r="Z61" i="6" s="1"/>
  <c r="AA61" i="6" s="1"/>
  <c r="R60" i="6"/>
  <c r="AD60" i="6" s="1"/>
  <c r="R59" i="6"/>
  <c r="AD59" i="6" s="1"/>
  <c r="R58" i="6"/>
  <c r="Z58" i="6" s="1"/>
  <c r="AA58" i="6" s="1"/>
  <c r="R57" i="6"/>
  <c r="AD57" i="6" s="1"/>
  <c r="AD56" i="6"/>
  <c r="R56" i="6"/>
  <c r="Z56" i="6" s="1"/>
  <c r="AA56" i="6" s="1"/>
  <c r="R54" i="6"/>
  <c r="AD54" i="6" s="1"/>
  <c r="AD53" i="6"/>
  <c r="Z53" i="6"/>
  <c r="AA53" i="6" s="1"/>
  <c r="R53" i="6"/>
  <c r="R52" i="6"/>
  <c r="AD52" i="6" s="1"/>
  <c r="AD51" i="6"/>
  <c r="Z51" i="6"/>
  <c r="AA51" i="6" s="1"/>
  <c r="R51" i="6"/>
  <c r="R50" i="6"/>
  <c r="AD50" i="6" s="1"/>
  <c r="R49" i="6"/>
  <c r="Z49" i="6" s="1"/>
  <c r="AA49" i="6" s="1"/>
  <c r="R47" i="6"/>
  <c r="AD47" i="6" s="1"/>
  <c r="R46" i="6"/>
  <c r="AD46" i="6" s="1"/>
  <c r="R45" i="6"/>
  <c r="AD45" i="6" s="1"/>
  <c r="AD44" i="6"/>
  <c r="R44" i="6"/>
  <c r="Z44" i="6" s="1"/>
  <c r="AA44" i="6" s="1"/>
  <c r="R42" i="6"/>
  <c r="AD42" i="6" s="1"/>
  <c r="R41" i="6"/>
  <c r="AD41" i="6" s="1"/>
  <c r="R40" i="6"/>
  <c r="AD40" i="6" s="1"/>
  <c r="R39" i="6"/>
  <c r="Z39" i="6" s="1"/>
  <c r="AA39" i="6" s="1"/>
  <c r="R37" i="6"/>
  <c r="AD37" i="6" s="1"/>
  <c r="R36" i="6"/>
  <c r="Z36" i="6" s="1"/>
  <c r="AA36" i="6" s="1"/>
  <c r="R34" i="6"/>
  <c r="AD34" i="6" s="1"/>
  <c r="R33" i="6"/>
  <c r="Z33" i="6" s="1"/>
  <c r="AA33" i="6" s="1"/>
  <c r="R32" i="6"/>
  <c r="AD32" i="6" s="1"/>
  <c r="AD30" i="6"/>
  <c r="R30" i="6"/>
  <c r="Z30" i="6" s="1"/>
  <c r="AA30" i="6" s="1"/>
  <c r="R29" i="6"/>
  <c r="AD29" i="6" s="1"/>
  <c r="R28" i="6"/>
  <c r="Z28" i="6" s="1"/>
  <c r="AA28" i="6" s="1"/>
  <c r="R27" i="6"/>
  <c r="AD27" i="6" s="1"/>
  <c r="R26" i="6"/>
  <c r="R184" i="6" s="1"/>
  <c r="S56" i="6" s="1"/>
  <c r="AD184" i="7" l="1"/>
  <c r="S184" i="7"/>
  <c r="AB26" i="7"/>
  <c r="AB184" i="7" s="1"/>
  <c r="AD169" i="6"/>
  <c r="Z168" i="6"/>
  <c r="AA168" i="6" s="1"/>
  <c r="Z165" i="6"/>
  <c r="AA165" i="6" s="1"/>
  <c r="Z162" i="6"/>
  <c r="Z161" i="6"/>
  <c r="Z29" i="6"/>
  <c r="AA29" i="6" s="1"/>
  <c r="Z32" i="6"/>
  <c r="AA32" i="6" s="1"/>
  <c r="Z41" i="6"/>
  <c r="AA41" i="6" s="1"/>
  <c r="AD121" i="6"/>
  <c r="Z129" i="6"/>
  <c r="AA129" i="6" s="1"/>
  <c r="AD132" i="6"/>
  <c r="Z141" i="6"/>
  <c r="AA141" i="6" s="1"/>
  <c r="AD145" i="6"/>
  <c r="Z152" i="6"/>
  <c r="AA152" i="6" s="1"/>
  <c r="AD178" i="6"/>
  <c r="Z27" i="6"/>
  <c r="AA27" i="6" s="1"/>
  <c r="AD58" i="6"/>
  <c r="Z117" i="6"/>
  <c r="AA117" i="6" s="1"/>
  <c r="AD126" i="6"/>
  <c r="Z131" i="6"/>
  <c r="AA131" i="6" s="1"/>
  <c r="AD134" i="6"/>
  <c r="AD170" i="6"/>
  <c r="Z175" i="6"/>
  <c r="AA175" i="6" s="1"/>
  <c r="Y184" i="6"/>
  <c r="Z184" i="6" s="1"/>
  <c r="AD33" i="6"/>
  <c r="AD49" i="6"/>
  <c r="Z60" i="6"/>
  <c r="AA60" i="6" s="1"/>
  <c r="Z74" i="6"/>
  <c r="AA74" i="6" s="1"/>
  <c r="Z79" i="6"/>
  <c r="AA79" i="6" s="1"/>
  <c r="AD162" i="6"/>
  <c r="AD166" i="6"/>
  <c r="AD171" i="6"/>
  <c r="S39" i="6"/>
  <c r="AB39" i="6" s="1"/>
  <c r="S44" i="6"/>
  <c r="Z112" i="6"/>
  <c r="AA112" i="6" s="1"/>
  <c r="S36" i="6"/>
  <c r="S26" i="6"/>
  <c r="Z34" i="6"/>
  <c r="AA34" i="6" s="1"/>
  <c r="AD36" i="6"/>
  <c r="AD39" i="6"/>
  <c r="Z46" i="6"/>
  <c r="AA46" i="6" s="1"/>
  <c r="S49" i="6"/>
  <c r="AD136" i="6"/>
  <c r="Z137" i="6"/>
  <c r="AA137" i="6" s="1"/>
  <c r="AD150" i="6"/>
  <c r="Z151" i="6"/>
  <c r="AA151" i="6" s="1"/>
  <c r="Z157" i="6"/>
  <c r="AA157" i="6" s="1"/>
  <c r="AD163" i="6"/>
  <c r="AD168" i="6"/>
  <c r="AD174" i="6"/>
  <c r="AD181" i="6"/>
  <c r="Z100" i="6"/>
  <c r="Z26" i="6"/>
  <c r="AA26" i="6" s="1"/>
  <c r="AB26" i="6" s="1"/>
  <c r="S28" i="6"/>
  <c r="AB28" i="6" s="1"/>
  <c r="S53" i="6"/>
  <c r="Z181" i="6"/>
  <c r="AA181" i="6" s="1"/>
  <c r="AB181" i="6" s="1"/>
  <c r="AB44" i="6"/>
  <c r="AB49" i="6"/>
  <c r="AB53" i="6"/>
  <c r="AD28" i="6"/>
  <c r="S33" i="6"/>
  <c r="AB33" i="6" s="1"/>
  <c r="S41" i="6"/>
  <c r="AB41" i="6" s="1"/>
  <c r="S46" i="6"/>
  <c r="S51" i="6"/>
  <c r="AB51" i="6" s="1"/>
  <c r="S72" i="6"/>
  <c r="S178" i="6"/>
  <c r="S174" i="6"/>
  <c r="S170" i="6"/>
  <c r="S168" i="6"/>
  <c r="S165" i="6"/>
  <c r="S163" i="6"/>
  <c r="S161" i="6"/>
  <c r="S150" i="6"/>
  <c r="S145" i="6"/>
  <c r="S136" i="6"/>
  <c r="S134" i="6"/>
  <c r="S132" i="6"/>
  <c r="S130" i="6"/>
  <c r="S128" i="6"/>
  <c r="AB128" i="6" s="1"/>
  <c r="S126" i="6"/>
  <c r="AB126" i="6" s="1"/>
  <c r="S121" i="6"/>
  <c r="AB121" i="6" s="1"/>
  <c r="S116" i="6"/>
  <c r="AB116" i="6" s="1"/>
  <c r="S181" i="6"/>
  <c r="S175" i="6"/>
  <c r="S171" i="6"/>
  <c r="S169" i="6"/>
  <c r="S166" i="6"/>
  <c r="S164" i="6"/>
  <c r="S162" i="6"/>
  <c r="S152" i="6"/>
  <c r="S149" i="6"/>
  <c r="S141" i="6"/>
  <c r="S135" i="6"/>
  <c r="S133" i="6"/>
  <c r="S131" i="6"/>
  <c r="S129" i="6"/>
  <c r="S127" i="6"/>
  <c r="S122" i="6"/>
  <c r="S117" i="6"/>
  <c r="AB117" i="6" s="1"/>
  <c r="S112" i="6"/>
  <c r="AB112" i="6" s="1"/>
  <c r="S79" i="6"/>
  <c r="AB79" i="6" s="1"/>
  <c r="S60" i="6"/>
  <c r="AB60" i="6" s="1"/>
  <c r="S58" i="6"/>
  <c r="AB58" i="6" s="1"/>
  <c r="S74" i="6"/>
  <c r="AB74" i="6" s="1"/>
  <c r="AD26" i="6"/>
  <c r="S30" i="6"/>
  <c r="AB30" i="6" s="1"/>
  <c r="AB36" i="6"/>
  <c r="AB46" i="6"/>
  <c r="AB56" i="6"/>
  <c r="Z37" i="6"/>
  <c r="AA37" i="6" s="1"/>
  <c r="Z40" i="6"/>
  <c r="AA40" i="6" s="1"/>
  <c r="Z42" i="6"/>
  <c r="AA42" i="6" s="1"/>
  <c r="Z45" i="6"/>
  <c r="AA45" i="6" s="1"/>
  <c r="Z47" i="6"/>
  <c r="AA47" i="6" s="1"/>
  <c r="Z50" i="6"/>
  <c r="AA50" i="6" s="1"/>
  <c r="Z52" i="6"/>
  <c r="AA52" i="6" s="1"/>
  <c r="Z54" i="6"/>
  <c r="AA54" i="6" s="1"/>
  <c r="Z57" i="6"/>
  <c r="AA57" i="6" s="1"/>
  <c r="Z59" i="6"/>
  <c r="AA59" i="6" s="1"/>
  <c r="Z72" i="6"/>
  <c r="AA72" i="6" s="1"/>
  <c r="AB72" i="6" s="1"/>
  <c r="AD76" i="6"/>
  <c r="S76" i="6"/>
  <c r="AB76" i="6" s="1"/>
  <c r="AD85" i="6"/>
  <c r="S85" i="6"/>
  <c r="AB85" i="6" s="1"/>
  <c r="AD90" i="6"/>
  <c r="S90" i="6"/>
  <c r="AB90" i="6" s="1"/>
  <c r="AD96" i="6"/>
  <c r="S96" i="6"/>
  <c r="AB96" i="6" s="1"/>
  <c r="AD100" i="6"/>
  <c r="S100" i="6"/>
  <c r="AB100" i="6" s="1"/>
  <c r="AD104" i="6"/>
  <c r="S104" i="6"/>
  <c r="AB104" i="6" s="1"/>
  <c r="AB122" i="6"/>
  <c r="AB127" i="6"/>
  <c r="AB129" i="6"/>
  <c r="AB132" i="6"/>
  <c r="AB133" i="6"/>
  <c r="S143" i="6"/>
  <c r="AB143" i="6" s="1"/>
  <c r="AD61" i="6"/>
  <c r="AD82" i="6"/>
  <c r="S82" i="6"/>
  <c r="AD84" i="6"/>
  <c r="S84" i="6"/>
  <c r="AD89" i="6"/>
  <c r="S89" i="6"/>
  <c r="AD99" i="6"/>
  <c r="S99" i="6"/>
  <c r="AD103" i="6"/>
  <c r="S103" i="6"/>
  <c r="AB165" i="6"/>
  <c r="AB166" i="6"/>
  <c r="AB170" i="6"/>
  <c r="AB171" i="6"/>
  <c r="AB178" i="6"/>
  <c r="S61" i="6"/>
  <c r="AB61" i="6" s="1"/>
  <c r="AD70" i="6"/>
  <c r="S70" i="6"/>
  <c r="AD72" i="6"/>
  <c r="Z82" i="6"/>
  <c r="AA82" i="6" s="1"/>
  <c r="AB82" i="6" s="1"/>
  <c r="Z84" i="6"/>
  <c r="AA84" i="6" s="1"/>
  <c r="AD88" i="6"/>
  <c r="S88" i="6"/>
  <c r="Z89" i="6"/>
  <c r="AA89" i="6" s="1"/>
  <c r="AB89" i="6" s="1"/>
  <c r="AD98" i="6"/>
  <c r="S98" i="6"/>
  <c r="Z99" i="6"/>
  <c r="AD102" i="6"/>
  <c r="S102" i="6"/>
  <c r="Z103" i="6"/>
  <c r="AB103" i="6" s="1"/>
  <c r="Z106" i="6"/>
  <c r="AD106" i="6"/>
  <c r="S106" i="6"/>
  <c r="AB130" i="6"/>
  <c r="AB131" i="6"/>
  <c r="AB134" i="6"/>
  <c r="AB135" i="6"/>
  <c r="AB136" i="6"/>
  <c r="AB145" i="6"/>
  <c r="AB149" i="6"/>
  <c r="AB150" i="6"/>
  <c r="S27" i="6"/>
  <c r="AB27" i="6" s="1"/>
  <c r="S29" i="6"/>
  <c r="AB29" i="6" s="1"/>
  <c r="S32" i="6"/>
  <c r="AB32" i="6" s="1"/>
  <c r="S34" i="6"/>
  <c r="AB34" i="6" s="1"/>
  <c r="S37" i="6"/>
  <c r="S40" i="6"/>
  <c r="S42" i="6"/>
  <c r="S45" i="6"/>
  <c r="S47" i="6"/>
  <c r="S50" i="6"/>
  <c r="S52" i="6"/>
  <c r="S54" i="6"/>
  <c r="S57" i="6"/>
  <c r="S59" i="6"/>
  <c r="Z70" i="6"/>
  <c r="AA70" i="6" s="1"/>
  <c r="AD73" i="6"/>
  <c r="S73" i="6"/>
  <c r="AB73" i="6" s="1"/>
  <c r="AD87" i="6"/>
  <c r="S87" i="6"/>
  <c r="AB87" i="6" s="1"/>
  <c r="Z88" i="6"/>
  <c r="AA88" i="6" s="1"/>
  <c r="AB88" i="6" s="1"/>
  <c r="AD91" i="6"/>
  <c r="S91" i="6"/>
  <c r="AB91" i="6" s="1"/>
  <c r="AD97" i="6"/>
  <c r="S97" i="6"/>
  <c r="AB97" i="6" s="1"/>
  <c r="Z98" i="6"/>
  <c r="AD101" i="6"/>
  <c r="S101" i="6"/>
  <c r="AB101" i="6" s="1"/>
  <c r="Z102" i="6"/>
  <c r="AB102" i="6" s="1"/>
  <c r="AD105" i="6"/>
  <c r="S105" i="6"/>
  <c r="AB105" i="6" s="1"/>
  <c r="AB141" i="6"/>
  <c r="AB152" i="6"/>
  <c r="S157" i="6"/>
  <c r="AB163" i="6"/>
  <c r="AB164" i="6"/>
  <c r="AB168" i="6"/>
  <c r="AB169" i="6"/>
  <c r="AB174" i="6"/>
  <c r="AB175" i="6"/>
  <c r="S153" i="6"/>
  <c r="AB153" i="6" s="1"/>
  <c r="AD143" i="6"/>
  <c r="AD157" i="6"/>
  <c r="S137" i="6"/>
  <c r="AB137" i="6" s="1"/>
  <c r="S151" i="6"/>
  <c r="AB151" i="6" s="1"/>
  <c r="S154" i="6"/>
  <c r="AB154" i="6" s="1"/>
  <c r="AD154" i="6"/>
  <c r="Y181" i="5"/>
  <c r="Y157" i="5"/>
  <c r="Y137" i="5"/>
  <c r="Y150" i="5"/>
  <c r="Y143" i="5"/>
  <c r="Y141" i="5"/>
  <c r="Y152" i="5"/>
  <c r="R152" i="5"/>
  <c r="R151" i="5"/>
  <c r="Y151" i="5"/>
  <c r="Y136" i="5"/>
  <c r="AB157" i="6" l="1"/>
  <c r="AA162" i="6"/>
  <c r="AB162" i="6" s="1"/>
  <c r="AA161" i="6"/>
  <c r="AB161" i="6" s="1"/>
  <c r="AB70" i="6"/>
  <c r="AB84" i="6"/>
  <c r="AB57" i="6"/>
  <c r="AB47" i="6"/>
  <c r="AB37" i="6"/>
  <c r="AD184" i="6"/>
  <c r="AA184" i="6"/>
  <c r="AB98" i="6"/>
  <c r="AB106" i="6"/>
  <c r="AB99" i="6"/>
  <c r="AB54" i="6"/>
  <c r="AB45" i="6"/>
  <c r="AB52" i="6"/>
  <c r="AB42" i="6"/>
  <c r="AB59" i="6"/>
  <c r="AB50" i="6"/>
  <c r="AB40" i="6"/>
  <c r="S184" i="6"/>
  <c r="Z152" i="5"/>
  <c r="AA152" i="5" s="1"/>
  <c r="AD152" i="5"/>
  <c r="AA105" i="5"/>
  <c r="AA106" i="5"/>
  <c r="AA97" i="5"/>
  <c r="AA98" i="5"/>
  <c r="AA99" i="5"/>
  <c r="AA100" i="5"/>
  <c r="AA101" i="5"/>
  <c r="AA102" i="5"/>
  <c r="AA103" i="5"/>
  <c r="AA104" i="5"/>
  <c r="AA96" i="5"/>
  <c r="AD175" i="5"/>
  <c r="Z175" i="5"/>
  <c r="AA175" i="5" s="1"/>
  <c r="AD171" i="5"/>
  <c r="Z171" i="5"/>
  <c r="AA171" i="5" s="1"/>
  <c r="AD170" i="5"/>
  <c r="Z170" i="5"/>
  <c r="AA170" i="5" s="1"/>
  <c r="AD169" i="5"/>
  <c r="Z169" i="5"/>
  <c r="AA169" i="5" s="1"/>
  <c r="AD166" i="5"/>
  <c r="Z166" i="5"/>
  <c r="AA166" i="5" s="1"/>
  <c r="AD165" i="5"/>
  <c r="Z165" i="5"/>
  <c r="AA165" i="5" s="1"/>
  <c r="AD164" i="5"/>
  <c r="Z164" i="5"/>
  <c r="AA164" i="5" s="1"/>
  <c r="AD163" i="5"/>
  <c r="AA163" i="5"/>
  <c r="Z163" i="5"/>
  <c r="AD162" i="5"/>
  <c r="AA162" i="5"/>
  <c r="Z162" i="5"/>
  <c r="AD154" i="5"/>
  <c r="Z154" i="5"/>
  <c r="AA154" i="5" s="1"/>
  <c r="AD153" i="5"/>
  <c r="AA153" i="5"/>
  <c r="Z153" i="5"/>
  <c r="AD151" i="5"/>
  <c r="AA151" i="5"/>
  <c r="Z151" i="5"/>
  <c r="AD150" i="5"/>
  <c r="Z150" i="5"/>
  <c r="AA150" i="5" s="1"/>
  <c r="AD137" i="5"/>
  <c r="Z137" i="5"/>
  <c r="AA137" i="5" s="1"/>
  <c r="AD136" i="5"/>
  <c r="Z136" i="5"/>
  <c r="AA136" i="5" s="1"/>
  <c r="AD135" i="5"/>
  <c r="Z135" i="5"/>
  <c r="AA135" i="5" s="1"/>
  <c r="AD134" i="5"/>
  <c r="AA134" i="5"/>
  <c r="Z134" i="5"/>
  <c r="AD133" i="5"/>
  <c r="Z133" i="5"/>
  <c r="AA133" i="5" s="1"/>
  <c r="AD132" i="5"/>
  <c r="Z132" i="5"/>
  <c r="AA132" i="5" s="1"/>
  <c r="AD131" i="5"/>
  <c r="Z131" i="5"/>
  <c r="AA131" i="5" s="1"/>
  <c r="AD130" i="5"/>
  <c r="Z130" i="5"/>
  <c r="AA130" i="5" s="1"/>
  <c r="AD129" i="5"/>
  <c r="Z129" i="5"/>
  <c r="AA129" i="5" s="1"/>
  <c r="AD128" i="5"/>
  <c r="Z128" i="5"/>
  <c r="AA128" i="5" s="1"/>
  <c r="AD127" i="5"/>
  <c r="Z127" i="5"/>
  <c r="AA127" i="5" s="1"/>
  <c r="AD122" i="5"/>
  <c r="Z122" i="5"/>
  <c r="AA122" i="5" s="1"/>
  <c r="AD117" i="5"/>
  <c r="Z117" i="5"/>
  <c r="AA117" i="5" s="1"/>
  <c r="AD106" i="5"/>
  <c r="Z106" i="5"/>
  <c r="AD105" i="5"/>
  <c r="Z105" i="5"/>
  <c r="AD104" i="5"/>
  <c r="Z104" i="5"/>
  <c r="AD103" i="5"/>
  <c r="Z103" i="5"/>
  <c r="AD102" i="5"/>
  <c r="Z102" i="5"/>
  <c r="AD101" i="5"/>
  <c r="Z101" i="5"/>
  <c r="AD100" i="5"/>
  <c r="Z100" i="5"/>
  <c r="AD99" i="5"/>
  <c r="Z99" i="5"/>
  <c r="AD98" i="5"/>
  <c r="Z98" i="5"/>
  <c r="AD97" i="5"/>
  <c r="Z97" i="5"/>
  <c r="AD91" i="5"/>
  <c r="Z91" i="5"/>
  <c r="AA91" i="5" s="1"/>
  <c r="AD90" i="5"/>
  <c r="Z90" i="5"/>
  <c r="AA90" i="5" s="1"/>
  <c r="AD89" i="5"/>
  <c r="AA89" i="5"/>
  <c r="Z89" i="5"/>
  <c r="AD88" i="5"/>
  <c r="Z88" i="5"/>
  <c r="AA88" i="5" s="1"/>
  <c r="AD85" i="5"/>
  <c r="AA85" i="5"/>
  <c r="Z85" i="5"/>
  <c r="AD74" i="5"/>
  <c r="Z74" i="5"/>
  <c r="AA74" i="5" s="1"/>
  <c r="AD73" i="5"/>
  <c r="Z73" i="5"/>
  <c r="AA73" i="5" s="1"/>
  <c r="AD181" i="5"/>
  <c r="Z181" i="5"/>
  <c r="AA181" i="5" s="1"/>
  <c r="AD178" i="5"/>
  <c r="Z178" i="5"/>
  <c r="AA178" i="5" s="1"/>
  <c r="AD174" i="5"/>
  <c r="AA174" i="5"/>
  <c r="Z174" i="5"/>
  <c r="AD168" i="5"/>
  <c r="Z168" i="5"/>
  <c r="AA168" i="5" s="1"/>
  <c r="AD161" i="5"/>
  <c r="Z161" i="5"/>
  <c r="AA161" i="5" s="1"/>
  <c r="AD157" i="5"/>
  <c r="Z157" i="5"/>
  <c r="AA157" i="5" s="1"/>
  <c r="AD149" i="5"/>
  <c r="Z149" i="5"/>
  <c r="AA149" i="5" s="1"/>
  <c r="AD145" i="5"/>
  <c r="Z145" i="5"/>
  <c r="AA145" i="5" s="1"/>
  <c r="AD143" i="5"/>
  <c r="Z143" i="5"/>
  <c r="AA143" i="5" s="1"/>
  <c r="AD141" i="5"/>
  <c r="Z141" i="5"/>
  <c r="AA141" i="5" s="1"/>
  <c r="AD126" i="5"/>
  <c r="Z126" i="5"/>
  <c r="AA126" i="5" s="1"/>
  <c r="AD121" i="5"/>
  <c r="Z121" i="5"/>
  <c r="AA121" i="5" s="1"/>
  <c r="AD116" i="5"/>
  <c r="Z116" i="5"/>
  <c r="AA116" i="5" s="1"/>
  <c r="AD112" i="5"/>
  <c r="Z112" i="5"/>
  <c r="AA112" i="5" s="1"/>
  <c r="AD96" i="5"/>
  <c r="Z96" i="5"/>
  <c r="AD87" i="5"/>
  <c r="Z87" i="5"/>
  <c r="AA87" i="5" s="1"/>
  <c r="AD84" i="5"/>
  <c r="Z84" i="5"/>
  <c r="AA84" i="5" s="1"/>
  <c r="AD82" i="5"/>
  <c r="Z82" i="5"/>
  <c r="AA82" i="5" s="1"/>
  <c r="AD79" i="5"/>
  <c r="Z79" i="5"/>
  <c r="AA79" i="5" s="1"/>
  <c r="AD76" i="5"/>
  <c r="Z76" i="5"/>
  <c r="AA76" i="5" s="1"/>
  <c r="AD72" i="5"/>
  <c r="Z72" i="5"/>
  <c r="AA72" i="5" s="1"/>
  <c r="AD70" i="5"/>
  <c r="AA70" i="5"/>
  <c r="Z70" i="5"/>
  <c r="R106" i="5"/>
  <c r="R181" i="5"/>
  <c r="R178" i="5"/>
  <c r="R175" i="5"/>
  <c r="R174" i="5"/>
  <c r="R171" i="5"/>
  <c r="R170" i="5"/>
  <c r="R169" i="5"/>
  <c r="R168" i="5"/>
  <c r="R166" i="5"/>
  <c r="R165" i="5"/>
  <c r="R164" i="5"/>
  <c r="R163" i="5"/>
  <c r="R162" i="5"/>
  <c r="R161" i="5"/>
  <c r="R157" i="5"/>
  <c r="R154" i="5"/>
  <c r="R153" i="5"/>
  <c r="R150" i="5"/>
  <c r="R149" i="5"/>
  <c r="R145" i="5"/>
  <c r="R143" i="5"/>
  <c r="R141" i="5"/>
  <c r="R137" i="5"/>
  <c r="R136" i="5"/>
  <c r="R135" i="5"/>
  <c r="R134" i="5"/>
  <c r="R133" i="5"/>
  <c r="R132" i="5"/>
  <c r="R131" i="5"/>
  <c r="R130" i="5"/>
  <c r="R129" i="5"/>
  <c r="R128" i="5"/>
  <c r="R127" i="5"/>
  <c r="R126" i="5"/>
  <c r="AB184" i="6" l="1"/>
  <c r="AA184" i="5"/>
  <c r="R122" i="5"/>
  <c r="R121" i="5"/>
  <c r="R117" i="5"/>
  <c r="R116" i="5"/>
  <c r="R112" i="5"/>
  <c r="R105" i="5"/>
  <c r="R104" i="5"/>
  <c r="R103" i="5"/>
  <c r="R102" i="5"/>
  <c r="R101" i="5"/>
  <c r="R100" i="5"/>
  <c r="R99" i="5"/>
  <c r="R98" i="5"/>
  <c r="R97" i="5"/>
  <c r="R96" i="5"/>
  <c r="R91" i="5"/>
  <c r="R90" i="5"/>
  <c r="R89" i="5"/>
  <c r="R88" i="5"/>
  <c r="R87" i="5"/>
  <c r="R79" i="5"/>
  <c r="R76" i="5"/>
  <c r="R74" i="5"/>
  <c r="R73" i="5"/>
  <c r="R72" i="5"/>
  <c r="R70" i="5"/>
  <c r="R61" i="5"/>
  <c r="AD61" i="5" s="1"/>
  <c r="R60" i="5"/>
  <c r="AD60" i="5" s="1"/>
  <c r="R59" i="5"/>
  <c r="R58" i="5"/>
  <c r="Z58" i="5" s="1"/>
  <c r="AA58" i="5" s="1"/>
  <c r="R57" i="5"/>
  <c r="R56" i="5"/>
  <c r="AD56" i="5" s="1"/>
  <c r="R54" i="5"/>
  <c r="AD54" i="5" s="1"/>
  <c r="R53" i="5"/>
  <c r="Z53" i="5" s="1"/>
  <c r="AA53" i="5" s="1"/>
  <c r="R52" i="5"/>
  <c r="Z52" i="5" s="1"/>
  <c r="AA52" i="5" s="1"/>
  <c r="R51" i="5"/>
  <c r="Z51" i="5" s="1"/>
  <c r="AA51" i="5" s="1"/>
  <c r="R50" i="5"/>
  <c r="Z50" i="5" s="1"/>
  <c r="AA50" i="5" s="1"/>
  <c r="R49" i="5"/>
  <c r="AD49" i="5" s="1"/>
  <c r="R47" i="5"/>
  <c r="AD47" i="5" s="1"/>
  <c r="R46" i="5"/>
  <c r="Z46" i="5" s="1"/>
  <c r="AA46" i="5" s="1"/>
  <c r="R45" i="5"/>
  <c r="AD45" i="5" s="1"/>
  <c r="R44" i="5"/>
  <c r="AD44" i="5" s="1"/>
  <c r="R42" i="5"/>
  <c r="AD42" i="5" s="1"/>
  <c r="R41" i="5"/>
  <c r="AD41" i="5" s="1"/>
  <c r="R40" i="5"/>
  <c r="Z40" i="5" s="1"/>
  <c r="AA40" i="5" s="1"/>
  <c r="R39" i="5"/>
  <c r="AD39" i="5" s="1"/>
  <c r="R37" i="5"/>
  <c r="Z37" i="5" s="1"/>
  <c r="AA37" i="5" s="1"/>
  <c r="R36" i="5"/>
  <c r="Z36" i="5" s="1"/>
  <c r="AA36" i="5" s="1"/>
  <c r="R34" i="5"/>
  <c r="AD34" i="5" s="1"/>
  <c r="R33" i="5"/>
  <c r="Z33" i="5" s="1"/>
  <c r="AA33" i="5" s="1"/>
  <c r="R32" i="5"/>
  <c r="Z32" i="5" s="1"/>
  <c r="AA32" i="5" s="1"/>
  <c r="R30" i="5"/>
  <c r="Z30" i="5" s="1"/>
  <c r="AA30" i="5" s="1"/>
  <c r="R29" i="5"/>
  <c r="Z29" i="5" s="1"/>
  <c r="AA29" i="5" s="1"/>
  <c r="R28" i="5"/>
  <c r="Z28" i="5" s="1"/>
  <c r="AA28" i="5" s="1"/>
  <c r="R27" i="5"/>
  <c r="AD27" i="5" s="1"/>
  <c r="R26" i="5"/>
  <c r="T184" i="5"/>
  <c r="AB111" i="5"/>
  <c r="AB110" i="5"/>
  <c r="AB109" i="5"/>
  <c r="AB108" i="5"/>
  <c r="AB107" i="5"/>
  <c r="AB94" i="5"/>
  <c r="AB93" i="5"/>
  <c r="R85" i="5"/>
  <c r="R84" i="5"/>
  <c r="R82" i="5"/>
  <c r="AD29" i="5" l="1"/>
  <c r="R184" i="5"/>
  <c r="AD33" i="5"/>
  <c r="Z39" i="5"/>
  <c r="AA39" i="5" s="1"/>
  <c r="Z41" i="5"/>
  <c r="AA41" i="5" s="1"/>
  <c r="Z60" i="5"/>
  <c r="AA60" i="5" s="1"/>
  <c r="Z42" i="5"/>
  <c r="AA42" i="5" s="1"/>
  <c r="Z49" i="5"/>
  <c r="AA49" i="5" s="1"/>
  <c r="Z54" i="5"/>
  <c r="AA54" i="5" s="1"/>
  <c r="Z34" i="5"/>
  <c r="AA34" i="5" s="1"/>
  <c r="AD36" i="5"/>
  <c r="AD52" i="5"/>
  <c r="Z61" i="5"/>
  <c r="AA61" i="5" s="1"/>
  <c r="AD50" i="5"/>
  <c r="Z27" i="5"/>
  <c r="AA27" i="5" s="1"/>
  <c r="AD37" i="5"/>
  <c r="Z44" i="5"/>
  <c r="AA44" i="5" s="1"/>
  <c r="Z47" i="5"/>
  <c r="AA47" i="5" s="1"/>
  <c r="Z45" i="5"/>
  <c r="AA45" i="5" s="1"/>
  <c r="AD53" i="5"/>
  <c r="Z56" i="5"/>
  <c r="AA56" i="5" s="1"/>
  <c r="Z59" i="5"/>
  <c r="AA59" i="5" s="1"/>
  <c r="AD32" i="5"/>
  <c r="AD46" i="5"/>
  <c r="AD51" i="5"/>
  <c r="AD59" i="5"/>
  <c r="AD57" i="5"/>
  <c r="Y184" i="5"/>
  <c r="AD40" i="5"/>
  <c r="AD58" i="5"/>
  <c r="Z57" i="5"/>
  <c r="AA57" i="5" s="1"/>
  <c r="AD30" i="5"/>
  <c r="AD28" i="5"/>
  <c r="AD26" i="5"/>
  <c r="Z26" i="5"/>
  <c r="AA26" i="5" s="1"/>
  <c r="S56" i="5" l="1"/>
  <c r="S175" i="5"/>
  <c r="AB175" i="5" s="1"/>
  <c r="S166" i="5"/>
  <c r="AB166" i="5" s="1"/>
  <c r="S150" i="5"/>
  <c r="AB150" i="5" s="1"/>
  <c r="S133" i="5"/>
  <c r="AB133" i="5" s="1"/>
  <c r="S129" i="5"/>
  <c r="AB129" i="5" s="1"/>
  <c r="S117" i="5"/>
  <c r="AB117" i="5" s="1"/>
  <c r="S103" i="5"/>
  <c r="AB103" i="5" s="1"/>
  <c r="S99" i="5"/>
  <c r="AB99" i="5" s="1"/>
  <c r="S90" i="5"/>
  <c r="AB90" i="5" s="1"/>
  <c r="S89" i="5"/>
  <c r="AB89" i="5" s="1"/>
  <c r="S181" i="5"/>
  <c r="AB181" i="5" s="1"/>
  <c r="S152" i="5"/>
  <c r="AB152" i="5" s="1"/>
  <c r="S169" i="5"/>
  <c r="AB169" i="5" s="1"/>
  <c r="S154" i="5"/>
  <c r="AB154" i="5" s="1"/>
  <c r="S153" i="5"/>
  <c r="AB153" i="5" s="1"/>
  <c r="S151" i="5"/>
  <c r="AB151" i="5" s="1"/>
  <c r="S135" i="5"/>
  <c r="AB135" i="5" s="1"/>
  <c r="S134" i="5"/>
  <c r="AB134" i="5" s="1"/>
  <c r="S130" i="5"/>
  <c r="AB130" i="5" s="1"/>
  <c r="S122" i="5"/>
  <c r="AB122" i="5" s="1"/>
  <c r="S104" i="5"/>
  <c r="AB104" i="5" s="1"/>
  <c r="S100" i="5"/>
  <c r="AB100" i="5" s="1"/>
  <c r="S91" i="5"/>
  <c r="AB91" i="5" s="1"/>
  <c r="S73" i="5"/>
  <c r="AB73" i="5" s="1"/>
  <c r="S161" i="5"/>
  <c r="AB161" i="5" s="1"/>
  <c r="S143" i="5"/>
  <c r="AB143" i="5" s="1"/>
  <c r="S116" i="5"/>
  <c r="AB116" i="5" s="1"/>
  <c r="S84" i="5"/>
  <c r="AB84" i="5" s="1"/>
  <c r="S72" i="5"/>
  <c r="AB72" i="5" s="1"/>
  <c r="S70" i="5"/>
  <c r="AB70" i="5" s="1"/>
  <c r="S170" i="5"/>
  <c r="AB170" i="5" s="1"/>
  <c r="S164" i="5"/>
  <c r="AB164" i="5" s="1"/>
  <c r="S163" i="5"/>
  <c r="AB163" i="5" s="1"/>
  <c r="S162" i="5"/>
  <c r="AB162" i="5" s="1"/>
  <c r="S136" i="5"/>
  <c r="AB136" i="5" s="1"/>
  <c r="S131" i="5"/>
  <c r="AB131" i="5" s="1"/>
  <c r="S127" i="5"/>
  <c r="AB127" i="5" s="1"/>
  <c r="S105" i="5"/>
  <c r="AB105" i="5" s="1"/>
  <c r="S101" i="5"/>
  <c r="AB101" i="5" s="1"/>
  <c r="S97" i="5"/>
  <c r="AB97" i="5" s="1"/>
  <c r="S74" i="5"/>
  <c r="AB74" i="5" s="1"/>
  <c r="S168" i="5"/>
  <c r="AB168" i="5" s="1"/>
  <c r="S145" i="5"/>
  <c r="AB145" i="5" s="1"/>
  <c r="S121" i="5"/>
  <c r="AB121" i="5" s="1"/>
  <c r="S87" i="5"/>
  <c r="AB87" i="5" s="1"/>
  <c r="S76" i="5"/>
  <c r="AB76" i="5" s="1"/>
  <c r="S171" i="5"/>
  <c r="AB171" i="5" s="1"/>
  <c r="S165" i="5"/>
  <c r="AB165" i="5" s="1"/>
  <c r="S137" i="5"/>
  <c r="AB137" i="5" s="1"/>
  <c r="S132" i="5"/>
  <c r="AB132" i="5" s="1"/>
  <c r="S128" i="5"/>
  <c r="AB128" i="5" s="1"/>
  <c r="S106" i="5"/>
  <c r="AB106" i="5" s="1"/>
  <c r="S102" i="5"/>
  <c r="AB102" i="5" s="1"/>
  <c r="S98" i="5"/>
  <c r="AB98" i="5" s="1"/>
  <c r="S88" i="5"/>
  <c r="AB88" i="5" s="1"/>
  <c r="S85" i="5"/>
  <c r="AB85" i="5" s="1"/>
  <c r="S178" i="5"/>
  <c r="AB178" i="5" s="1"/>
  <c r="S174" i="5"/>
  <c r="AB174" i="5" s="1"/>
  <c r="S149" i="5"/>
  <c r="AB149" i="5" s="1"/>
  <c r="S126" i="5"/>
  <c r="AB126" i="5" s="1"/>
  <c r="S96" i="5"/>
  <c r="AB96" i="5" s="1"/>
  <c r="S79" i="5"/>
  <c r="AB79" i="5" s="1"/>
  <c r="S157" i="5"/>
  <c r="AB157" i="5" s="1"/>
  <c r="S141" i="5"/>
  <c r="AB141" i="5" s="1"/>
  <c r="S112" i="5"/>
  <c r="AB112" i="5" s="1"/>
  <c r="S82" i="5"/>
  <c r="AB82" i="5" s="1"/>
  <c r="S61" i="5"/>
  <c r="AC184" i="5"/>
  <c r="S58" i="5"/>
  <c r="AB58" i="5" s="1"/>
  <c r="AB56" i="5"/>
  <c r="S59" i="5"/>
  <c r="AB59" i="5" s="1"/>
  <c r="S60" i="5"/>
  <c r="AB60" i="5" s="1"/>
  <c r="AB61" i="5"/>
  <c r="S57" i="5"/>
  <c r="AB57" i="5" s="1"/>
  <c r="S51" i="5"/>
  <c r="AB51" i="5" s="1"/>
  <c r="S49" i="5"/>
  <c r="AB49" i="5" s="1"/>
  <c r="S50" i="5"/>
  <c r="AB50" i="5" s="1"/>
  <c r="S53" i="5"/>
  <c r="AB53" i="5" s="1"/>
  <c r="S54" i="5"/>
  <c r="AB54" i="5" s="1"/>
  <c r="S52" i="5"/>
  <c r="AB52" i="5" s="1"/>
  <c r="S46" i="5"/>
  <c r="AB46" i="5" s="1"/>
  <c r="S39" i="5"/>
  <c r="AB39" i="5" s="1"/>
  <c r="S45" i="5"/>
  <c r="AB45" i="5" s="1"/>
  <c r="S42" i="5"/>
  <c r="AB42" i="5" s="1"/>
  <c r="S37" i="5"/>
  <c r="AB37" i="5" s="1"/>
  <c r="S44" i="5"/>
  <c r="AB44" i="5" s="1"/>
  <c r="S41" i="5"/>
  <c r="AB41" i="5" s="1"/>
  <c r="S47" i="5"/>
  <c r="AB47" i="5" s="1"/>
  <c r="S40" i="5"/>
  <c r="AB40" i="5" s="1"/>
  <c r="S36" i="5"/>
  <c r="AB36" i="5" s="1"/>
  <c r="S32" i="5"/>
  <c r="AB32" i="5" s="1"/>
  <c r="S34" i="5"/>
  <c r="AB34" i="5" s="1"/>
  <c r="S33" i="5"/>
  <c r="AB33" i="5" s="1"/>
  <c r="S27" i="5"/>
  <c r="AB27" i="5" s="1"/>
  <c r="S28" i="5"/>
  <c r="AB28" i="5" s="1"/>
  <c r="S29" i="5"/>
  <c r="AB29" i="5" s="1"/>
  <c r="S30" i="5"/>
  <c r="AB30" i="5" s="1"/>
  <c r="S26" i="5"/>
  <c r="AB26" i="5" s="1"/>
  <c r="AD184" i="5"/>
  <c r="Z184" i="5"/>
  <c r="AB184" i="5" l="1"/>
  <c r="S184" i="5"/>
</calcChain>
</file>

<file path=xl/comments1.xml><?xml version="1.0" encoding="utf-8"?>
<comments xmlns="http://schemas.openxmlformats.org/spreadsheetml/2006/main">
  <authors>
    <author>Dell8452</author>
  </authors>
  <commentList>
    <comment ref="AA95" authorId="0">
      <text>
        <r>
          <rPr>
            <b/>
            <sz val="9"/>
            <color indexed="81"/>
            <rFont val="Tahoma"/>
            <family val="2"/>
          </rPr>
          <t>Dell8452:</t>
        </r>
        <r>
          <rPr>
            <sz val="9"/>
            <color indexed="81"/>
            <rFont val="Tahoma"/>
            <family val="2"/>
          </rPr>
          <t xml:space="preserve">
gaji=13 bulan, bulan juni= 7/13*100, karena gaji 13 sudah terbayar</t>
        </r>
      </text>
    </comment>
  </commentList>
</comments>
</file>

<file path=xl/comments2.xml><?xml version="1.0" encoding="utf-8"?>
<comments xmlns="http://schemas.openxmlformats.org/spreadsheetml/2006/main">
  <authors>
    <author>Dell8452</author>
  </authors>
  <commentList>
    <comment ref="AA95" authorId="0">
      <text>
        <r>
          <rPr>
            <b/>
            <sz val="9"/>
            <color indexed="81"/>
            <rFont val="Tahoma"/>
            <family val="2"/>
          </rPr>
          <t>Dell8452:</t>
        </r>
        <r>
          <rPr>
            <sz val="9"/>
            <color indexed="81"/>
            <rFont val="Tahoma"/>
            <family val="2"/>
          </rPr>
          <t xml:space="preserve">
gaji=13 bulan, bulan juni= 7/13*100, karena gaji 13 sudah terbayar</t>
        </r>
      </text>
    </comment>
  </commentList>
</comments>
</file>

<file path=xl/comments3.xml><?xml version="1.0" encoding="utf-8"?>
<comments xmlns="http://schemas.openxmlformats.org/spreadsheetml/2006/main">
  <authors>
    <author>Dell8452</author>
  </authors>
  <commentList>
    <comment ref="AA95" authorId="0">
      <text>
        <r>
          <rPr>
            <b/>
            <sz val="9"/>
            <color indexed="81"/>
            <rFont val="Tahoma"/>
            <family val="2"/>
          </rPr>
          <t>Dell8452:</t>
        </r>
        <r>
          <rPr>
            <sz val="9"/>
            <color indexed="81"/>
            <rFont val="Tahoma"/>
            <family val="2"/>
          </rPr>
          <t xml:space="preserve">
gaji=13 bulan, bulan juni= 7/13*100, karena gaji 13 sudah terbayar</t>
        </r>
      </text>
    </comment>
  </commentList>
</comments>
</file>

<file path=xl/comments4.xml><?xml version="1.0" encoding="utf-8"?>
<comments xmlns="http://schemas.openxmlformats.org/spreadsheetml/2006/main">
  <authors>
    <author>Dell8452</author>
  </authors>
  <commentList>
    <comment ref="AA95" authorId="0">
      <text>
        <r>
          <rPr>
            <b/>
            <sz val="9"/>
            <color indexed="81"/>
            <rFont val="Tahoma"/>
            <family val="2"/>
          </rPr>
          <t>Dell8452:</t>
        </r>
        <r>
          <rPr>
            <sz val="9"/>
            <color indexed="81"/>
            <rFont val="Tahoma"/>
            <family val="2"/>
          </rPr>
          <t xml:space="preserve">
gaji=13 bulan, bulan juni= 7/13*100, karena gaji 13 sudah terbayar</t>
        </r>
      </text>
    </comment>
  </commentList>
</comments>
</file>

<file path=xl/comments5.xml><?xml version="1.0" encoding="utf-8"?>
<comments xmlns="http://schemas.openxmlformats.org/spreadsheetml/2006/main">
  <authors>
    <author>Dell8452</author>
  </authors>
  <commentList>
    <comment ref="AA95" authorId="0">
      <text>
        <r>
          <rPr>
            <b/>
            <sz val="9"/>
            <color indexed="81"/>
            <rFont val="Tahoma"/>
            <family val="2"/>
          </rPr>
          <t>Dell8452:</t>
        </r>
        <r>
          <rPr>
            <sz val="9"/>
            <color indexed="81"/>
            <rFont val="Tahoma"/>
            <family val="2"/>
          </rPr>
          <t xml:space="preserve">
gaji=13 bulan, bulan juni= 7/13*100, karena gaji 13 sudah terbayar</t>
        </r>
      </text>
    </comment>
  </commentList>
</comments>
</file>

<file path=xl/comments6.xml><?xml version="1.0" encoding="utf-8"?>
<comments xmlns="http://schemas.openxmlformats.org/spreadsheetml/2006/main">
  <authors>
    <author>Dell8452</author>
  </authors>
  <commentList>
    <comment ref="AA95" authorId="0">
      <text>
        <r>
          <rPr>
            <b/>
            <sz val="9"/>
            <color indexed="81"/>
            <rFont val="Tahoma"/>
            <family val="2"/>
          </rPr>
          <t>Dell8452:</t>
        </r>
        <r>
          <rPr>
            <sz val="9"/>
            <color indexed="81"/>
            <rFont val="Tahoma"/>
            <family val="2"/>
          </rPr>
          <t xml:space="preserve">
gaji=13 bulan, bulan juni= 7/13*100, karena gaji 13 sudah terbayar</t>
        </r>
      </text>
    </comment>
  </commentList>
</comments>
</file>

<file path=xl/comments7.xml><?xml version="1.0" encoding="utf-8"?>
<comments xmlns="http://schemas.openxmlformats.org/spreadsheetml/2006/main">
  <authors>
    <author>Dell8452</author>
  </authors>
  <commentList>
    <comment ref="AA95" authorId="0">
      <text>
        <r>
          <rPr>
            <b/>
            <sz val="9"/>
            <color indexed="81"/>
            <rFont val="Tahoma"/>
            <family val="2"/>
          </rPr>
          <t>Dell8452:</t>
        </r>
        <r>
          <rPr>
            <sz val="9"/>
            <color indexed="81"/>
            <rFont val="Tahoma"/>
            <family val="2"/>
          </rPr>
          <t xml:space="preserve">
gaji=13 bulan, bulan juni= 7/13*100, karena gaji 13 sudah terbayar</t>
        </r>
      </text>
    </comment>
  </commentList>
</comments>
</file>

<file path=xl/comments8.xml><?xml version="1.0" encoding="utf-8"?>
<comments xmlns="http://schemas.openxmlformats.org/spreadsheetml/2006/main">
  <authors>
    <author>Dell8452</author>
  </authors>
  <commentList>
    <comment ref="X95" authorId="0">
      <text>
        <r>
          <rPr>
            <b/>
            <sz val="9"/>
            <color indexed="81"/>
            <rFont val="Tahoma"/>
            <family val="2"/>
          </rPr>
          <t>Dell8452:</t>
        </r>
        <r>
          <rPr>
            <sz val="9"/>
            <color indexed="81"/>
            <rFont val="Tahoma"/>
            <family val="2"/>
          </rPr>
          <t xml:space="preserve">
gaji=13 bulan, bulan juni= 7/13*100, karena gaji 13 sudah terbayar</t>
        </r>
      </text>
    </comment>
  </commentList>
</comments>
</file>

<file path=xl/sharedStrings.xml><?xml version="1.0" encoding="utf-8"?>
<sst xmlns="http://schemas.openxmlformats.org/spreadsheetml/2006/main" count="3399" uniqueCount="278">
  <si>
    <t xml:space="preserve">DAFTAR PAKET PEKERJAAN </t>
  </si>
  <si>
    <t>PPK STASIUN METEOROLOGI MARITIM PAOTERE MAKASSAR</t>
  </si>
  <si>
    <t>TAHUN ANGGARAN 2017</t>
  </si>
  <si>
    <t>NO</t>
  </si>
  <si>
    <t>JENIS BARANG/JASA DAN JENIS PENGADAANNYA</t>
  </si>
  <si>
    <t>LELANG UMUM</t>
  </si>
  <si>
    <t>PEMILIHAN LANGSUNG, LELANG SEDERHANA, SELEKIS SEDERHANA</t>
  </si>
  <si>
    <t>PENUNJUKAN LANGSUNG</t>
  </si>
  <si>
    <t>SAYEMBARA</t>
  </si>
  <si>
    <t>SWAKELOLA RUTIN</t>
  </si>
  <si>
    <t>SWAKELOLA PROGRAM</t>
  </si>
  <si>
    <t>TOTAL</t>
  </si>
  <si>
    <t>Pkt</t>
  </si>
  <si>
    <t>Rp. (Rupiah)</t>
  </si>
  <si>
    <t>A.</t>
  </si>
  <si>
    <t>BARANG/ATK/BBNOL</t>
  </si>
  <si>
    <t>1.</t>
  </si>
  <si>
    <t>2.</t>
  </si>
  <si>
    <t>Jumlah</t>
  </si>
  <si>
    <t>B</t>
  </si>
  <si>
    <t>PERALATAN DAN MESIN</t>
  </si>
  <si>
    <t>C</t>
  </si>
  <si>
    <t>TANAH/BANGUNAN/KONSTRUKSI</t>
  </si>
  <si>
    <t>D</t>
  </si>
  <si>
    <t>MODAL TAK BERWUJUD (SOFTWARE)</t>
  </si>
  <si>
    <t>E</t>
  </si>
  <si>
    <t>MODAL LAINNYA</t>
  </si>
  <si>
    <t>F</t>
  </si>
  <si>
    <t>JASA LAINNYA</t>
  </si>
  <si>
    <t>1. Sekolah Lapangan Iklim Maritim</t>
  </si>
  <si>
    <t>1 Pkt</t>
  </si>
  <si>
    <t>LAPORAN BULANAN PELAKSANAAN KEGIATAN</t>
  </si>
  <si>
    <t>SATUAN KERJA</t>
  </si>
  <si>
    <t>:</t>
  </si>
  <si>
    <t>STASIUN METEOROLOGI MARITIM PAOTERE MAKASSAR</t>
  </si>
  <si>
    <t>DIPA NOMOR DAN TANGGAL</t>
  </si>
  <si>
    <t>PLAFOND/PAGU ANGGARAN</t>
  </si>
  <si>
    <t>ALAMAT SATUAN KERJA</t>
  </si>
  <si>
    <t>JL. SABUTUNG I NO. 30 MAKASSAR</t>
  </si>
  <si>
    <t>NOMOR TELEPHON</t>
  </si>
  <si>
    <t>0411 3619242   FAX : 0411 362 8235</t>
  </si>
  <si>
    <t>JADWAL KONTRAK/SPK</t>
  </si>
  <si>
    <t>REALISASI KEU.KUM</t>
  </si>
  <si>
    <t>PROSENTASE</t>
  </si>
  <si>
    <t>SISA PAGU</t>
  </si>
  <si>
    <t>KET.</t>
  </si>
  <si>
    <t>KODE</t>
  </si>
  <si>
    <t>PROGRAM/KEGIATAN/OUTPUT/SUB OUTPUT/KOMPONEN/SUB KOMPONEN/AKUN/DETIL</t>
  </si>
  <si>
    <t>Tahun 2009</t>
  </si>
  <si>
    <t>VOLUME</t>
  </si>
  <si>
    <t>BIAYA SATUAN (Rp)</t>
  </si>
  <si>
    <t>JUMLAH BIAYA (Rp)</t>
  </si>
  <si>
    <t>BOBOT</t>
  </si>
  <si>
    <t>KONTRAK/SPK</t>
  </si>
  <si>
    <t>NAMA</t>
  </si>
  <si>
    <t>PER JENIS KEGIATAN</t>
  </si>
  <si>
    <t>REALISASI FISK</t>
  </si>
  <si>
    <t>JUMLAH BIAYA          (Rp)</t>
  </si>
  <si>
    <t>NILAI</t>
  </si>
  <si>
    <t>NOMOR DAN</t>
  </si>
  <si>
    <t>SELESAI</t>
  </si>
  <si>
    <t>PROSENTAGE</t>
  </si>
  <si>
    <t>PER.</t>
  </si>
  <si>
    <t>TERTIMBANG</t>
  </si>
  <si>
    <t>THD NILAI</t>
  </si>
  <si>
    <t>THD REALISASI</t>
  </si>
  <si>
    <t>PER JENIS</t>
  </si>
  <si>
    <t>TANGGAL</t>
  </si>
  <si>
    <t>KONTRAKTOR</t>
  </si>
  <si>
    <t>MULAI</t>
  </si>
  <si>
    <t>RUPIAH</t>
  </si>
  <si>
    <t>(11/4)x100</t>
  </si>
  <si>
    <t>KEG.</t>
  </si>
  <si>
    <t>(13x5)/100</t>
  </si>
  <si>
    <t>KONTRAK</t>
  </si>
  <si>
    <t>KEUANGAN</t>
  </si>
  <si>
    <t>KEGIATAN</t>
  </si>
  <si>
    <t>(4-6)</t>
  </si>
  <si>
    <t>(4-11)</t>
  </si>
  <si>
    <t xml:space="preserve">       075.01.06        </t>
  </si>
  <si>
    <t>PROGRAM PENGEMBANGAN DAN PEMBINAAN METEOROLOGI, KLIMATOLOGI DAN GEOFISIKA</t>
  </si>
  <si>
    <t>Belanja Keperluan Perkantoran</t>
  </si>
  <si>
    <t>-</t>
  </si>
  <si>
    <t>PKT</t>
  </si>
  <si>
    <t>Belanja Jasa Profesi</t>
  </si>
  <si>
    <t>Belanja Perjalanan Biasa</t>
  </si>
  <si>
    <t>LOK</t>
  </si>
  <si>
    <t>Bahan Operasional MG dan Telekomunikasi termasuk Suku cadang:</t>
  </si>
  <si>
    <t>BLN</t>
  </si>
  <si>
    <t>*</t>
  </si>
  <si>
    <t>Pengadaan Buku Synop</t>
  </si>
  <si>
    <t>Pengadaan Buku QAM</t>
  </si>
  <si>
    <t>Pengadaan 2 pasang sepatu lars karet,2 bh jas hujan, 2 ps sarung tangan karet, 2 bh kaca mata pengamanan utk obs pibal/synop</t>
  </si>
  <si>
    <t xml:space="preserve">Belanja Barang Non Operasional Lainnya                    </t>
  </si>
  <si>
    <t>Biaya Ikut Berlayar Di Kapal</t>
  </si>
  <si>
    <t>BL</t>
  </si>
  <si>
    <t>SET</t>
  </si>
  <si>
    <t>Biaya Sosialisasi yg sedang  Bersandar /PMO</t>
  </si>
  <si>
    <t>Belanja Pemeliharaan Peralatan dan Mesin</t>
  </si>
  <si>
    <t>Pemeliharaan peralatan penunjang AWS</t>
  </si>
  <si>
    <t xml:space="preserve">Belanja Barang Operasional Lainnya     </t>
  </si>
  <si>
    <t xml:space="preserve">Pencetakan /Penerbitan/Penggandaan/Laminasi          </t>
  </si>
  <si>
    <t>Perjalanan dinas pembinaan, konsultasi dan koordinasi</t>
  </si>
  <si>
    <t xml:space="preserve">Belanja Biaya Pemeliharaan Gedung dan Bangunan Lainnya      </t>
  </si>
  <si>
    <t>Taman Alat Meteo 15x20m'</t>
  </si>
  <si>
    <t>M2</t>
  </si>
  <si>
    <t xml:space="preserve">Belanja Biaya Pemeliharaan Peralatan dan Mesin    </t>
  </si>
  <si>
    <t>Peralatan Operasional MKKuG</t>
  </si>
  <si>
    <t>Peralatan Pendukung Operasional MKKuG</t>
  </si>
  <si>
    <t xml:space="preserve">LAYANAN PERKANTORAN     </t>
  </si>
  <si>
    <t>001</t>
  </si>
  <si>
    <t>THN</t>
  </si>
  <si>
    <t>002</t>
  </si>
  <si>
    <t>Belanja untuk Menambah Daya Tahan Tubuh</t>
  </si>
  <si>
    <t>Poliklinik/Obat-obatan</t>
  </si>
  <si>
    <t>OT</t>
  </si>
  <si>
    <t>B.</t>
  </si>
  <si>
    <t xml:space="preserve">Belanja Keperluan Perkantoran    </t>
  </si>
  <si>
    <t xml:space="preserve">Pakaian Dinas Pegawai </t>
  </si>
  <si>
    <t>Pakaian Dinas Satpam termasuk Perlengkapannya</t>
  </si>
  <si>
    <t>C.</t>
  </si>
  <si>
    <t>Belanja Biaya Pemeliharaan Gedung dan Bangunan</t>
  </si>
  <si>
    <t xml:space="preserve">Pemeliharaan Gedung Kantor </t>
  </si>
  <si>
    <t>Pemeliharaan Halaman Lingkungan Gedung Kantor</t>
  </si>
  <si>
    <t>D.</t>
  </si>
  <si>
    <t>Belanja Biaya Pemeliharaan Peralatan dan Mesin</t>
  </si>
  <si>
    <t>AC Split</t>
  </si>
  <si>
    <t>UNIT</t>
  </si>
  <si>
    <t>Tabung Pemadam Api</t>
  </si>
  <si>
    <t>Peralatan Komputer</t>
  </si>
  <si>
    <t>Mesin Pompa Air</t>
  </si>
  <si>
    <t>Mesin Pemotong Rumput</t>
  </si>
  <si>
    <t>Genset</t>
  </si>
  <si>
    <t>Notebook</t>
  </si>
  <si>
    <t>Handphone satelit</t>
  </si>
  <si>
    <t>Printer</t>
  </si>
  <si>
    <t>Mesin Fotocopy</t>
  </si>
  <si>
    <t>Pemeliharaan Kendaraan Roda 4</t>
  </si>
  <si>
    <t>Pemeliharaan Kendaraan Roda 2</t>
  </si>
  <si>
    <t>E.</t>
  </si>
  <si>
    <t>Listrik</t>
  </si>
  <si>
    <t>Telepon</t>
  </si>
  <si>
    <t xml:space="preserve"> Air</t>
  </si>
  <si>
    <t>F.</t>
  </si>
  <si>
    <t>Biaya Satpam dan Pengamanan</t>
  </si>
  <si>
    <t>OB</t>
  </si>
  <si>
    <t>Konsumsi Rapat Rapat</t>
  </si>
  <si>
    <t>OK</t>
  </si>
  <si>
    <t>Keperluan Sehari hari Perkantoran</t>
  </si>
  <si>
    <t>Internet</t>
  </si>
  <si>
    <t>Belanja Pengiriman surat dinas pos pusat</t>
  </si>
  <si>
    <t>Biaya Pengiriman Surat/Pengepakan/Dokumen</t>
  </si>
  <si>
    <t>Honor yang Terkait Dengan Operasional Satuan Kerja</t>
  </si>
  <si>
    <t>PENGELOLA ANGGARAN</t>
  </si>
  <si>
    <t>Pejabat Kuasa Pengguna Anggaran</t>
  </si>
  <si>
    <t>Pejabat pembuat Komitmen</t>
  </si>
  <si>
    <t xml:space="preserve">Pejabat Pengadaan Barang/jasa  </t>
  </si>
  <si>
    <t>Pejabat Penguji Tagihan dan Penandatangan SPM</t>
  </si>
  <si>
    <t>Bendahara Pengeluaran/Pemegang Uang Muka Cabang</t>
  </si>
  <si>
    <t>Staf Pengelola Kegiatan</t>
  </si>
  <si>
    <t>PETUGAS SAKPA DAN SIMAK</t>
  </si>
  <si>
    <t>Penanggung jawab</t>
  </si>
  <si>
    <t>Koordinator</t>
  </si>
  <si>
    <t>Ketua/wakil ketua</t>
  </si>
  <si>
    <t>Anggota Petugas</t>
  </si>
  <si>
    <t xml:space="preserve">Belanja Barang Non Operasional Lainnya     </t>
  </si>
  <si>
    <t>Biaya Iklan, Pembuatan Dokumen Tender dan Laporan</t>
  </si>
  <si>
    <t>Penyertaan Pelaksanaan Sertifikasi Perpres No.54</t>
  </si>
  <si>
    <t>Belanja Sewa</t>
  </si>
  <si>
    <t>Sewa Gedung Kantor/Tanah/Ruang Rapat</t>
  </si>
  <si>
    <t>Belanja Modal Peralatan dan Mesin</t>
  </si>
  <si>
    <t>Jumlah……………………………………………………………………………………………………………………………</t>
  </si>
  <si>
    <t>Jakarta, 31 Desember 2010</t>
  </si>
  <si>
    <t xml:space="preserve">A.N. KEPALA BADAN METEOROLOGI, KLIMATOLOGI DAN GEOFISIKA </t>
  </si>
  <si>
    <t>KUASA PENGGUNA NAGGARAN</t>
  </si>
  <si>
    <t>SEKRETARIS UTAMA,</t>
  </si>
  <si>
    <t>HANAFI HAMZAH SP</t>
  </si>
  <si>
    <t>NIP. 196503071985031003</t>
  </si>
  <si>
    <t xml:space="preserve">NIP. 195709041983031001 </t>
  </si>
  <si>
    <t>0105/075-01.2.01/23/2017</t>
  </si>
  <si>
    <t>5201</t>
  </si>
  <si>
    <t>PENGELOLAAN METEOROLOGI MARITIM BMKG</t>
  </si>
  <si>
    <t>5201.001</t>
  </si>
  <si>
    <t>LAYANAN INFORMASI CUACA MARITIM DAN IKLIM MARITIM</t>
  </si>
  <si>
    <t>053</t>
  </si>
  <si>
    <t>DISEMINASI INFORMASI IKLIM MARITIM (Sekolah Lapang Iklim Maritim di Stasiun Meteorologi Maritim Paotere)</t>
  </si>
  <si>
    <t>Belanja Bahan</t>
  </si>
  <si>
    <t>ATK SLI Tahap 2</t>
  </si>
  <si>
    <t>Seminar Kit SLI Tahap 2</t>
  </si>
  <si>
    <t>ATK SLI Tahap 1</t>
  </si>
  <si>
    <t>Seminar Kit SLI Tahap 1</t>
  </si>
  <si>
    <t xml:space="preserve">- </t>
  </si>
  <si>
    <t>Rapat - Rapat</t>
  </si>
  <si>
    <t>Honor Output Kegiatan</t>
  </si>
  <si>
    <t>Ketua ( 1 Orang)</t>
  </si>
  <si>
    <t>Sekretaris ( 1 Orang )</t>
  </si>
  <si>
    <t>Anggota ( 5 Orang )</t>
  </si>
  <si>
    <t>Belanja Barang Non Operasional Lainnya</t>
  </si>
  <si>
    <t>Pembuatan dan Penggandaan Modul SLI Tahap 1</t>
  </si>
  <si>
    <t>Pembuatan dan Penggandaan Modul SLI Tahap 2</t>
  </si>
  <si>
    <t>BUKU</t>
  </si>
  <si>
    <t>Sewa Kendaraan Roda 6 Tahap 1</t>
  </si>
  <si>
    <t>Sewa Kendaraan Roda 4 Tahap 1</t>
  </si>
  <si>
    <t>Sewa Kendaraan Roda 6 Tahap 2</t>
  </si>
  <si>
    <t>Sewa Kendaraan Roda 4 Tahap 2</t>
  </si>
  <si>
    <t>HARI</t>
  </si>
  <si>
    <t>Narasumber Eselon 1 Tahap 1</t>
  </si>
  <si>
    <t>Narasumber/Pakar/Pembicara Khusus Tahap 1</t>
  </si>
  <si>
    <t>Narasumber Eselon 1 Tahap 2</t>
  </si>
  <si>
    <t>Narasumber/Pakar/Pembicara Khusus Tahap 2</t>
  </si>
  <si>
    <t>OJ</t>
  </si>
  <si>
    <t>Lumpsum Pusat (2 Org x 3 hari )</t>
  </si>
  <si>
    <t>Hotel Pusat ( 2 Org x 2 hari)</t>
  </si>
  <si>
    <t>Transport Pusat ( 2 Org)</t>
  </si>
  <si>
    <t>Lumpsum Daerah ( 5 Org x 1 hari )</t>
  </si>
  <si>
    <t>Tiket Pusat ( 2 org) PP</t>
  </si>
  <si>
    <t>Transport daerah ( 5 Org x 1 hari )</t>
  </si>
  <si>
    <t>OH</t>
  </si>
  <si>
    <t>TIKET</t>
  </si>
  <si>
    <t>Belanja Perjalanan Dinas Paket Meeting Luar Kota</t>
  </si>
  <si>
    <t>Paket Meeting Fullboard Eselon III kebawah Tahap 1</t>
  </si>
  <si>
    <t>Uang saku harian Peserta SLI Tahap 1</t>
  </si>
  <si>
    <t>Biaya tiket dan transportasi Peserta Tahap 1</t>
  </si>
  <si>
    <t>Paket Meeting Fullboard Eselon III kebawah Tahap 2</t>
  </si>
  <si>
    <t>Uang saku harian Peserta SLI Tahap 2</t>
  </si>
  <si>
    <t>Biaya tiket dan transportasi Peserta Tahap 2</t>
  </si>
  <si>
    <t>5201.002</t>
  </si>
  <si>
    <t>LAYANAN INFORMASI CUACA MARITIM DAN IKLIM MARITIM DI DAERAH</t>
  </si>
  <si>
    <t>051</t>
  </si>
  <si>
    <t>PENGAMATAN CUACA MARITIM DI DAERAH</t>
  </si>
  <si>
    <t>Biaya Desiminasi Informasi Cuaca Maritim di TV Lokal</t>
  </si>
  <si>
    <t>KEG</t>
  </si>
  <si>
    <t>052</t>
  </si>
  <si>
    <t>PENGELOLAAN INFORMASI CUACA MARITIM DI WILAYAH PELAYANAN</t>
  </si>
  <si>
    <t>DISEMINASI INFORMASI CUACA MARITIM DI WILAYAH PELAYANAN</t>
  </si>
  <si>
    <t>AC Split 1,5 PK</t>
  </si>
  <si>
    <t>Faximile</t>
  </si>
  <si>
    <t>Scanner Otomatis</t>
  </si>
  <si>
    <t>Kursi Rapat (Cheetos)</t>
  </si>
  <si>
    <t>Lifejacket</t>
  </si>
  <si>
    <t>5201.994</t>
  </si>
  <si>
    <t>GAJI DAN TUNJANGAN</t>
  </si>
  <si>
    <t>Belanja Gaji Pokok PNS</t>
  </si>
  <si>
    <t>Belanja Tunj. Suami/Istri PNS</t>
  </si>
  <si>
    <t>Belanja Tunj.Anak PNS</t>
  </si>
  <si>
    <t>Belanja Tunj. Struktural PNS</t>
  </si>
  <si>
    <t>Belanja Tunj.Fungsional PNS</t>
  </si>
  <si>
    <t>Belanja Tunj. PPh PNS</t>
  </si>
  <si>
    <t>Belanja Tunj. Beras PNS</t>
  </si>
  <si>
    <t>Belanja Uang Makan PNS</t>
  </si>
  <si>
    <t>Belanja Tunjangan Umum PNS</t>
  </si>
  <si>
    <t>Belanja Uang Lembur</t>
  </si>
  <si>
    <t>OPERASIONAL DAN PEMELIHARAAN KANTOR</t>
  </si>
  <si>
    <t>Penyelenggaraan  Poliklinik dan Obat Obatan</t>
  </si>
  <si>
    <t>Pakaian Dinas</t>
  </si>
  <si>
    <t xml:space="preserve">Pemeliharaan Gedung dan halaman Kantor          </t>
  </si>
  <si>
    <t xml:space="preserve">Pemeliharaan Peralatan Kantor         </t>
  </si>
  <si>
    <t>Langganan Daya dan Jasa</t>
  </si>
  <si>
    <t>Belanja Langganan Listrik</t>
  </si>
  <si>
    <t>Belanja Langganan Telepon</t>
  </si>
  <si>
    <t>Belanja Langganan Air</t>
  </si>
  <si>
    <t>Operasional Perkantoran dan Pimpinan</t>
  </si>
  <si>
    <t>Belanja Pembulatan Gaji PNS</t>
  </si>
  <si>
    <t>Makassar, 31 JANUARI  2016</t>
  </si>
  <si>
    <t>BULAN  JANUARI 2017</t>
  </si>
  <si>
    <t>Kegiatan Inventarisasi BMN</t>
  </si>
  <si>
    <t>ATK</t>
  </si>
  <si>
    <t>BULAN  FEBRUARI  2017</t>
  </si>
  <si>
    <t>Makassar, 03 MARET  2017</t>
  </si>
  <si>
    <t>BULAN  MARET  2017</t>
  </si>
  <si>
    <t>Makassar, 10 Mei  2017</t>
  </si>
  <si>
    <t>BULAN  APRIL  2017</t>
  </si>
  <si>
    <t>MEI 2017</t>
  </si>
  <si>
    <t>Makassar, 8 Juni  2017</t>
  </si>
  <si>
    <t>JUNI 2017</t>
  </si>
  <si>
    <t>Makassar, 6 Juli  2017</t>
  </si>
  <si>
    <t>Makassar, 3 Agustus  2017</t>
  </si>
  <si>
    <t>JULI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</si>
</sst>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(* #,##0_);_(* \(#,##0\);_(* &quot;-&quot;_);_(@_)"/>
    <numFmt numFmtId="43" formatCode="_(* #,##0.00_);_(* \(#,##0.00\);_(* &quot;-&quot;??_);_(@_)"/>
    <numFmt numFmtId="164" formatCode="_([$Rp-421]* #,##0_);_([$Rp-421]* \(#,##0\);_([$Rp-421]* &quot;-&quot;_);_(@_)"/>
    <numFmt numFmtId="165" formatCode="_([$Rp-421]* #,##0.00_);_([$Rp-421]* \(#,##0.00\);_([$Rp-421]* &quot;-&quot;??_);_(@_)"/>
    <numFmt numFmtId="166" formatCode="#,##0;[Red]#,##0"/>
    <numFmt numFmtId="167" formatCode="&quot;Rp&quot;#,##0_);\(&quot;Rp&quot;#,##0\)"/>
    <numFmt numFmtId="168" formatCode="_(* #,##0_);_(* \(#,##0\);_(* &quot;-&quot;??_);_(@_)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Trebuchet MS"/>
      <family val="2"/>
    </font>
    <font>
      <sz val="9"/>
      <name val="Trebuchet MS"/>
      <family val="2"/>
    </font>
    <font>
      <sz val="9"/>
      <color indexed="8"/>
      <name val="Trebuchet MS"/>
      <family val="2"/>
    </font>
    <font>
      <b/>
      <sz val="8"/>
      <name val="Trebuchet MS"/>
      <family val="2"/>
    </font>
    <font>
      <b/>
      <sz val="9"/>
      <color indexed="8"/>
      <name val="Trebuchet MS"/>
      <family val="2"/>
    </font>
    <font>
      <sz val="8"/>
      <name val="Trebuchet MS"/>
      <family val="2"/>
    </font>
    <font>
      <sz val="9"/>
      <color rgb="FFFF0000"/>
      <name val="Trebuchet MS"/>
      <family val="2"/>
    </font>
    <font>
      <b/>
      <i/>
      <sz val="9"/>
      <name val="Trebuchet MS"/>
      <family val="2"/>
    </font>
    <font>
      <b/>
      <sz val="9"/>
      <color rgb="FFFF0000"/>
      <name val="Trebuchet MS"/>
      <family val="2"/>
    </font>
    <font>
      <sz val="11"/>
      <color indexed="8"/>
      <name val="Calibri"/>
      <family val="2"/>
    </font>
    <font>
      <i/>
      <sz val="9"/>
      <name val="Trebuchet MS"/>
      <family val="2"/>
    </font>
    <font>
      <b/>
      <sz val="9"/>
      <color indexed="10"/>
      <name val="Trebuchet MS"/>
      <family val="2"/>
    </font>
    <font>
      <b/>
      <u/>
      <sz val="9"/>
      <name val="Trebuchet MS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9"/>
      <color indexed="8"/>
      <name val="Trebuchet MS"/>
      <family val="2"/>
    </font>
    <font>
      <b/>
      <sz val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i/>
      <sz val="10"/>
      <name val="Arial"/>
      <family val="2"/>
    </font>
    <font>
      <b/>
      <i/>
      <sz val="10"/>
      <color indexed="8"/>
      <name val="Arial"/>
      <family val="2"/>
    </font>
    <font>
      <b/>
      <sz val="10"/>
      <color indexed="10"/>
      <name val="Arial"/>
      <family val="2"/>
    </font>
    <font>
      <b/>
      <u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9">
    <xf numFmtId="0" fontId="0" fillId="0" borderId="0"/>
    <xf numFmtId="0" fontId="4" fillId="0" borderId="0"/>
    <xf numFmtId="0" fontId="4" fillId="0" borderId="0"/>
    <xf numFmtId="43" fontId="1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14" fillId="0" borderId="0" applyFont="0" applyFill="0" applyBorder="0" applyAlignment="0" applyProtection="0"/>
    <xf numFmtId="0" fontId="4" fillId="0" borderId="0"/>
    <xf numFmtId="0" fontId="3" fillId="0" borderId="0"/>
  </cellStyleXfs>
  <cellXfs count="99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quotePrefix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41" fontId="1" fillId="2" borderId="1" xfId="0" applyNumberFormat="1" applyFont="1" applyFill="1" applyBorder="1" applyAlignment="1">
      <alignment vertical="center"/>
    </xf>
    <xf numFmtId="4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41" fontId="1" fillId="0" borderId="1" xfId="0" applyNumberFormat="1" applyFont="1" applyBorder="1" applyAlignment="1">
      <alignment horizontal="left"/>
    </xf>
    <xf numFmtId="0" fontId="6" fillId="0" borderId="0" xfId="1" applyFont="1" applyFill="1" applyBorder="1"/>
    <xf numFmtId="0" fontId="6" fillId="0" borderId="0" xfId="1" applyFont="1" applyFill="1" applyBorder="1" applyAlignment="1"/>
    <xf numFmtId="0" fontId="5" fillId="0" borderId="0" xfId="1" applyFont="1" applyFill="1" applyAlignment="1">
      <alignment horizontal="center"/>
    </xf>
    <xf numFmtId="0" fontId="5" fillId="0" borderId="0" xfId="1" applyFont="1" applyFill="1" applyAlignment="1">
      <alignment horizontal="left"/>
    </xf>
    <xf numFmtId="165" fontId="5" fillId="0" borderId="0" xfId="1" quotePrefix="1" applyNumberFormat="1" applyFont="1" applyFill="1" applyAlignment="1"/>
    <xf numFmtId="0" fontId="6" fillId="0" borderId="2" xfId="1" applyFont="1" applyFill="1" applyBorder="1"/>
    <xf numFmtId="0" fontId="6" fillId="0" borderId="3" xfId="1" applyFont="1" applyFill="1" applyBorder="1" applyAlignment="1">
      <alignment vertical="top"/>
    </xf>
    <xf numFmtId="0" fontId="6" fillId="0" borderId="4" xfId="1" applyFont="1" applyFill="1" applyBorder="1"/>
    <xf numFmtId="0" fontId="6" fillId="0" borderId="5" xfId="1" applyFont="1" applyFill="1" applyBorder="1"/>
    <xf numFmtId="0" fontId="6" fillId="0" borderId="6" xfId="1" applyFont="1" applyFill="1" applyBorder="1"/>
    <xf numFmtId="0" fontId="6" fillId="0" borderId="3" xfId="1" applyFont="1" applyFill="1" applyBorder="1"/>
    <xf numFmtId="166" fontId="6" fillId="0" borderId="3" xfId="1" applyNumberFormat="1" applyFont="1" applyFill="1" applyBorder="1"/>
    <xf numFmtId="166" fontId="7" fillId="0" borderId="3" xfId="1" applyNumberFormat="1" applyFont="1" applyFill="1" applyBorder="1"/>
    <xf numFmtId="4" fontId="6" fillId="0" borderId="3" xfId="1" applyNumberFormat="1" applyFont="1" applyFill="1" applyBorder="1"/>
    <xf numFmtId="0" fontId="5" fillId="0" borderId="2" xfId="1" applyFont="1" applyFill="1" applyBorder="1" applyAlignment="1">
      <alignment horizontal="center"/>
    </xf>
    <xf numFmtId="0" fontId="5" fillId="0" borderId="0" xfId="1" applyFont="1" applyFill="1" applyBorder="1"/>
    <xf numFmtId="0" fontId="5" fillId="0" borderId="11" xfId="1" applyFont="1" applyFill="1" applyBorder="1" applyAlignment="1">
      <alignment horizontal="center"/>
    </xf>
    <xf numFmtId="0" fontId="5" fillId="0" borderId="0" xfId="2" applyFont="1" applyFill="1" applyBorder="1"/>
    <xf numFmtId="0" fontId="10" fillId="0" borderId="7" xfId="2" applyFont="1" applyFill="1" applyBorder="1" applyAlignment="1">
      <alignment horizontal="center"/>
    </xf>
    <xf numFmtId="0" fontId="5" fillId="0" borderId="7" xfId="2" applyFont="1" applyFill="1" applyBorder="1" applyAlignment="1">
      <alignment horizontal="center"/>
    </xf>
    <xf numFmtId="0" fontId="8" fillId="0" borderId="7" xfId="2" applyFont="1" applyFill="1" applyBorder="1" applyAlignment="1">
      <alignment horizontal="center"/>
    </xf>
    <xf numFmtId="0" fontId="10" fillId="0" borderId="12" xfId="2" applyFont="1" applyFill="1" applyBorder="1" applyAlignment="1">
      <alignment horizontal="center"/>
    </xf>
    <xf numFmtId="0" fontId="5" fillId="0" borderId="12" xfId="2" applyFont="1" applyFill="1" applyBorder="1" applyAlignment="1">
      <alignment horizontal="center"/>
    </xf>
    <xf numFmtId="0" fontId="8" fillId="0" borderId="12" xfId="2" applyFont="1" applyFill="1" applyBorder="1" applyAlignment="1">
      <alignment horizontal="center"/>
    </xf>
    <xf numFmtId="1" fontId="5" fillId="0" borderId="15" xfId="1" applyNumberFormat="1" applyFont="1" applyFill="1" applyBorder="1" applyAlignment="1">
      <alignment horizontal="center" vertical="top" wrapText="1"/>
    </xf>
    <xf numFmtId="1" fontId="5" fillId="0" borderId="16" xfId="1" applyNumberFormat="1" applyFont="1" applyFill="1" applyBorder="1" applyAlignment="1">
      <alignment horizontal="center" vertical="center" wrapText="1"/>
    </xf>
    <xf numFmtId="1" fontId="9" fillId="0" borderId="15" xfId="1" applyNumberFormat="1" applyFont="1" applyFill="1" applyBorder="1" applyAlignment="1">
      <alignment horizontal="center" vertical="center" wrapText="1"/>
    </xf>
    <xf numFmtId="1" fontId="5" fillId="0" borderId="0" xfId="1" applyNumberFormat="1" applyFont="1" applyFill="1" applyBorder="1" applyAlignment="1">
      <alignment horizontal="center"/>
    </xf>
    <xf numFmtId="1" fontId="9" fillId="0" borderId="16" xfId="1" applyNumberFormat="1" applyFont="1" applyFill="1" applyBorder="1" applyAlignment="1">
      <alignment horizontal="center" vertical="center" wrapText="1"/>
    </xf>
    <xf numFmtId="1" fontId="5" fillId="0" borderId="8" xfId="1" applyNumberFormat="1" applyFont="1" applyFill="1" applyBorder="1" applyAlignment="1">
      <alignment horizontal="center"/>
    </xf>
    <xf numFmtId="1" fontId="5" fillId="0" borderId="19" xfId="1" applyNumberFormat="1" applyFont="1" applyFill="1" applyBorder="1" applyAlignment="1">
      <alignment horizontal="center"/>
    </xf>
    <xf numFmtId="0" fontId="5" fillId="0" borderId="20" xfId="1" applyFont="1" applyFill="1" applyBorder="1" applyAlignment="1">
      <alignment horizontal="center" vertical="top" wrapText="1"/>
    </xf>
    <xf numFmtId="0" fontId="5" fillId="0" borderId="21" xfId="1" applyFont="1" applyFill="1" applyBorder="1" applyAlignment="1">
      <alignment horizontal="center" vertical="center" wrapText="1"/>
    </xf>
    <xf numFmtId="0" fontId="5" fillId="0" borderId="22" xfId="1" applyFont="1" applyFill="1" applyBorder="1" applyAlignment="1">
      <alignment horizontal="center" vertical="center" wrapText="1"/>
    </xf>
    <xf numFmtId="0" fontId="5" fillId="0" borderId="23" xfId="1" applyFont="1" applyFill="1" applyBorder="1" applyAlignment="1">
      <alignment horizontal="center" vertical="center" wrapText="1"/>
    </xf>
    <xf numFmtId="166" fontId="5" fillId="0" borderId="23" xfId="1" applyNumberFormat="1" applyFont="1" applyFill="1" applyBorder="1" applyAlignment="1">
      <alignment horizontal="center" vertical="center" wrapText="1"/>
    </xf>
    <xf numFmtId="166" fontId="9" fillId="0" borderId="20" xfId="1" applyNumberFormat="1" applyFont="1" applyFill="1" applyBorder="1" applyAlignment="1">
      <alignment horizontal="center" vertical="center" wrapText="1"/>
    </xf>
    <xf numFmtId="0" fontId="6" fillId="0" borderId="21" xfId="1" applyFont="1" applyFill="1" applyBorder="1"/>
    <xf numFmtId="0" fontId="6" fillId="0" borderId="24" xfId="1" applyFont="1" applyFill="1" applyBorder="1" applyAlignment="1">
      <alignment horizontal="center" vertical="center" wrapText="1"/>
    </xf>
    <xf numFmtId="0" fontId="6" fillId="0" borderId="25" xfId="1" applyFont="1" applyFill="1" applyBorder="1" applyAlignment="1">
      <alignment horizontal="center" vertical="center" wrapText="1"/>
    </xf>
    <xf numFmtId="166" fontId="6" fillId="0" borderId="26" xfId="1" applyNumberFormat="1" applyFont="1" applyFill="1" applyBorder="1" applyAlignment="1">
      <alignment horizontal="center" vertical="center" wrapText="1"/>
    </xf>
    <xf numFmtId="166" fontId="7" fillId="0" borderId="24" xfId="1" applyNumberFormat="1" applyFont="1" applyFill="1" applyBorder="1" applyAlignment="1">
      <alignment horizontal="center" vertical="center" wrapText="1"/>
    </xf>
    <xf numFmtId="4" fontId="6" fillId="0" borderId="24" xfId="1" applyNumberFormat="1" applyFont="1" applyFill="1" applyBorder="1"/>
    <xf numFmtId="0" fontId="6" fillId="0" borderId="20" xfId="1" applyFont="1" applyFill="1" applyBorder="1"/>
    <xf numFmtId="0" fontId="6" fillId="0" borderId="20" xfId="1" applyFont="1" applyFill="1" applyBorder="1" applyAlignment="1">
      <alignment horizontal="center"/>
    </xf>
    <xf numFmtId="41" fontId="6" fillId="0" borderId="20" xfId="1" applyNumberFormat="1" applyFont="1" applyFill="1" applyBorder="1"/>
    <xf numFmtId="0" fontId="5" fillId="3" borderId="27" xfId="1" applyFont="1" applyFill="1" applyBorder="1" applyAlignment="1">
      <alignment horizontal="left" vertical="center"/>
    </xf>
    <xf numFmtId="0" fontId="5" fillId="3" borderId="28" xfId="1" applyFont="1" applyFill="1" applyBorder="1" applyAlignment="1">
      <alignment vertical="center"/>
    </xf>
    <xf numFmtId="0" fontId="5" fillId="3" borderId="29" xfId="1" applyFont="1" applyFill="1" applyBorder="1" applyAlignment="1">
      <alignment vertical="center"/>
    </xf>
    <xf numFmtId="3" fontId="6" fillId="3" borderId="30" xfId="1" applyNumberFormat="1" applyFont="1" applyFill="1" applyBorder="1"/>
    <xf numFmtId="3" fontId="6" fillId="3" borderId="29" xfId="1" applyNumberFormat="1" applyFont="1" applyFill="1" applyBorder="1"/>
    <xf numFmtId="166" fontId="6" fillId="3" borderId="30" xfId="1" applyNumberFormat="1" applyFont="1" applyFill="1" applyBorder="1"/>
    <xf numFmtId="166" fontId="7" fillId="3" borderId="27" xfId="1" applyNumberFormat="1" applyFont="1" applyFill="1" applyBorder="1" applyAlignment="1">
      <alignment horizontal="center"/>
    </xf>
    <xf numFmtId="0" fontId="6" fillId="3" borderId="28" xfId="1" applyFont="1" applyFill="1" applyBorder="1"/>
    <xf numFmtId="166" fontId="5" fillId="3" borderId="28" xfId="1" applyNumberFormat="1" applyFont="1" applyFill="1" applyBorder="1" applyAlignment="1">
      <alignment horizontal="right" vertical="center"/>
    </xf>
    <xf numFmtId="0" fontId="5" fillId="3" borderId="27" xfId="1" applyFont="1" applyFill="1" applyBorder="1" applyAlignment="1">
      <alignment horizontal="right" vertical="center"/>
    </xf>
    <xf numFmtId="3" fontId="5" fillId="3" borderId="30" xfId="1" applyNumberFormat="1" applyFont="1" applyFill="1" applyBorder="1" applyAlignment="1">
      <alignment vertical="center"/>
    </xf>
    <xf numFmtId="4" fontId="6" fillId="3" borderId="30" xfId="1" applyNumberFormat="1" applyFont="1" applyFill="1" applyBorder="1"/>
    <xf numFmtId="0" fontId="6" fillId="3" borderId="27" xfId="1" applyFont="1" applyFill="1" applyBorder="1"/>
    <xf numFmtId="0" fontId="6" fillId="3" borderId="27" xfId="1" applyFont="1" applyFill="1" applyBorder="1" applyAlignment="1">
      <alignment horizontal="center"/>
    </xf>
    <xf numFmtId="41" fontId="6" fillId="3" borderId="27" xfId="1" applyNumberFormat="1" applyFont="1" applyFill="1" applyBorder="1"/>
    <xf numFmtId="0" fontId="5" fillId="4" borderId="27" xfId="1" applyFont="1" applyFill="1" applyBorder="1" applyAlignment="1">
      <alignment horizontal="left" vertical="center"/>
    </xf>
    <xf numFmtId="0" fontId="5" fillId="4" borderId="28" xfId="1" applyFont="1" applyFill="1" applyBorder="1" applyAlignment="1">
      <alignment vertical="center"/>
    </xf>
    <xf numFmtId="0" fontId="5" fillId="4" borderId="29" xfId="1" applyFont="1" applyFill="1" applyBorder="1" applyAlignment="1">
      <alignment vertical="center"/>
    </xf>
    <xf numFmtId="3" fontId="6" fillId="4" borderId="30" xfId="1" applyNumberFormat="1" applyFont="1" applyFill="1" applyBorder="1"/>
    <xf numFmtId="3" fontId="6" fillId="4" borderId="29" xfId="1" applyNumberFormat="1" applyFont="1" applyFill="1" applyBorder="1"/>
    <xf numFmtId="166" fontId="6" fillId="4" borderId="30" xfId="1" applyNumberFormat="1" applyFont="1" applyFill="1" applyBorder="1"/>
    <xf numFmtId="166" fontId="7" fillId="4" borderId="27" xfId="1" applyNumberFormat="1" applyFont="1" applyFill="1" applyBorder="1" applyAlignment="1">
      <alignment horizontal="center"/>
    </xf>
    <xf numFmtId="0" fontId="6" fillId="4" borderId="28" xfId="1" applyFont="1" applyFill="1" applyBorder="1"/>
    <xf numFmtId="166" fontId="5" fillId="4" borderId="28" xfId="1" applyNumberFormat="1" applyFont="1" applyFill="1" applyBorder="1" applyAlignment="1">
      <alignment horizontal="right" vertical="center"/>
    </xf>
    <xf numFmtId="0" fontId="5" fillId="4" borderId="27" xfId="1" applyFont="1" applyFill="1" applyBorder="1" applyAlignment="1">
      <alignment horizontal="right" vertical="center"/>
    </xf>
    <xf numFmtId="3" fontId="5" fillId="4" borderId="30" xfId="1" applyNumberFormat="1" applyFont="1" applyFill="1" applyBorder="1" applyAlignment="1">
      <alignment vertical="center"/>
    </xf>
    <xf numFmtId="4" fontId="6" fillId="4" borderId="30" xfId="1" applyNumberFormat="1" applyFont="1" applyFill="1" applyBorder="1"/>
    <xf numFmtId="0" fontId="6" fillId="4" borderId="27" xfId="1" applyFont="1" applyFill="1" applyBorder="1"/>
    <xf numFmtId="0" fontId="6" fillId="4" borderId="27" xfId="1" applyFont="1" applyFill="1" applyBorder="1" applyAlignment="1">
      <alignment horizontal="center"/>
    </xf>
    <xf numFmtId="41" fontId="6" fillId="4" borderId="27" xfId="1" applyNumberFormat="1" applyFont="1" applyFill="1" applyBorder="1"/>
    <xf numFmtId="0" fontId="5" fillId="3" borderId="27" xfId="1" quotePrefix="1" applyFont="1" applyFill="1" applyBorder="1" applyAlignment="1">
      <alignment horizontal="right" vertical="center"/>
    </xf>
    <xf numFmtId="0" fontId="6" fillId="4" borderId="0" xfId="1" applyFont="1" applyFill="1" applyBorder="1"/>
    <xf numFmtId="3" fontId="5" fillId="4" borderId="27" xfId="1" quotePrefix="1" applyNumberFormat="1" applyFont="1" applyFill="1" applyBorder="1" applyAlignment="1">
      <alignment horizontal="right" vertical="center"/>
    </xf>
    <xf numFmtId="0" fontId="5" fillId="4" borderId="27" xfId="1" quotePrefix="1" applyFont="1" applyFill="1" applyBorder="1" applyAlignment="1">
      <alignment horizontal="right" vertical="center"/>
    </xf>
    <xf numFmtId="0" fontId="6" fillId="4" borderId="27" xfId="1" applyFont="1" applyFill="1" applyBorder="1" applyAlignment="1">
      <alignment vertical="center"/>
    </xf>
    <xf numFmtId="0" fontId="6" fillId="4" borderId="28" xfId="1" applyFont="1" applyFill="1" applyBorder="1" applyAlignment="1">
      <alignment vertical="center"/>
    </xf>
    <xf numFmtId="0" fontId="6" fillId="4" borderId="29" xfId="1" applyFont="1" applyFill="1" applyBorder="1" applyAlignment="1">
      <alignment vertical="center"/>
    </xf>
    <xf numFmtId="166" fontId="6" fillId="4" borderId="28" xfId="1" applyNumberFormat="1" applyFont="1" applyFill="1" applyBorder="1" applyAlignment="1">
      <alignment horizontal="right" vertical="center"/>
    </xf>
    <xf numFmtId="0" fontId="6" fillId="4" borderId="27" xfId="1" applyFont="1" applyFill="1" applyBorder="1" applyAlignment="1">
      <alignment horizontal="right" vertical="center"/>
    </xf>
    <xf numFmtId="3" fontId="6" fillId="4" borderId="30" xfId="1" applyNumberFormat="1" applyFont="1" applyFill="1" applyBorder="1" applyAlignment="1">
      <alignment vertical="center"/>
    </xf>
    <xf numFmtId="4" fontId="6" fillId="4" borderId="27" xfId="1" applyNumberFormat="1" applyFont="1" applyFill="1" applyBorder="1"/>
    <xf numFmtId="4" fontId="11" fillId="4" borderId="27" xfId="1" applyNumberFormat="1" applyFont="1" applyFill="1" applyBorder="1"/>
    <xf numFmtId="0" fontId="5" fillId="4" borderId="29" xfId="1" applyFont="1" applyFill="1" applyBorder="1"/>
    <xf numFmtId="0" fontId="6" fillId="4" borderId="28" xfId="1" quotePrefix="1" applyFont="1" applyFill="1" applyBorder="1" applyAlignment="1">
      <alignment vertical="center"/>
    </xf>
    <xf numFmtId="0" fontId="5" fillId="0" borderId="27" xfId="1" applyFont="1" applyFill="1" applyBorder="1" applyAlignment="1">
      <alignment horizontal="right"/>
    </xf>
    <xf numFmtId="0" fontId="5" fillId="0" borderId="30" xfId="1" applyFont="1" applyFill="1" applyBorder="1"/>
    <xf numFmtId="0" fontId="5" fillId="0" borderId="28" xfId="1" applyFont="1" applyFill="1" applyBorder="1"/>
    <xf numFmtId="0" fontId="5" fillId="0" borderId="29" xfId="1" applyFont="1" applyFill="1" applyBorder="1"/>
    <xf numFmtId="3" fontId="6" fillId="0" borderId="30" xfId="1" applyNumberFormat="1" applyFont="1" applyFill="1" applyBorder="1"/>
    <xf numFmtId="3" fontId="6" fillId="0" borderId="29" xfId="1" applyNumberFormat="1" applyFont="1" applyFill="1" applyBorder="1"/>
    <xf numFmtId="166" fontId="6" fillId="0" borderId="30" xfId="1" applyNumberFormat="1" applyFont="1" applyFill="1" applyBorder="1"/>
    <xf numFmtId="166" fontId="7" fillId="0" borderId="27" xfId="1" applyNumberFormat="1" applyFont="1" applyFill="1" applyBorder="1" applyAlignment="1">
      <alignment horizontal="center"/>
    </xf>
    <xf numFmtId="0" fontId="6" fillId="0" borderId="28" xfId="1" applyFont="1" applyFill="1" applyBorder="1"/>
    <xf numFmtId="166" fontId="5" fillId="0" borderId="30" xfId="1" applyNumberFormat="1" applyFont="1" applyFill="1" applyBorder="1" applyAlignment="1">
      <alignment horizontal="right"/>
    </xf>
    <xf numFmtId="4" fontId="6" fillId="0" borderId="30" xfId="1" applyNumberFormat="1" applyFont="1" applyFill="1" applyBorder="1"/>
    <xf numFmtId="0" fontId="6" fillId="0" borderId="27" xfId="1" applyFont="1" applyFill="1" applyBorder="1"/>
    <xf numFmtId="0" fontId="6" fillId="0" borderId="27" xfId="1" applyFont="1" applyFill="1" applyBorder="1" applyAlignment="1">
      <alignment horizontal="center"/>
    </xf>
    <xf numFmtId="41" fontId="6" fillId="0" borderId="27" xfId="1" applyNumberFormat="1" applyFont="1" applyFill="1" applyBorder="1"/>
    <xf numFmtId="3" fontId="5" fillId="5" borderId="27" xfId="1" quotePrefix="1" applyNumberFormat="1" applyFont="1" applyFill="1" applyBorder="1" applyAlignment="1">
      <alignment horizontal="center"/>
    </xf>
    <xf numFmtId="0" fontId="5" fillId="5" borderId="30" xfId="1" applyFont="1" applyFill="1" applyBorder="1"/>
    <xf numFmtId="0" fontId="5" fillId="5" borderId="28" xfId="1" applyFont="1" applyFill="1" applyBorder="1"/>
    <xf numFmtId="3" fontId="6" fillId="5" borderId="30" xfId="1" applyNumberFormat="1" applyFont="1" applyFill="1" applyBorder="1"/>
    <xf numFmtId="3" fontId="6" fillId="5" borderId="29" xfId="1" applyNumberFormat="1" applyFont="1" applyFill="1" applyBorder="1"/>
    <xf numFmtId="166" fontId="6" fillId="5" borderId="30" xfId="1" applyNumberFormat="1" applyFont="1" applyFill="1" applyBorder="1"/>
    <xf numFmtId="166" fontId="7" fillId="5" borderId="27" xfId="1" applyNumberFormat="1" applyFont="1" applyFill="1" applyBorder="1" applyAlignment="1">
      <alignment horizontal="center"/>
    </xf>
    <xf numFmtId="0" fontId="6" fillId="5" borderId="28" xfId="1" applyFont="1" applyFill="1" applyBorder="1"/>
    <xf numFmtId="166" fontId="5" fillId="5" borderId="30" xfId="1" applyNumberFormat="1" applyFont="1" applyFill="1" applyBorder="1" applyAlignment="1">
      <alignment horizontal="right"/>
    </xf>
    <xf numFmtId="0" fontId="5" fillId="5" borderId="27" xfId="1" applyFont="1" applyFill="1" applyBorder="1" applyAlignment="1">
      <alignment horizontal="right"/>
    </xf>
    <xf numFmtId="3" fontId="5" fillId="5" borderId="30" xfId="1" applyNumberFormat="1" applyFont="1" applyFill="1" applyBorder="1"/>
    <xf numFmtId="4" fontId="6" fillId="5" borderId="30" xfId="1" applyNumberFormat="1" applyFont="1" applyFill="1" applyBorder="1"/>
    <xf numFmtId="0" fontId="6" fillId="5" borderId="27" xfId="1" applyFont="1" applyFill="1" applyBorder="1"/>
    <xf numFmtId="0" fontId="6" fillId="5" borderId="27" xfId="1" applyFont="1" applyFill="1" applyBorder="1" applyAlignment="1">
      <alignment horizontal="center"/>
    </xf>
    <xf numFmtId="41" fontId="6" fillId="5" borderId="27" xfId="1" applyNumberFormat="1" applyFont="1" applyFill="1" applyBorder="1"/>
    <xf numFmtId="0" fontId="5" fillId="0" borderId="27" xfId="1" quotePrefix="1" applyFont="1" applyFill="1" applyBorder="1" applyAlignment="1">
      <alignment horizontal="right"/>
    </xf>
    <xf numFmtId="0" fontId="6" fillId="0" borderId="30" xfId="1" applyFont="1" applyFill="1" applyBorder="1"/>
    <xf numFmtId="166" fontId="6" fillId="0" borderId="30" xfId="1" applyNumberFormat="1" applyFont="1" applyFill="1" applyBorder="1" applyAlignment="1">
      <alignment horizontal="right"/>
    </xf>
    <xf numFmtId="0" fontId="6" fillId="0" borderId="27" xfId="1" applyFont="1" applyFill="1" applyBorder="1" applyAlignment="1">
      <alignment horizontal="right"/>
    </xf>
    <xf numFmtId="3" fontId="5" fillId="0" borderId="27" xfId="1" applyNumberFormat="1" applyFont="1" applyFill="1" applyBorder="1"/>
    <xf numFmtId="0" fontId="6" fillId="0" borderId="29" xfId="1" applyFont="1" applyFill="1" applyBorder="1"/>
    <xf numFmtId="0" fontId="5" fillId="0" borderId="27" xfId="1" applyFont="1" applyFill="1" applyBorder="1" applyAlignment="1">
      <alignment horizontal="right" vertical="center"/>
    </xf>
    <xf numFmtId="0" fontId="5" fillId="0" borderId="28" xfId="1" quotePrefix="1" applyFont="1" applyFill="1" applyBorder="1" applyAlignment="1">
      <alignment horizontal="center" vertical="center"/>
    </xf>
    <xf numFmtId="0" fontId="6" fillId="0" borderId="28" xfId="1" applyFont="1" applyFill="1" applyBorder="1" applyAlignment="1">
      <alignment vertical="center"/>
    </xf>
    <xf numFmtId="0" fontId="5" fillId="0" borderId="28" xfId="1" applyFont="1" applyFill="1" applyBorder="1" applyAlignment="1">
      <alignment vertical="center"/>
    </xf>
    <xf numFmtId="0" fontId="5" fillId="0" borderId="29" xfId="1" applyFont="1" applyFill="1" applyBorder="1" applyAlignment="1">
      <alignment vertical="center"/>
    </xf>
    <xf numFmtId="166" fontId="6" fillId="4" borderId="30" xfId="1" applyNumberFormat="1" applyFont="1" applyFill="1" applyBorder="1" applyAlignment="1">
      <alignment horizontal="right" vertical="center"/>
    </xf>
    <xf numFmtId="3" fontId="6" fillId="4" borderId="27" xfId="1" applyNumberFormat="1" applyFont="1" applyFill="1" applyBorder="1" applyAlignment="1">
      <alignment horizontal="right"/>
    </xf>
    <xf numFmtId="4" fontId="6" fillId="4" borderId="27" xfId="1" applyNumberFormat="1" applyFont="1" applyFill="1" applyBorder="1" applyAlignment="1">
      <alignment horizontal="center"/>
    </xf>
    <xf numFmtId="0" fontId="6" fillId="0" borderId="27" xfId="1" applyFont="1" applyFill="1" applyBorder="1" applyAlignment="1">
      <alignment horizontal="right" vertical="top"/>
    </xf>
    <xf numFmtId="0" fontId="6" fillId="0" borderId="30" xfId="1" applyFont="1" applyFill="1" applyBorder="1" applyAlignment="1">
      <alignment horizontal="center" vertical="center"/>
    </xf>
    <xf numFmtId="167" fontId="6" fillId="0" borderId="28" xfId="1" applyNumberFormat="1" applyFont="1" applyFill="1" applyBorder="1" applyAlignment="1" applyProtection="1">
      <alignment horizontal="center" vertical="center"/>
    </xf>
    <xf numFmtId="167" fontId="6" fillId="0" borderId="28" xfId="1" applyNumberFormat="1" applyFont="1" applyFill="1" applyBorder="1" applyAlignment="1" applyProtection="1">
      <alignment horizontal="left" vertical="center"/>
    </xf>
    <xf numFmtId="0" fontId="6" fillId="0" borderId="29" xfId="1" applyFont="1" applyFill="1" applyBorder="1" applyAlignment="1">
      <alignment vertical="center"/>
    </xf>
    <xf numFmtId="3" fontId="6" fillId="0" borderId="30" xfId="1" applyNumberFormat="1" applyFont="1" applyFill="1" applyBorder="1" applyAlignment="1">
      <alignment vertical="center"/>
    </xf>
    <xf numFmtId="3" fontId="6" fillId="0" borderId="29" xfId="1" applyNumberFormat="1" applyFont="1" applyFill="1" applyBorder="1" applyAlignment="1">
      <alignment vertical="center"/>
    </xf>
    <xf numFmtId="166" fontId="6" fillId="0" borderId="27" xfId="1" quotePrefix="1" applyNumberFormat="1" applyFont="1" applyFill="1" applyBorder="1" applyAlignment="1">
      <alignment horizontal="right" vertical="center"/>
    </xf>
    <xf numFmtId="0" fontId="6" fillId="0" borderId="30" xfId="1" applyFont="1" applyFill="1" applyBorder="1" applyAlignment="1">
      <alignment vertical="center"/>
    </xf>
    <xf numFmtId="3" fontId="6" fillId="4" borderId="29" xfId="1" applyNumberFormat="1" applyFont="1" applyFill="1" applyBorder="1" applyAlignment="1">
      <alignment vertical="center"/>
    </xf>
    <xf numFmtId="166" fontId="6" fillId="4" borderId="27" xfId="1" quotePrefix="1" applyNumberFormat="1" applyFont="1" applyFill="1" applyBorder="1" applyAlignment="1">
      <alignment horizontal="right" vertical="center"/>
    </xf>
    <xf numFmtId="166" fontId="6" fillId="4" borderId="30" xfId="1" quotePrefix="1" applyNumberFormat="1" applyFont="1" applyFill="1" applyBorder="1" applyAlignment="1">
      <alignment horizontal="right" vertical="center"/>
    </xf>
    <xf numFmtId="4" fontId="6" fillId="4" borderId="30" xfId="1" applyNumberFormat="1" applyFont="1" applyFill="1" applyBorder="1" applyAlignment="1">
      <alignment vertical="center"/>
    </xf>
    <xf numFmtId="4" fontId="6" fillId="4" borderId="27" xfId="1" applyNumberFormat="1" applyFont="1" applyFill="1" applyBorder="1" applyAlignment="1">
      <alignment vertical="center"/>
    </xf>
    <xf numFmtId="4" fontId="6" fillId="4" borderId="27" xfId="1" applyNumberFormat="1" applyFont="1" applyFill="1" applyBorder="1" applyAlignment="1">
      <alignment horizontal="center" vertical="center"/>
    </xf>
    <xf numFmtId="41" fontId="6" fillId="4" borderId="27" xfId="1" applyNumberFormat="1" applyFont="1" applyFill="1" applyBorder="1" applyAlignment="1">
      <alignment vertical="center"/>
    </xf>
    <xf numFmtId="4" fontId="11" fillId="4" borderId="27" xfId="1" applyNumberFormat="1" applyFont="1" applyFill="1" applyBorder="1" applyAlignment="1">
      <alignment vertical="center"/>
    </xf>
    <xf numFmtId="0" fontId="6" fillId="0" borderId="27" xfId="1" applyFont="1" applyFill="1" applyBorder="1" applyAlignment="1">
      <alignment vertical="center"/>
    </xf>
    <xf numFmtId="0" fontId="6" fillId="0" borderId="31" xfId="1" applyFont="1" applyFill="1" applyBorder="1" applyAlignment="1">
      <alignment vertical="center"/>
    </xf>
    <xf numFmtId="167" fontId="6" fillId="0" borderId="28" xfId="1" applyNumberFormat="1" applyFont="1" applyFill="1" applyBorder="1" applyAlignment="1" applyProtection="1">
      <alignment horizontal="center" vertical="top"/>
    </xf>
    <xf numFmtId="167" fontId="6" fillId="0" borderId="28" xfId="1" applyNumberFormat="1" applyFont="1" applyFill="1" applyBorder="1" applyAlignment="1" applyProtection="1">
      <alignment horizontal="left" vertical="center" wrapText="1"/>
    </xf>
    <xf numFmtId="167" fontId="6" fillId="0" borderId="29" xfId="1" applyNumberFormat="1" applyFont="1" applyFill="1" applyBorder="1" applyAlignment="1" applyProtection="1">
      <alignment horizontal="left" vertical="center" wrapText="1"/>
    </xf>
    <xf numFmtId="0" fontId="6" fillId="0" borderId="0" xfId="1" applyFont="1" applyFill="1" applyBorder="1" applyAlignment="1">
      <alignment vertical="center"/>
    </xf>
    <xf numFmtId="0" fontId="6" fillId="0" borderId="32" xfId="1" applyFont="1" applyFill="1" applyBorder="1" applyAlignment="1">
      <alignment vertical="center"/>
    </xf>
    <xf numFmtId="166" fontId="5" fillId="0" borderId="30" xfId="1" applyNumberFormat="1" applyFont="1" applyFill="1" applyBorder="1"/>
    <xf numFmtId="3" fontId="5" fillId="0" borderId="29" xfId="1" applyNumberFormat="1" applyFont="1" applyFill="1" applyBorder="1"/>
    <xf numFmtId="166" fontId="5" fillId="0" borderId="27" xfId="1" applyNumberFormat="1" applyFont="1" applyFill="1" applyBorder="1"/>
    <xf numFmtId="3" fontId="5" fillId="4" borderId="30" xfId="1" applyNumberFormat="1" applyFont="1" applyFill="1" applyBorder="1"/>
    <xf numFmtId="0" fontId="5" fillId="4" borderId="27" xfId="1" applyFont="1" applyFill="1" applyBorder="1"/>
    <xf numFmtId="4" fontId="5" fillId="4" borderId="27" xfId="1" applyNumberFormat="1" applyFont="1" applyFill="1" applyBorder="1"/>
    <xf numFmtId="4" fontId="5" fillId="4" borderId="27" xfId="1" applyNumberFormat="1" applyFont="1" applyFill="1" applyBorder="1" applyAlignment="1">
      <alignment horizontal="center"/>
    </xf>
    <xf numFmtId="41" fontId="5" fillId="4" borderId="27" xfId="1" applyNumberFormat="1" applyFont="1" applyFill="1" applyBorder="1"/>
    <xf numFmtId="4" fontId="13" fillId="4" borderId="27" xfId="1" applyNumberFormat="1" applyFont="1" applyFill="1" applyBorder="1"/>
    <xf numFmtId="0" fontId="5" fillId="0" borderId="27" xfId="1" applyFont="1" applyFill="1" applyBorder="1"/>
    <xf numFmtId="0" fontId="5" fillId="0" borderId="10" xfId="1" applyFont="1" applyFill="1" applyBorder="1"/>
    <xf numFmtId="0" fontId="5" fillId="0" borderId="31" xfId="1" applyFont="1" applyFill="1" applyBorder="1"/>
    <xf numFmtId="166" fontId="6" fillId="0" borderId="30" xfId="1" applyNumberFormat="1" applyFont="1" applyFill="1" applyBorder="1" applyAlignment="1">
      <alignment horizontal="right" vertical="center"/>
    </xf>
    <xf numFmtId="3" fontId="6" fillId="0" borderId="27" xfId="1" applyNumberFormat="1" applyFont="1" applyFill="1" applyBorder="1" applyAlignment="1">
      <alignment horizontal="right" vertical="center"/>
    </xf>
    <xf numFmtId="43" fontId="6" fillId="4" borderId="27" xfId="3" applyFont="1" applyFill="1" applyBorder="1"/>
    <xf numFmtId="166" fontId="6" fillId="4" borderId="30" xfId="1" applyNumberFormat="1" applyFont="1" applyFill="1" applyBorder="1" applyAlignment="1">
      <alignment horizontal="right"/>
    </xf>
    <xf numFmtId="0" fontId="6" fillId="4" borderId="27" xfId="1" applyFont="1" applyFill="1" applyBorder="1" applyAlignment="1">
      <alignment horizontal="right"/>
    </xf>
    <xf numFmtId="3" fontId="5" fillId="4" borderId="27" xfId="1" applyNumberFormat="1" applyFont="1" applyFill="1" applyBorder="1"/>
    <xf numFmtId="3" fontId="5" fillId="0" borderId="30" xfId="1" applyNumberFormat="1" applyFont="1" applyFill="1" applyBorder="1"/>
    <xf numFmtId="166" fontId="9" fillId="0" borderId="27" xfId="1" applyNumberFormat="1" applyFont="1" applyFill="1" applyBorder="1" applyAlignment="1">
      <alignment horizontal="center"/>
    </xf>
    <xf numFmtId="4" fontId="5" fillId="0" borderId="27" xfId="1" applyNumberFormat="1" applyFont="1" applyFill="1" applyBorder="1"/>
    <xf numFmtId="4" fontId="5" fillId="0" borderId="27" xfId="1" applyNumberFormat="1" applyFont="1" applyFill="1" applyBorder="1" applyAlignment="1">
      <alignment horizontal="center"/>
    </xf>
    <xf numFmtId="41" fontId="5" fillId="0" borderId="27" xfId="1" applyNumberFormat="1" applyFont="1" applyFill="1" applyBorder="1"/>
    <xf numFmtId="43" fontId="5" fillId="0" borderId="27" xfId="3" applyFont="1" applyFill="1" applyBorder="1"/>
    <xf numFmtId="0" fontId="5" fillId="0" borderId="30" xfId="1" applyFont="1" applyFill="1" applyBorder="1" applyAlignment="1">
      <alignment horizontal="center" vertical="center"/>
    </xf>
    <xf numFmtId="4" fontId="6" fillId="0" borderId="27" xfId="1" applyNumberFormat="1" applyFont="1" applyFill="1" applyBorder="1"/>
    <xf numFmtId="4" fontId="6" fillId="0" borderId="27" xfId="1" quotePrefix="1" applyNumberFormat="1" applyFont="1" applyFill="1" applyBorder="1" applyAlignment="1">
      <alignment horizontal="center"/>
    </xf>
    <xf numFmtId="43" fontId="6" fillId="0" borderId="27" xfId="3" applyFont="1" applyFill="1" applyBorder="1"/>
    <xf numFmtId="4" fontId="6" fillId="0" borderId="27" xfId="1" applyNumberFormat="1" applyFont="1" applyFill="1" applyBorder="1" applyAlignment="1">
      <alignment horizontal="center"/>
    </xf>
    <xf numFmtId="0" fontId="6" fillId="0" borderId="27" xfId="1" quotePrefix="1" applyFont="1" applyFill="1" applyBorder="1" applyAlignment="1">
      <alignment horizontal="right"/>
    </xf>
    <xf numFmtId="41" fontId="6" fillId="0" borderId="27" xfId="4" applyFont="1" applyFill="1" applyBorder="1" applyAlignment="1">
      <alignment horizontal="right"/>
    </xf>
    <xf numFmtId="3" fontId="5" fillId="0" borderId="30" xfId="1" applyNumberFormat="1" applyFont="1" applyFill="1" applyBorder="1" applyAlignment="1">
      <alignment vertical="center"/>
    </xf>
    <xf numFmtId="4" fontId="11" fillId="0" borderId="27" xfId="1" applyNumberFormat="1" applyFont="1" applyFill="1" applyBorder="1"/>
    <xf numFmtId="3" fontId="6" fillId="0" borderId="27" xfId="1" applyNumberFormat="1" applyFont="1" applyFill="1" applyBorder="1"/>
    <xf numFmtId="0" fontId="12" fillId="0" borderId="27" xfId="1" applyFont="1" applyFill="1" applyBorder="1" applyAlignment="1">
      <alignment horizontal="right"/>
    </xf>
    <xf numFmtId="0" fontId="12" fillId="0" borderId="30" xfId="1" applyFont="1" applyFill="1" applyBorder="1"/>
    <xf numFmtId="0" fontId="12" fillId="0" borderId="28" xfId="1" applyFont="1" applyFill="1" applyBorder="1"/>
    <xf numFmtId="3" fontId="6" fillId="0" borderId="27" xfId="1" applyNumberFormat="1" applyFont="1" applyFill="1" applyBorder="1" applyAlignment="1">
      <alignment horizontal="right"/>
    </xf>
    <xf numFmtId="0" fontId="5" fillId="0" borderId="27" xfId="1" applyFont="1" applyFill="1" applyBorder="1" applyAlignment="1">
      <alignment horizontal="right" vertical="center" wrapText="1"/>
    </xf>
    <xf numFmtId="166" fontId="5" fillId="0" borderId="30" xfId="1" applyNumberFormat="1" applyFont="1" applyFill="1" applyBorder="1" applyAlignment="1">
      <alignment vertical="center" wrapText="1"/>
    </xf>
    <xf numFmtId="0" fontId="15" fillId="0" borderId="27" xfId="1" applyFont="1" applyFill="1" applyBorder="1" applyAlignment="1">
      <alignment horizontal="right"/>
    </xf>
    <xf numFmtId="0" fontId="15" fillId="0" borderId="30" xfId="1" applyFont="1" applyFill="1" applyBorder="1"/>
    <xf numFmtId="3" fontId="5" fillId="0" borderId="27" xfId="1" applyNumberFormat="1" applyFont="1" applyFill="1" applyBorder="1" applyAlignment="1">
      <alignment horizontal="right"/>
    </xf>
    <xf numFmtId="166" fontId="5" fillId="0" borderId="30" xfId="1" quotePrefix="1" applyNumberFormat="1" applyFont="1" applyFill="1" applyBorder="1" applyAlignment="1">
      <alignment horizontal="right"/>
    </xf>
    <xf numFmtId="4" fontId="13" fillId="0" borderId="27" xfId="1" applyNumberFormat="1" applyFont="1" applyFill="1" applyBorder="1"/>
    <xf numFmtId="0" fontId="5" fillId="0" borderId="30" xfId="1" quotePrefix="1" applyFont="1" applyFill="1" applyBorder="1" applyAlignment="1">
      <alignment horizontal="center"/>
    </xf>
    <xf numFmtId="167" fontId="6" fillId="0" borderId="28" xfId="1" applyNumberFormat="1" applyFont="1" applyFill="1" applyBorder="1" applyAlignment="1" applyProtection="1">
      <alignment horizontal="left"/>
    </xf>
    <xf numFmtId="0" fontId="6" fillId="0" borderId="28" xfId="1" applyFont="1" applyFill="1" applyBorder="1" applyAlignment="1"/>
    <xf numFmtId="0" fontId="6" fillId="0" borderId="29" xfId="1" applyFont="1" applyFill="1" applyBorder="1" applyAlignment="1"/>
    <xf numFmtId="0" fontId="15" fillId="0" borderId="27" xfId="1" quotePrefix="1" applyFont="1" applyFill="1" applyBorder="1" applyAlignment="1">
      <alignment horizontal="right"/>
    </xf>
    <xf numFmtId="168" fontId="6" fillId="0" borderId="30" xfId="5" quotePrefix="1" applyNumberFormat="1" applyFont="1" applyFill="1" applyBorder="1" applyAlignment="1">
      <alignment horizontal="right" vertical="center"/>
    </xf>
    <xf numFmtId="168" fontId="6" fillId="0" borderId="29" xfId="5" applyNumberFormat="1" applyFont="1" applyFill="1" applyBorder="1" applyAlignment="1">
      <alignment horizontal="left" vertical="center"/>
    </xf>
    <xf numFmtId="168" fontId="6" fillId="0" borderId="27" xfId="5" applyNumberFormat="1" applyFont="1" applyFill="1" applyBorder="1" applyAlignment="1">
      <alignment horizontal="right" vertical="center"/>
    </xf>
    <xf numFmtId="0" fontId="5" fillId="0" borderId="30" xfId="1" applyFont="1" applyFill="1" applyBorder="1" applyAlignment="1">
      <alignment horizontal="center"/>
    </xf>
    <xf numFmtId="0" fontId="5" fillId="0" borderId="30" xfId="1" applyFont="1" applyFill="1" applyBorder="1" applyAlignment="1"/>
    <xf numFmtId="0" fontId="5" fillId="0" borderId="28" xfId="1" applyFont="1" applyFill="1" applyBorder="1" applyAlignment="1"/>
    <xf numFmtId="0" fontId="5" fillId="0" borderId="29" xfId="1" applyFont="1" applyFill="1" applyBorder="1" applyAlignment="1"/>
    <xf numFmtId="166" fontId="5" fillId="0" borderId="30" xfId="1" applyNumberFormat="1" applyFont="1" applyFill="1" applyBorder="1" applyAlignment="1">
      <alignment horizontal="right" vertical="center"/>
    </xf>
    <xf numFmtId="3" fontId="5" fillId="0" borderId="27" xfId="1" applyNumberFormat="1" applyFont="1" applyFill="1" applyBorder="1" applyAlignment="1">
      <alignment horizontal="right" vertical="center"/>
    </xf>
    <xf numFmtId="166" fontId="5" fillId="0" borderId="30" xfId="1" quotePrefix="1" applyNumberFormat="1" applyFont="1" applyFill="1" applyBorder="1" applyAlignment="1">
      <alignment horizontal="right" vertical="center"/>
    </xf>
    <xf numFmtId="0" fontId="6" fillId="0" borderId="30" xfId="1" quotePrefix="1" applyFont="1" applyFill="1" applyBorder="1" applyAlignment="1">
      <alignment horizontal="center"/>
    </xf>
    <xf numFmtId="0" fontId="6" fillId="0" borderId="27" xfId="1" applyFont="1" applyFill="1" applyBorder="1" applyAlignment="1">
      <alignment horizontal="right" vertical="center"/>
    </xf>
    <xf numFmtId="0" fontId="15" fillId="0" borderId="28" xfId="1" applyFont="1" applyFill="1" applyBorder="1"/>
    <xf numFmtId="0" fontId="15" fillId="0" borderId="29" xfId="1" applyFont="1" applyFill="1" applyBorder="1"/>
    <xf numFmtId="0" fontId="6" fillId="0" borderId="28" xfId="1" applyFont="1" applyFill="1" applyBorder="1" applyAlignment="1">
      <alignment horizontal="center"/>
    </xf>
    <xf numFmtId="0" fontId="5" fillId="0" borderId="28" xfId="1" quotePrefix="1" applyFont="1" applyFill="1" applyBorder="1" applyAlignment="1">
      <alignment horizontal="center"/>
    </xf>
    <xf numFmtId="0" fontId="15" fillId="0" borderId="30" xfId="1" applyFont="1" applyFill="1" applyBorder="1" applyAlignment="1">
      <alignment horizontal="left"/>
    </xf>
    <xf numFmtId="0" fontId="6" fillId="0" borderId="28" xfId="1" applyFont="1" applyFill="1" applyBorder="1" applyAlignment="1">
      <alignment horizontal="left"/>
    </xf>
    <xf numFmtId="0" fontId="12" fillId="0" borderId="1" xfId="1" applyFont="1" applyFill="1" applyBorder="1" applyAlignment="1">
      <alignment horizontal="right"/>
    </xf>
    <xf numFmtId="0" fontId="12" fillId="0" borderId="33" xfId="1" applyFont="1" applyFill="1" applyBorder="1" applyAlignment="1">
      <alignment horizontal="left"/>
    </xf>
    <xf numFmtId="0" fontId="5" fillId="0" borderId="33" xfId="2" applyFont="1" applyFill="1" applyBorder="1" applyAlignment="1">
      <alignment horizontal="left" vertical="center"/>
    </xf>
    <xf numFmtId="0" fontId="5" fillId="0" borderId="33" xfId="1" applyFont="1" applyFill="1" applyBorder="1"/>
    <xf numFmtId="0" fontId="5" fillId="0" borderId="34" xfId="1" applyFont="1" applyFill="1" applyBorder="1"/>
    <xf numFmtId="3" fontId="5" fillId="0" borderId="35" xfId="1" applyNumberFormat="1" applyFont="1" applyFill="1" applyBorder="1"/>
    <xf numFmtId="3" fontId="5" fillId="0" borderId="34" xfId="1" applyNumberFormat="1" applyFont="1" applyFill="1" applyBorder="1"/>
    <xf numFmtId="166" fontId="5" fillId="0" borderId="35" xfId="1" applyNumberFormat="1" applyFont="1" applyFill="1" applyBorder="1"/>
    <xf numFmtId="166" fontId="9" fillId="0" borderId="1" xfId="1" applyNumberFormat="1" applyFont="1" applyFill="1" applyBorder="1" applyAlignment="1">
      <alignment horizontal="center"/>
    </xf>
    <xf numFmtId="0" fontId="5" fillId="0" borderId="35" xfId="2" applyFont="1" applyFill="1" applyBorder="1" applyAlignment="1">
      <alignment vertical="center"/>
    </xf>
    <xf numFmtId="0" fontId="5" fillId="0" borderId="34" xfId="2" applyFont="1" applyFill="1" applyBorder="1" applyAlignment="1">
      <alignment horizontal="left" vertical="center"/>
    </xf>
    <xf numFmtId="3" fontId="5" fillId="0" borderId="33" xfId="1" applyNumberFormat="1" applyFont="1" applyFill="1" applyBorder="1"/>
    <xf numFmtId="3" fontId="5" fillId="0" borderId="35" xfId="2" applyNumberFormat="1" applyFont="1" applyFill="1" applyBorder="1" applyAlignment="1">
      <alignment horizontal="right" vertical="center"/>
    </xf>
    <xf numFmtId="4" fontId="5" fillId="0" borderId="35" xfId="2" applyNumberFormat="1" applyFont="1" applyFill="1" applyBorder="1" applyAlignment="1">
      <alignment horizontal="right" vertical="center"/>
    </xf>
    <xf numFmtId="4" fontId="5" fillId="0" borderId="35" xfId="2" quotePrefix="1" applyNumberFormat="1" applyFont="1" applyFill="1" applyBorder="1" applyAlignment="1">
      <alignment horizontal="center" vertical="center"/>
    </xf>
    <xf numFmtId="41" fontId="5" fillId="0" borderId="35" xfId="2" applyNumberFormat="1" applyFont="1" applyFill="1" applyBorder="1" applyAlignment="1">
      <alignment horizontal="right" vertical="center"/>
    </xf>
    <xf numFmtId="4" fontId="16" fillId="0" borderId="35" xfId="2" applyNumberFormat="1" applyFont="1" applyFill="1" applyBorder="1" applyAlignment="1">
      <alignment horizontal="right" vertical="center"/>
    </xf>
    <xf numFmtId="0" fontId="5" fillId="0" borderId="1" xfId="1" applyFont="1" applyFill="1" applyBorder="1"/>
    <xf numFmtId="0" fontId="6" fillId="0" borderId="0" xfId="1" applyFont="1" applyFill="1" applyBorder="1" applyAlignment="1">
      <alignment horizontal="right" vertical="top"/>
    </xf>
    <xf numFmtId="167" fontId="6" fillId="0" borderId="0" xfId="1" applyNumberFormat="1" applyFont="1" applyFill="1" applyBorder="1" applyAlignment="1" applyProtection="1">
      <alignment horizontal="left"/>
    </xf>
    <xf numFmtId="3" fontId="6" fillId="0" borderId="36" xfId="1" applyNumberFormat="1" applyFont="1" applyFill="1" applyBorder="1"/>
    <xf numFmtId="3" fontId="7" fillId="0" borderId="36" xfId="1" quotePrefix="1" applyNumberFormat="1" applyFont="1" applyFill="1" applyBorder="1" applyAlignment="1">
      <alignment horizontal="right"/>
    </xf>
    <xf numFmtId="4" fontId="6" fillId="0" borderId="0" xfId="1" applyNumberFormat="1" applyFont="1" applyFill="1" applyBorder="1"/>
    <xf numFmtId="0" fontId="5" fillId="0" borderId="0" xfId="1" applyFont="1" applyFill="1" applyAlignment="1">
      <alignment vertical="top"/>
    </xf>
    <xf numFmtId="0" fontId="5" fillId="0" borderId="0" xfId="1" applyFont="1" applyFill="1"/>
    <xf numFmtId="0" fontId="6" fillId="0" borderId="0" xfId="1" applyFont="1" applyFill="1"/>
    <xf numFmtId="0" fontId="6" fillId="0" borderId="0" xfId="1" applyFont="1" applyFill="1" applyBorder="1" applyAlignment="1">
      <alignment horizontal="center"/>
    </xf>
    <xf numFmtId="0" fontId="5" fillId="0" borderId="0" xfId="1" applyFont="1" applyFill="1" applyBorder="1" applyAlignment="1"/>
    <xf numFmtId="0" fontId="5" fillId="0" borderId="0" xfId="1" applyFont="1" applyFill="1" applyBorder="1" applyAlignment="1">
      <alignment horizontal="center"/>
    </xf>
    <xf numFmtId="0" fontId="7" fillId="0" borderId="0" xfId="1" applyFont="1" applyFill="1" applyAlignment="1">
      <alignment horizontal="center"/>
    </xf>
    <xf numFmtId="0" fontId="5" fillId="0" borderId="0" xfId="1" applyFont="1" applyFill="1" applyAlignment="1"/>
    <xf numFmtId="166" fontId="5" fillId="0" borderId="0" xfId="1" applyNumberFormat="1" applyFont="1" applyFill="1" applyBorder="1" applyAlignment="1"/>
    <xf numFmtId="0" fontId="7" fillId="0" borderId="0" xfId="1" applyFont="1" applyFill="1"/>
    <xf numFmtId="166" fontId="5" fillId="0" borderId="0" xfId="1" applyNumberFormat="1" applyFont="1" applyFill="1" applyBorder="1"/>
    <xf numFmtId="166" fontId="6" fillId="0" borderId="0" xfId="1" applyNumberFormat="1" applyFont="1" applyFill="1" applyBorder="1"/>
    <xf numFmtId="0" fontId="6" fillId="0" borderId="0" xfId="1" applyFont="1" applyFill="1" applyAlignment="1">
      <alignment horizontal="left" vertical="top"/>
    </xf>
    <xf numFmtId="166" fontId="7" fillId="0" borderId="0" xfId="1" applyNumberFormat="1" applyFont="1" applyFill="1" applyBorder="1"/>
    <xf numFmtId="0" fontId="6" fillId="0" borderId="0" xfId="1" applyFont="1" applyFill="1" applyAlignment="1">
      <alignment vertical="top"/>
    </xf>
    <xf numFmtId="166" fontId="6" fillId="0" borderId="0" xfId="1" applyNumberFormat="1" applyFont="1" applyFill="1"/>
    <xf numFmtId="166" fontId="7" fillId="0" borderId="11" xfId="1" applyNumberFormat="1" applyFont="1" applyFill="1" applyBorder="1"/>
    <xf numFmtId="0" fontId="5" fillId="4" borderId="28" xfId="1" applyFont="1" applyFill="1" applyBorder="1"/>
    <xf numFmtId="0" fontId="15" fillId="0" borderId="27" xfId="1" applyFont="1" applyFill="1" applyBorder="1"/>
    <xf numFmtId="166" fontId="6" fillId="0" borderId="30" xfId="1" quotePrefix="1" applyNumberFormat="1" applyFont="1" applyFill="1" applyBorder="1" applyAlignment="1">
      <alignment horizontal="right" vertical="center"/>
    </xf>
    <xf numFmtId="3" fontId="6" fillId="4" borderId="28" xfId="1" applyNumberFormat="1" applyFont="1" applyFill="1" applyBorder="1" applyAlignment="1">
      <alignment vertical="center"/>
    </xf>
    <xf numFmtId="0" fontId="15" fillId="0" borderId="27" xfId="1" applyFont="1" applyFill="1" applyBorder="1" applyAlignment="1">
      <alignment horizontal="right" vertical="top"/>
    </xf>
    <xf numFmtId="0" fontId="15" fillId="0" borderId="28" xfId="1" applyFont="1" applyFill="1" applyBorder="1" applyAlignment="1">
      <alignment horizontal="left"/>
    </xf>
    <xf numFmtId="0" fontId="15" fillId="4" borderId="27" xfId="1" applyFont="1" applyFill="1" applyBorder="1" applyAlignment="1">
      <alignment vertical="center"/>
    </xf>
    <xf numFmtId="0" fontId="15" fillId="4" borderId="28" xfId="1" applyFont="1" applyFill="1" applyBorder="1" applyAlignment="1">
      <alignment vertical="center"/>
    </xf>
    <xf numFmtId="0" fontId="15" fillId="4" borderId="28" xfId="1" quotePrefix="1" applyFont="1" applyFill="1" applyBorder="1" applyAlignment="1">
      <alignment vertical="center"/>
    </xf>
    <xf numFmtId="0" fontId="5" fillId="4" borderId="27" xfId="1" quotePrefix="1" applyFont="1" applyFill="1" applyBorder="1" applyAlignment="1">
      <alignment horizontal="right"/>
    </xf>
    <xf numFmtId="0" fontId="5" fillId="4" borderId="30" xfId="1" applyFont="1" applyFill="1" applyBorder="1"/>
    <xf numFmtId="0" fontId="6" fillId="4" borderId="29" xfId="1" applyFont="1" applyFill="1" applyBorder="1"/>
    <xf numFmtId="3" fontId="5" fillId="4" borderId="29" xfId="1" applyNumberFormat="1" applyFont="1" applyFill="1" applyBorder="1"/>
    <xf numFmtId="166" fontId="5" fillId="4" borderId="30" xfId="1" applyNumberFormat="1" applyFont="1" applyFill="1" applyBorder="1"/>
    <xf numFmtId="166" fontId="9" fillId="4" borderId="27" xfId="1" applyNumberFormat="1" applyFont="1" applyFill="1" applyBorder="1" applyAlignment="1">
      <alignment horizontal="center"/>
    </xf>
    <xf numFmtId="166" fontId="5" fillId="4" borderId="30" xfId="1" applyNumberFormat="1" applyFont="1" applyFill="1" applyBorder="1" applyAlignment="1">
      <alignment horizontal="right"/>
    </xf>
    <xf numFmtId="3" fontId="5" fillId="4" borderId="27" xfId="1" applyNumberFormat="1" applyFont="1" applyFill="1" applyBorder="1" applyAlignment="1">
      <alignment horizontal="right"/>
    </xf>
    <xf numFmtId="43" fontId="5" fillId="4" borderId="27" xfId="3" applyFont="1" applyFill="1" applyBorder="1"/>
    <xf numFmtId="0" fontId="6" fillId="4" borderId="30" xfId="1" quotePrefix="1" applyFont="1" applyFill="1" applyBorder="1" applyAlignment="1">
      <alignment horizontal="center"/>
    </xf>
    <xf numFmtId="0" fontId="6" fillId="4" borderId="28" xfId="1" applyFont="1" applyFill="1" applyBorder="1" applyAlignment="1"/>
    <xf numFmtId="0" fontId="6" fillId="4" borderId="29" xfId="1" applyFont="1" applyFill="1" applyBorder="1" applyAlignment="1"/>
    <xf numFmtId="0" fontId="5" fillId="4" borderId="28" xfId="1" quotePrefix="1" applyFont="1" applyFill="1" applyBorder="1" applyAlignment="1">
      <alignment horizontal="center"/>
    </xf>
    <xf numFmtId="167" fontId="6" fillId="4" borderId="28" xfId="1" applyNumberFormat="1" applyFont="1" applyFill="1" applyBorder="1" applyAlignment="1" applyProtection="1">
      <alignment horizontal="left"/>
    </xf>
    <xf numFmtId="0" fontId="5" fillId="0" borderId="28" xfId="1" quotePrefix="1" applyFont="1" applyFill="1" applyBorder="1" applyAlignment="1">
      <alignment horizontal="left"/>
    </xf>
    <xf numFmtId="0" fontId="5" fillId="4" borderId="27" xfId="1" applyFont="1" applyFill="1" applyBorder="1" applyAlignment="1">
      <alignment horizontal="right"/>
    </xf>
    <xf numFmtId="0" fontId="5" fillId="4" borderId="28" xfId="1" applyFont="1" applyFill="1" applyBorder="1" applyAlignment="1">
      <alignment horizontal="left"/>
    </xf>
    <xf numFmtId="167" fontId="5" fillId="4" borderId="28" xfId="1" applyNumberFormat="1" applyFont="1" applyFill="1" applyBorder="1" applyAlignment="1" applyProtection="1">
      <alignment horizontal="left"/>
    </xf>
    <xf numFmtId="4" fontId="5" fillId="4" borderId="30" xfId="1" applyNumberFormat="1" applyFont="1" applyFill="1" applyBorder="1"/>
    <xf numFmtId="4" fontId="5" fillId="4" borderId="27" xfId="1" quotePrefix="1" applyNumberFormat="1" applyFont="1" applyFill="1" applyBorder="1" applyAlignment="1">
      <alignment horizontal="center"/>
    </xf>
    <xf numFmtId="0" fontId="12" fillId="6" borderId="27" xfId="1" quotePrefix="1" applyFont="1" applyFill="1" applyBorder="1" applyAlignment="1">
      <alignment horizontal="right"/>
    </xf>
    <xf numFmtId="0" fontId="12" fillId="6" borderId="30" xfId="1" applyFont="1" applyFill="1" applyBorder="1"/>
    <xf numFmtId="0" fontId="12" fillId="6" borderId="28" xfId="1" applyFont="1" applyFill="1" applyBorder="1"/>
    <xf numFmtId="0" fontId="5" fillId="6" borderId="28" xfId="1" applyFont="1" applyFill="1" applyBorder="1"/>
    <xf numFmtId="3" fontId="5" fillId="6" borderId="30" xfId="1" applyNumberFormat="1" applyFont="1" applyFill="1" applyBorder="1"/>
    <xf numFmtId="3" fontId="5" fillId="6" borderId="29" xfId="1" applyNumberFormat="1" applyFont="1" applyFill="1" applyBorder="1"/>
    <xf numFmtId="166" fontId="5" fillId="6" borderId="30" xfId="1" applyNumberFormat="1" applyFont="1" applyFill="1" applyBorder="1"/>
    <xf numFmtId="166" fontId="9" fillId="6" borderId="27" xfId="1" applyNumberFormat="1" applyFont="1" applyFill="1" applyBorder="1" applyAlignment="1">
      <alignment horizontal="center"/>
    </xf>
    <xf numFmtId="166" fontId="5" fillId="6" borderId="30" xfId="1" applyNumberFormat="1" applyFont="1" applyFill="1" applyBorder="1" applyAlignment="1">
      <alignment horizontal="right"/>
    </xf>
    <xf numFmtId="0" fontId="5" fillId="6" borderId="27" xfId="1" applyFont="1" applyFill="1" applyBorder="1" applyAlignment="1">
      <alignment horizontal="right"/>
    </xf>
    <xf numFmtId="4" fontId="5" fillId="6" borderId="30" xfId="1" applyNumberFormat="1" applyFont="1" applyFill="1" applyBorder="1"/>
    <xf numFmtId="4" fontId="5" fillId="6" borderId="27" xfId="1" applyNumberFormat="1" applyFont="1" applyFill="1" applyBorder="1"/>
    <xf numFmtId="0" fontId="5" fillId="6" borderId="27" xfId="1" applyFont="1" applyFill="1" applyBorder="1" applyAlignment="1">
      <alignment horizontal="center"/>
    </xf>
    <xf numFmtId="41" fontId="5" fillId="6" borderId="27" xfId="1" applyNumberFormat="1" applyFont="1" applyFill="1" applyBorder="1"/>
    <xf numFmtId="0" fontId="5" fillId="6" borderId="27" xfId="1" applyFont="1" applyFill="1" applyBorder="1"/>
    <xf numFmtId="3" fontId="12" fillId="6" borderId="30" xfId="1" applyNumberFormat="1" applyFont="1" applyFill="1" applyBorder="1"/>
    <xf numFmtId="3" fontId="12" fillId="6" borderId="29" xfId="1" applyNumberFormat="1" applyFont="1" applyFill="1" applyBorder="1"/>
    <xf numFmtId="166" fontId="12" fillId="6" borderId="30" xfId="1" applyNumberFormat="1" applyFont="1" applyFill="1" applyBorder="1"/>
    <xf numFmtId="166" fontId="20" fillId="6" borderId="27" xfId="1" applyNumberFormat="1" applyFont="1" applyFill="1" applyBorder="1" applyAlignment="1">
      <alignment horizontal="center"/>
    </xf>
    <xf numFmtId="166" fontId="12" fillId="6" borderId="30" xfId="1" applyNumberFormat="1" applyFont="1" applyFill="1" applyBorder="1" applyAlignment="1">
      <alignment horizontal="right"/>
    </xf>
    <xf numFmtId="0" fontId="12" fillId="6" borderId="27" xfId="1" applyFont="1" applyFill="1" applyBorder="1" applyAlignment="1">
      <alignment horizontal="right"/>
    </xf>
    <xf numFmtId="4" fontId="12" fillId="6" borderId="30" xfId="1" applyNumberFormat="1" applyFont="1" applyFill="1" applyBorder="1"/>
    <xf numFmtId="4" fontId="12" fillId="6" borderId="27" xfId="1" applyNumberFormat="1" applyFont="1" applyFill="1" applyBorder="1"/>
    <xf numFmtId="0" fontId="12" fillId="6" borderId="27" xfId="1" applyFont="1" applyFill="1" applyBorder="1" applyAlignment="1">
      <alignment horizontal="center"/>
    </xf>
    <xf numFmtId="41" fontId="12" fillId="6" borderId="27" xfId="1" applyNumberFormat="1" applyFont="1" applyFill="1" applyBorder="1"/>
    <xf numFmtId="0" fontId="12" fillId="6" borderId="27" xfId="1" applyFont="1" applyFill="1" applyBorder="1"/>
    <xf numFmtId="0" fontId="12" fillId="7" borderId="27" xfId="1" quotePrefix="1" applyFont="1" applyFill="1" applyBorder="1" applyAlignment="1">
      <alignment horizontal="right"/>
    </xf>
    <xf numFmtId="0" fontId="12" fillId="7" borderId="30" xfId="1" applyFont="1" applyFill="1" applyBorder="1" applyAlignment="1">
      <alignment horizontal="left"/>
    </xf>
    <xf numFmtId="0" fontId="12" fillId="7" borderId="28" xfId="1" applyFont="1" applyFill="1" applyBorder="1"/>
    <xf numFmtId="0" fontId="5" fillId="7" borderId="28" xfId="1" applyFont="1" applyFill="1" applyBorder="1"/>
    <xf numFmtId="0" fontId="6" fillId="7" borderId="28" xfId="1" applyFont="1" applyFill="1" applyBorder="1"/>
    <xf numFmtId="0" fontId="6" fillId="7" borderId="29" xfId="1" applyFont="1" applyFill="1" applyBorder="1"/>
    <xf numFmtId="3" fontId="6" fillId="7" borderId="30" xfId="1" applyNumberFormat="1" applyFont="1" applyFill="1" applyBorder="1"/>
    <xf numFmtId="3" fontId="6" fillId="7" borderId="29" xfId="1" applyNumberFormat="1" applyFont="1" applyFill="1" applyBorder="1"/>
    <xf numFmtId="166" fontId="6" fillId="7" borderId="30" xfId="1" applyNumberFormat="1" applyFont="1" applyFill="1" applyBorder="1"/>
    <xf numFmtId="166" fontId="7" fillId="7" borderId="27" xfId="1" applyNumberFormat="1" applyFont="1" applyFill="1" applyBorder="1" applyAlignment="1">
      <alignment horizontal="center"/>
    </xf>
    <xf numFmtId="166" fontId="6" fillId="7" borderId="30" xfId="1" applyNumberFormat="1" applyFont="1" applyFill="1" applyBorder="1" applyAlignment="1">
      <alignment horizontal="right" vertical="center"/>
    </xf>
    <xf numFmtId="3" fontId="6" fillId="7" borderId="27" xfId="1" applyNumberFormat="1" applyFont="1" applyFill="1" applyBorder="1" applyAlignment="1">
      <alignment horizontal="right" vertical="center"/>
    </xf>
    <xf numFmtId="3" fontId="6" fillId="7" borderId="30" xfId="1" applyNumberFormat="1" applyFont="1" applyFill="1" applyBorder="1" applyAlignment="1">
      <alignment vertical="center"/>
    </xf>
    <xf numFmtId="4" fontId="6" fillId="7" borderId="30" xfId="1" applyNumberFormat="1" applyFont="1" applyFill="1" applyBorder="1"/>
    <xf numFmtId="4" fontId="6" fillId="7" borderId="27" xfId="1" applyNumberFormat="1" applyFont="1" applyFill="1" applyBorder="1"/>
    <xf numFmtId="4" fontId="6" fillId="7" borderId="27" xfId="1" quotePrefix="1" applyNumberFormat="1" applyFont="1" applyFill="1" applyBorder="1" applyAlignment="1">
      <alignment horizontal="center"/>
    </xf>
    <xf numFmtId="41" fontId="6" fillId="7" borderId="27" xfId="1" applyNumberFormat="1" applyFont="1" applyFill="1" applyBorder="1"/>
    <xf numFmtId="4" fontId="11" fillId="7" borderId="27" xfId="1" applyNumberFormat="1" applyFont="1" applyFill="1" applyBorder="1"/>
    <xf numFmtId="43" fontId="6" fillId="7" borderId="27" xfId="3" applyFont="1" applyFill="1" applyBorder="1"/>
    <xf numFmtId="0" fontId="6" fillId="7" borderId="27" xfId="1" applyFont="1" applyFill="1" applyBorder="1"/>
    <xf numFmtId="0" fontId="12" fillId="7" borderId="30" xfId="1" quotePrefix="1" applyFont="1" applyFill="1" applyBorder="1" applyAlignment="1">
      <alignment horizontal="center" vertical="center"/>
    </xf>
    <xf numFmtId="0" fontId="6" fillId="7" borderId="27" xfId="1" applyFont="1" applyFill="1" applyBorder="1" applyAlignment="1">
      <alignment horizontal="center"/>
    </xf>
    <xf numFmtId="0" fontId="15" fillId="8" borderId="27" xfId="1" applyFont="1" applyFill="1" applyBorder="1" applyAlignment="1">
      <alignment horizontal="right"/>
    </xf>
    <xf numFmtId="0" fontId="15" fillId="8" borderId="30" xfId="1" applyFont="1" applyFill="1" applyBorder="1"/>
    <xf numFmtId="0" fontId="5" fillId="8" borderId="28" xfId="1" applyFont="1" applyFill="1" applyBorder="1"/>
    <xf numFmtId="0" fontId="5" fillId="8" borderId="29" xfId="1" applyFont="1" applyFill="1" applyBorder="1"/>
    <xf numFmtId="3" fontId="5" fillId="8" borderId="30" xfId="1" applyNumberFormat="1" applyFont="1" applyFill="1" applyBorder="1"/>
    <xf numFmtId="3" fontId="5" fillId="8" borderId="29" xfId="1" applyNumberFormat="1" applyFont="1" applyFill="1" applyBorder="1"/>
    <xf numFmtId="166" fontId="5" fillId="8" borderId="30" xfId="1" applyNumberFormat="1" applyFont="1" applyFill="1" applyBorder="1"/>
    <xf numFmtId="166" fontId="9" fillId="8" borderId="27" xfId="1" applyNumberFormat="1" applyFont="1" applyFill="1" applyBorder="1" applyAlignment="1">
      <alignment horizontal="center"/>
    </xf>
    <xf numFmtId="166" fontId="5" fillId="8" borderId="30" xfId="1" applyNumberFormat="1" applyFont="1" applyFill="1" applyBorder="1" applyAlignment="1">
      <alignment horizontal="right"/>
    </xf>
    <xf numFmtId="3" fontId="5" fillId="8" borderId="27" xfId="1" applyNumberFormat="1" applyFont="1" applyFill="1" applyBorder="1" applyAlignment="1">
      <alignment horizontal="right"/>
    </xf>
    <xf numFmtId="4" fontId="6" fillId="8" borderId="30" xfId="1" applyNumberFormat="1" applyFont="1" applyFill="1" applyBorder="1"/>
    <xf numFmtId="4" fontId="5" fillId="8" borderId="27" xfId="1" applyNumberFormat="1" applyFont="1" applyFill="1" applyBorder="1"/>
    <xf numFmtId="4" fontId="5" fillId="8" borderId="27" xfId="1" applyNumberFormat="1" applyFont="1" applyFill="1" applyBorder="1" applyAlignment="1">
      <alignment horizontal="center"/>
    </xf>
    <xf numFmtId="41" fontId="5" fillId="8" borderId="27" xfId="1" applyNumberFormat="1" applyFont="1" applyFill="1" applyBorder="1"/>
    <xf numFmtId="4" fontId="13" fillId="8" borderId="27" xfId="1" applyNumberFormat="1" applyFont="1" applyFill="1" applyBorder="1"/>
    <xf numFmtId="43" fontId="5" fillId="8" borderId="27" xfId="3" applyFont="1" applyFill="1" applyBorder="1"/>
    <xf numFmtId="0" fontId="5" fillId="8" borderId="27" xfId="1" applyFont="1" applyFill="1" applyBorder="1"/>
    <xf numFmtId="0" fontId="6" fillId="8" borderId="27" xfId="1" applyFont="1" applyFill="1" applyBorder="1" applyAlignment="1">
      <alignment horizontal="right"/>
    </xf>
    <xf numFmtId="0" fontId="5" fillId="8" borderId="30" xfId="1" applyFont="1" applyFill="1" applyBorder="1" applyAlignment="1">
      <alignment horizontal="center"/>
    </xf>
    <xf numFmtId="0" fontId="6" fillId="8" borderId="28" xfId="1" applyFont="1" applyFill="1" applyBorder="1"/>
    <xf numFmtId="0" fontId="6" fillId="8" borderId="29" xfId="1" applyFont="1" applyFill="1" applyBorder="1"/>
    <xf numFmtId="3" fontId="6" fillId="8" borderId="30" xfId="1" applyNumberFormat="1" applyFont="1" applyFill="1" applyBorder="1"/>
    <xf numFmtId="3" fontId="6" fillId="8" borderId="29" xfId="1" applyNumberFormat="1" applyFont="1" applyFill="1" applyBorder="1"/>
    <xf numFmtId="166" fontId="6" fillId="8" borderId="30" xfId="1" applyNumberFormat="1" applyFont="1" applyFill="1" applyBorder="1"/>
    <xf numFmtId="166" fontId="7" fillId="8" borderId="27" xfId="1" applyNumberFormat="1" applyFont="1" applyFill="1" applyBorder="1" applyAlignment="1">
      <alignment horizontal="center"/>
    </xf>
    <xf numFmtId="166" fontId="6" fillId="8" borderId="30" xfId="1" applyNumberFormat="1" applyFont="1" applyFill="1" applyBorder="1" applyAlignment="1">
      <alignment horizontal="right"/>
    </xf>
    <xf numFmtId="3" fontId="6" fillId="8" borderId="27" xfId="1" applyNumberFormat="1" applyFont="1" applyFill="1" applyBorder="1" applyAlignment="1">
      <alignment horizontal="right"/>
    </xf>
    <xf numFmtId="4" fontId="6" fillId="8" borderId="27" xfId="1" applyNumberFormat="1" applyFont="1" applyFill="1" applyBorder="1"/>
    <xf numFmtId="0" fontId="6" fillId="8" borderId="27" xfId="1" applyFont="1" applyFill="1" applyBorder="1" applyAlignment="1">
      <alignment horizontal="center"/>
    </xf>
    <xf numFmtId="41" fontId="6" fillId="8" borderId="27" xfId="1" applyNumberFormat="1" applyFont="1" applyFill="1" applyBorder="1"/>
    <xf numFmtId="4" fontId="11" fillId="8" borderId="27" xfId="1" applyNumberFormat="1" applyFont="1" applyFill="1" applyBorder="1"/>
    <xf numFmtId="0" fontId="6" fillId="8" borderId="27" xfId="1" applyFont="1" applyFill="1" applyBorder="1"/>
    <xf numFmtId="4" fontId="6" fillId="8" borderId="27" xfId="1" quotePrefix="1" applyNumberFormat="1" applyFont="1" applyFill="1" applyBorder="1" applyAlignment="1">
      <alignment horizontal="center"/>
    </xf>
    <xf numFmtId="43" fontId="6" fillId="8" borderId="27" xfId="3" applyFont="1" applyFill="1" applyBorder="1"/>
    <xf numFmtId="0" fontId="6" fillId="0" borderId="0" xfId="1" applyFont="1" applyFill="1" applyBorder="1" applyAlignment="1">
      <alignment horizontal="center"/>
    </xf>
    <xf numFmtId="1" fontId="5" fillId="0" borderId="16" xfId="1" applyNumberFormat="1" applyFont="1" applyFill="1" applyBorder="1" applyAlignment="1">
      <alignment horizontal="center" vertical="center" wrapText="1"/>
    </xf>
    <xf numFmtId="167" fontId="6" fillId="0" borderId="28" xfId="1" applyNumberFormat="1" applyFont="1" applyFill="1" applyBorder="1" applyAlignment="1" applyProtection="1">
      <alignment horizontal="left" vertical="center" wrapText="1"/>
    </xf>
    <xf numFmtId="167" fontId="6" fillId="0" borderId="29" xfId="1" applyNumberFormat="1" applyFont="1" applyFill="1" applyBorder="1" applyAlignment="1" applyProtection="1">
      <alignment horizontal="left" vertical="center" wrapText="1"/>
    </xf>
    <xf numFmtId="0" fontId="5" fillId="0" borderId="30" xfId="1" applyFont="1" applyFill="1" applyBorder="1" applyAlignment="1"/>
    <xf numFmtId="0" fontId="5" fillId="0" borderId="28" xfId="1" applyFont="1" applyFill="1" applyBorder="1" applyAlignment="1"/>
    <xf numFmtId="0" fontId="5" fillId="0" borderId="29" xfId="1" applyFont="1" applyFill="1" applyBorder="1" applyAlignment="1"/>
    <xf numFmtId="0" fontId="6" fillId="0" borderId="28" xfId="1" applyFont="1" applyFill="1" applyBorder="1" applyAlignment="1">
      <alignment horizontal="left"/>
    </xf>
    <xf numFmtId="0" fontId="15" fillId="0" borderId="30" xfId="1" applyFont="1" applyFill="1" applyBorder="1" applyAlignment="1">
      <alignment horizontal="left"/>
    </xf>
    <xf numFmtId="0" fontId="5" fillId="0" borderId="2" xfId="1" applyFont="1" applyFill="1" applyBorder="1" applyAlignment="1">
      <alignment horizontal="center"/>
    </xf>
    <xf numFmtId="0" fontId="5" fillId="0" borderId="0" xfId="1" applyFont="1" applyFill="1" applyAlignment="1">
      <alignment horizontal="center"/>
    </xf>
    <xf numFmtId="0" fontId="6" fillId="9" borderId="27" xfId="1" applyFont="1" applyFill="1" applyBorder="1" applyAlignment="1">
      <alignment horizontal="right"/>
    </xf>
    <xf numFmtId="0" fontId="5" fillId="9" borderId="28" xfId="1" quotePrefix="1" applyFont="1" applyFill="1" applyBorder="1" applyAlignment="1">
      <alignment horizontal="center" vertical="center"/>
    </xf>
    <xf numFmtId="0" fontId="6" fillId="9" borderId="28" xfId="1" applyFont="1" applyFill="1" applyBorder="1"/>
    <xf numFmtId="0" fontId="5" fillId="9" borderId="28" xfId="1" applyFont="1" applyFill="1" applyBorder="1"/>
    <xf numFmtId="166" fontId="6" fillId="9" borderId="30" xfId="1" applyNumberFormat="1" applyFont="1" applyFill="1" applyBorder="1"/>
    <xf numFmtId="3" fontId="6" fillId="9" borderId="29" xfId="1" applyNumberFormat="1" applyFont="1" applyFill="1" applyBorder="1"/>
    <xf numFmtId="166" fontId="5" fillId="9" borderId="27" xfId="1" applyNumberFormat="1" applyFont="1" applyFill="1" applyBorder="1"/>
    <xf numFmtId="0" fontId="6" fillId="9" borderId="28" xfId="1" applyFont="1" applyFill="1" applyBorder="1" applyAlignment="1">
      <alignment vertical="center"/>
    </xf>
    <xf numFmtId="3" fontId="6" fillId="9" borderId="30" xfId="1" applyNumberFormat="1" applyFont="1" applyFill="1" applyBorder="1"/>
    <xf numFmtId="4" fontId="6" fillId="9" borderId="30" xfId="1" applyNumberFormat="1" applyFont="1" applyFill="1" applyBorder="1"/>
    <xf numFmtId="4" fontId="6" fillId="9" borderId="27" xfId="1" applyNumberFormat="1" applyFont="1" applyFill="1" applyBorder="1"/>
    <xf numFmtId="0" fontId="6" fillId="9" borderId="27" xfId="1" applyFont="1" applyFill="1" applyBorder="1" applyAlignment="1">
      <alignment horizontal="center"/>
    </xf>
    <xf numFmtId="41" fontId="6" fillId="9" borderId="27" xfId="1" applyNumberFormat="1" applyFont="1" applyFill="1" applyBorder="1"/>
    <xf numFmtId="4" fontId="11" fillId="9" borderId="27" xfId="1" applyNumberFormat="1" applyFont="1" applyFill="1" applyBorder="1"/>
    <xf numFmtId="0" fontId="6" fillId="9" borderId="27" xfId="1" applyFont="1" applyFill="1" applyBorder="1"/>
    <xf numFmtId="0" fontId="5" fillId="9" borderId="27" xfId="1" quotePrefix="1" applyFont="1" applyFill="1" applyBorder="1" applyAlignment="1">
      <alignment horizontal="right" vertical="center"/>
    </xf>
    <xf numFmtId="0" fontId="5" fillId="9" borderId="28" xfId="1" applyFont="1" applyFill="1" applyBorder="1" applyAlignment="1">
      <alignment vertical="center"/>
    </xf>
    <xf numFmtId="0" fontId="5" fillId="9" borderId="29" xfId="1" applyFont="1" applyFill="1" applyBorder="1" applyAlignment="1">
      <alignment vertical="center"/>
    </xf>
    <xf numFmtId="166" fontId="7" fillId="9" borderId="27" xfId="1" applyNumberFormat="1" applyFont="1" applyFill="1" applyBorder="1" applyAlignment="1">
      <alignment horizontal="center"/>
    </xf>
    <xf numFmtId="166" fontId="5" fillId="9" borderId="28" xfId="1" applyNumberFormat="1" applyFont="1" applyFill="1" applyBorder="1" applyAlignment="1">
      <alignment horizontal="right" vertical="center"/>
    </xf>
    <xf numFmtId="0" fontId="5" fillId="9" borderId="27" xfId="1" applyFont="1" applyFill="1" applyBorder="1" applyAlignment="1">
      <alignment horizontal="right" vertical="center"/>
    </xf>
    <xf numFmtId="3" fontId="5" fillId="9" borderId="30" xfId="1" applyNumberFormat="1" applyFont="1" applyFill="1" applyBorder="1" applyAlignment="1">
      <alignment vertical="center"/>
    </xf>
    <xf numFmtId="0" fontId="15" fillId="9" borderId="27" xfId="1" applyFont="1" applyFill="1" applyBorder="1" applyAlignment="1">
      <alignment vertical="center"/>
    </xf>
    <xf numFmtId="0" fontId="15" fillId="9" borderId="28" xfId="1" applyFont="1" applyFill="1" applyBorder="1" applyAlignment="1">
      <alignment vertical="center"/>
    </xf>
    <xf numFmtId="0" fontId="6" fillId="9" borderId="29" xfId="1" applyFont="1" applyFill="1" applyBorder="1" applyAlignment="1">
      <alignment vertical="center"/>
    </xf>
    <xf numFmtId="0" fontId="6" fillId="9" borderId="27" xfId="1" applyFont="1" applyFill="1" applyBorder="1" applyAlignment="1">
      <alignment vertical="center"/>
    </xf>
    <xf numFmtId="0" fontId="6" fillId="9" borderId="28" xfId="1" quotePrefix="1" applyFont="1" applyFill="1" applyBorder="1" applyAlignment="1">
      <alignment vertical="center"/>
    </xf>
    <xf numFmtId="166" fontId="6" fillId="9" borderId="28" xfId="1" applyNumberFormat="1" applyFont="1" applyFill="1" applyBorder="1" applyAlignment="1">
      <alignment horizontal="right" vertical="center"/>
    </xf>
    <xf numFmtId="0" fontId="6" fillId="9" borderId="27" xfId="1" applyFont="1" applyFill="1" applyBorder="1" applyAlignment="1">
      <alignment horizontal="right" vertical="center"/>
    </xf>
    <xf numFmtId="3" fontId="6" fillId="9" borderId="30" xfId="1" applyNumberFormat="1" applyFont="1" applyFill="1" applyBorder="1" applyAlignment="1">
      <alignment vertical="center"/>
    </xf>
    <xf numFmtId="0" fontId="15" fillId="9" borderId="28" xfId="1" quotePrefix="1" applyFont="1" applyFill="1" applyBorder="1" applyAlignment="1">
      <alignment vertical="center"/>
    </xf>
    <xf numFmtId="0" fontId="5" fillId="9" borderId="29" xfId="1" applyFont="1" applyFill="1" applyBorder="1"/>
    <xf numFmtId="166" fontId="5" fillId="9" borderId="30" xfId="1" applyNumberFormat="1" applyFont="1" applyFill="1" applyBorder="1"/>
    <xf numFmtId="3" fontId="5" fillId="9" borderId="29" xfId="1" applyNumberFormat="1" applyFont="1" applyFill="1" applyBorder="1"/>
    <xf numFmtId="166" fontId="5" fillId="9" borderId="30" xfId="1" applyNumberFormat="1" applyFont="1" applyFill="1" applyBorder="1" applyAlignment="1">
      <alignment horizontal="right" vertical="center"/>
    </xf>
    <xf numFmtId="3" fontId="5" fillId="9" borderId="27" xfId="1" applyNumberFormat="1" applyFont="1" applyFill="1" applyBorder="1" applyAlignment="1">
      <alignment horizontal="right" vertical="center"/>
    </xf>
    <xf numFmtId="3" fontId="5" fillId="9" borderId="27" xfId="1" applyNumberFormat="1" applyFont="1" applyFill="1" applyBorder="1" applyAlignment="1">
      <alignment horizontal="right"/>
    </xf>
    <xf numFmtId="3" fontId="5" fillId="9" borderId="30" xfId="1" applyNumberFormat="1" applyFont="1" applyFill="1" applyBorder="1"/>
    <xf numFmtId="4" fontId="5" fillId="9" borderId="30" xfId="1" applyNumberFormat="1" applyFont="1" applyFill="1" applyBorder="1"/>
    <xf numFmtId="4" fontId="5" fillId="9" borderId="27" xfId="1" applyNumberFormat="1" applyFont="1" applyFill="1" applyBorder="1"/>
    <xf numFmtId="0" fontId="5" fillId="9" borderId="27" xfId="1" applyFont="1" applyFill="1" applyBorder="1" applyAlignment="1">
      <alignment horizontal="center"/>
    </xf>
    <xf numFmtId="41" fontId="5" fillId="9" borderId="27" xfId="1" applyNumberFormat="1" applyFont="1" applyFill="1" applyBorder="1"/>
    <xf numFmtId="4" fontId="13" fillId="9" borderId="27" xfId="1" applyNumberFormat="1" applyFont="1" applyFill="1" applyBorder="1"/>
    <xf numFmtId="0" fontId="5" fillId="9" borderId="27" xfId="1" applyFont="1" applyFill="1" applyBorder="1"/>
    <xf numFmtId="0" fontId="6" fillId="0" borderId="0" xfId="1" applyFont="1" applyFill="1" applyBorder="1" applyAlignment="1">
      <alignment horizontal="center"/>
    </xf>
    <xf numFmtId="1" fontId="5" fillId="0" borderId="16" xfId="1" applyNumberFormat="1" applyFont="1" applyFill="1" applyBorder="1" applyAlignment="1">
      <alignment horizontal="center" vertical="center" wrapText="1"/>
    </xf>
    <xf numFmtId="167" fontId="6" fillId="0" borderId="28" xfId="1" applyNumberFormat="1" applyFont="1" applyFill="1" applyBorder="1" applyAlignment="1" applyProtection="1">
      <alignment horizontal="left" vertical="center" wrapText="1"/>
    </xf>
    <xf numFmtId="167" fontId="6" fillId="0" borderId="29" xfId="1" applyNumberFormat="1" applyFont="1" applyFill="1" applyBorder="1" applyAlignment="1" applyProtection="1">
      <alignment horizontal="left" vertical="center" wrapText="1"/>
    </xf>
    <xf numFmtId="0" fontId="5" fillId="0" borderId="30" xfId="1" applyFont="1" applyFill="1" applyBorder="1" applyAlignment="1"/>
    <xf numFmtId="0" fontId="5" fillId="0" borderId="28" xfId="1" applyFont="1" applyFill="1" applyBorder="1" applyAlignment="1"/>
    <xf numFmtId="0" fontId="5" fillId="0" borderId="29" xfId="1" applyFont="1" applyFill="1" applyBorder="1" applyAlignment="1"/>
    <xf numFmtId="0" fontId="6" fillId="0" borderId="28" xfId="1" applyFont="1" applyFill="1" applyBorder="1" applyAlignment="1">
      <alignment horizontal="left"/>
    </xf>
    <xf numFmtId="0" fontId="15" fillId="0" borderId="30" xfId="1" applyFont="1" applyFill="1" applyBorder="1" applyAlignment="1">
      <alignment horizontal="left"/>
    </xf>
    <xf numFmtId="0" fontId="5" fillId="0" borderId="2" xfId="1" applyFont="1" applyFill="1" applyBorder="1" applyAlignment="1">
      <alignment horizontal="center"/>
    </xf>
    <xf numFmtId="0" fontId="5" fillId="0" borderId="0" xfId="1" applyFont="1" applyFill="1" applyAlignment="1">
      <alignment horizontal="center"/>
    </xf>
    <xf numFmtId="0" fontId="6" fillId="0" borderId="0" xfId="1" applyFont="1" applyFill="1" applyBorder="1" applyAlignment="1">
      <alignment horizontal="center"/>
    </xf>
    <xf numFmtId="1" fontId="5" fillId="0" borderId="16" xfId="1" applyNumberFormat="1" applyFont="1" applyFill="1" applyBorder="1" applyAlignment="1">
      <alignment horizontal="center" vertical="center" wrapText="1"/>
    </xf>
    <xf numFmtId="167" fontId="6" fillId="0" borderId="28" xfId="1" applyNumberFormat="1" applyFont="1" applyFill="1" applyBorder="1" applyAlignment="1" applyProtection="1">
      <alignment horizontal="left" vertical="center" wrapText="1"/>
    </xf>
    <xf numFmtId="167" fontId="6" fillId="0" borderId="29" xfId="1" applyNumberFormat="1" applyFont="1" applyFill="1" applyBorder="1" applyAlignment="1" applyProtection="1">
      <alignment horizontal="left" vertical="center" wrapText="1"/>
    </xf>
    <xf numFmtId="0" fontId="5" fillId="0" borderId="30" xfId="1" applyFont="1" applyFill="1" applyBorder="1" applyAlignment="1"/>
    <xf numFmtId="0" fontId="5" fillId="0" borderId="28" xfId="1" applyFont="1" applyFill="1" applyBorder="1" applyAlignment="1"/>
    <xf numFmtId="0" fontId="5" fillId="0" borderId="29" xfId="1" applyFont="1" applyFill="1" applyBorder="1" applyAlignment="1"/>
    <xf numFmtId="0" fontId="6" fillId="0" borderId="28" xfId="1" applyFont="1" applyFill="1" applyBorder="1" applyAlignment="1">
      <alignment horizontal="left"/>
    </xf>
    <xf numFmtId="0" fontId="15" fillId="0" borderId="30" xfId="1" applyFont="1" applyFill="1" applyBorder="1" applyAlignment="1">
      <alignment horizontal="left"/>
    </xf>
    <xf numFmtId="0" fontId="5" fillId="0" borderId="2" xfId="1" applyFont="1" applyFill="1" applyBorder="1" applyAlignment="1">
      <alignment horizontal="center"/>
    </xf>
    <xf numFmtId="0" fontId="5" fillId="0" borderId="0" xfId="1" applyFont="1" applyFill="1" applyAlignment="1">
      <alignment horizontal="center"/>
    </xf>
    <xf numFmtId="0" fontId="6" fillId="0" borderId="0" xfId="1" applyFont="1" applyFill="1" applyBorder="1" applyAlignment="1">
      <alignment horizontal="center"/>
    </xf>
    <xf numFmtId="1" fontId="5" fillId="0" borderId="16" xfId="1" applyNumberFormat="1" applyFont="1" applyFill="1" applyBorder="1" applyAlignment="1">
      <alignment horizontal="center" vertical="center" wrapText="1"/>
    </xf>
    <xf numFmtId="167" fontId="6" fillId="0" borderId="28" xfId="1" applyNumberFormat="1" applyFont="1" applyFill="1" applyBorder="1" applyAlignment="1" applyProtection="1">
      <alignment horizontal="left" vertical="center" wrapText="1"/>
    </xf>
    <xf numFmtId="167" fontId="6" fillId="0" borderId="29" xfId="1" applyNumberFormat="1" applyFont="1" applyFill="1" applyBorder="1" applyAlignment="1" applyProtection="1">
      <alignment horizontal="left" vertical="center" wrapText="1"/>
    </xf>
    <xf numFmtId="0" fontId="5" fillId="0" borderId="30" xfId="1" applyFont="1" applyFill="1" applyBorder="1" applyAlignment="1"/>
    <xf numFmtId="0" fontId="5" fillId="0" borderId="28" xfId="1" applyFont="1" applyFill="1" applyBorder="1" applyAlignment="1"/>
    <xf numFmtId="0" fontId="5" fillId="0" borderId="29" xfId="1" applyFont="1" applyFill="1" applyBorder="1" applyAlignment="1"/>
    <xf numFmtId="0" fontId="6" fillId="0" borderId="28" xfId="1" applyFont="1" applyFill="1" applyBorder="1" applyAlignment="1">
      <alignment horizontal="left"/>
    </xf>
    <xf numFmtId="0" fontId="15" fillId="0" borderId="30" xfId="1" applyFont="1" applyFill="1" applyBorder="1" applyAlignment="1">
      <alignment horizontal="left"/>
    </xf>
    <xf numFmtId="0" fontId="5" fillId="0" borderId="2" xfId="1" applyFont="1" applyFill="1" applyBorder="1" applyAlignment="1">
      <alignment horizontal="center"/>
    </xf>
    <xf numFmtId="0" fontId="5" fillId="0" borderId="0" xfId="1" applyFont="1" applyFill="1" applyAlignment="1">
      <alignment horizontal="center"/>
    </xf>
    <xf numFmtId="0" fontId="5" fillId="0" borderId="0" xfId="1" applyFont="1" applyFill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6" fillId="0" borderId="0" xfId="1" applyFont="1" applyFill="1" applyBorder="1" applyAlignment="1">
      <alignment horizontal="center"/>
    </xf>
    <xf numFmtId="1" fontId="5" fillId="0" borderId="16" xfId="1" applyNumberFormat="1" applyFont="1" applyFill="1" applyBorder="1" applyAlignment="1">
      <alignment horizontal="center" vertical="center" wrapText="1"/>
    </xf>
    <xf numFmtId="167" fontId="6" fillId="0" borderId="28" xfId="1" applyNumberFormat="1" applyFont="1" applyFill="1" applyBorder="1" applyAlignment="1" applyProtection="1">
      <alignment horizontal="left" vertical="center" wrapText="1"/>
    </xf>
    <xf numFmtId="167" fontId="6" fillId="0" borderId="29" xfId="1" applyNumberFormat="1" applyFont="1" applyFill="1" applyBorder="1" applyAlignment="1" applyProtection="1">
      <alignment horizontal="left" vertical="center" wrapText="1"/>
    </xf>
    <xf numFmtId="0" fontId="5" fillId="0" borderId="30" xfId="1" applyFont="1" applyFill="1" applyBorder="1" applyAlignment="1"/>
    <xf numFmtId="0" fontId="5" fillId="0" borderId="28" xfId="1" applyFont="1" applyFill="1" applyBorder="1" applyAlignment="1"/>
    <xf numFmtId="0" fontId="5" fillId="0" borderId="29" xfId="1" applyFont="1" applyFill="1" applyBorder="1" applyAlignment="1"/>
    <xf numFmtId="0" fontId="6" fillId="0" borderId="28" xfId="1" applyFont="1" applyFill="1" applyBorder="1" applyAlignment="1">
      <alignment horizontal="left"/>
    </xf>
    <xf numFmtId="0" fontId="15" fillId="0" borderId="30" xfId="1" applyFont="1" applyFill="1" applyBorder="1" applyAlignment="1">
      <alignment horizontal="left"/>
    </xf>
    <xf numFmtId="0" fontId="6" fillId="0" borderId="0" xfId="1" applyFont="1" applyFill="1" applyBorder="1" applyAlignment="1">
      <alignment horizontal="center"/>
    </xf>
    <xf numFmtId="1" fontId="5" fillId="0" borderId="16" xfId="1" applyNumberFormat="1" applyFont="1" applyFill="1" applyBorder="1" applyAlignment="1">
      <alignment horizontal="center" vertical="center" wrapText="1"/>
    </xf>
    <xf numFmtId="167" fontId="6" fillId="0" borderId="28" xfId="1" applyNumberFormat="1" applyFont="1" applyFill="1" applyBorder="1" applyAlignment="1" applyProtection="1">
      <alignment horizontal="left" vertical="center" wrapText="1"/>
    </xf>
    <xf numFmtId="167" fontId="6" fillId="0" borderId="29" xfId="1" applyNumberFormat="1" applyFont="1" applyFill="1" applyBorder="1" applyAlignment="1" applyProtection="1">
      <alignment horizontal="left" vertical="center" wrapText="1"/>
    </xf>
    <xf numFmtId="0" fontId="5" fillId="0" borderId="30" xfId="1" applyFont="1" applyFill="1" applyBorder="1" applyAlignment="1"/>
    <xf numFmtId="0" fontId="5" fillId="0" borderId="28" xfId="1" applyFont="1" applyFill="1" applyBorder="1" applyAlignment="1"/>
    <xf numFmtId="0" fontId="5" fillId="0" borderId="29" xfId="1" applyFont="1" applyFill="1" applyBorder="1" applyAlignment="1"/>
    <xf numFmtId="0" fontId="6" fillId="0" borderId="28" xfId="1" applyFont="1" applyFill="1" applyBorder="1" applyAlignment="1">
      <alignment horizontal="left"/>
    </xf>
    <xf numFmtId="0" fontId="15" fillId="0" borderId="30" xfId="1" applyFont="1" applyFill="1" applyBorder="1" applyAlignment="1">
      <alignment horizontal="left"/>
    </xf>
    <xf numFmtId="0" fontId="5" fillId="0" borderId="2" xfId="1" applyFont="1" applyFill="1" applyBorder="1" applyAlignment="1">
      <alignment horizontal="center"/>
    </xf>
    <xf numFmtId="0" fontId="5" fillId="0" borderId="0" xfId="1" applyFont="1" applyFill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6" fillId="0" borderId="0" xfId="1" applyFont="1" applyFill="1" applyBorder="1" applyAlignment="1">
      <alignment horizontal="center"/>
    </xf>
    <xf numFmtId="1" fontId="5" fillId="0" borderId="16" xfId="1" applyNumberFormat="1" applyFont="1" applyFill="1" applyBorder="1" applyAlignment="1">
      <alignment horizontal="center" vertical="center" wrapText="1"/>
    </xf>
    <xf numFmtId="1" fontId="5" fillId="0" borderId="17" xfId="1" applyNumberFormat="1" applyFont="1" applyFill="1" applyBorder="1" applyAlignment="1">
      <alignment horizontal="center" vertical="center" wrapText="1"/>
    </xf>
    <xf numFmtId="1" fontId="5" fillId="0" borderId="18" xfId="1" applyNumberFormat="1" applyFont="1" applyFill="1" applyBorder="1" applyAlignment="1">
      <alignment horizontal="center" vertical="center" wrapText="1"/>
    </xf>
    <xf numFmtId="167" fontId="6" fillId="0" borderId="28" xfId="1" applyNumberFormat="1" applyFont="1" applyFill="1" applyBorder="1" applyAlignment="1" applyProtection="1">
      <alignment horizontal="left" vertical="center" wrapText="1"/>
    </xf>
    <xf numFmtId="167" fontId="6" fillId="0" borderId="29" xfId="1" applyNumberFormat="1" applyFont="1" applyFill="1" applyBorder="1" applyAlignment="1" applyProtection="1">
      <alignment horizontal="left" vertical="center" wrapText="1"/>
    </xf>
    <xf numFmtId="0" fontId="5" fillId="0" borderId="30" xfId="1" applyFont="1" applyFill="1" applyBorder="1" applyAlignment="1"/>
    <xf numFmtId="0" fontId="5" fillId="0" borderId="28" xfId="1" applyFont="1" applyFill="1" applyBorder="1" applyAlignment="1"/>
    <xf numFmtId="0" fontId="5" fillId="0" borderId="29" xfId="1" applyFont="1" applyFill="1" applyBorder="1" applyAlignment="1"/>
    <xf numFmtId="0" fontId="6" fillId="0" borderId="28" xfId="1" applyFont="1" applyFill="1" applyBorder="1" applyAlignment="1">
      <alignment horizontal="left"/>
    </xf>
    <xf numFmtId="0" fontId="6" fillId="0" borderId="29" xfId="1" applyFont="1" applyFill="1" applyBorder="1" applyAlignment="1">
      <alignment horizontal="left"/>
    </xf>
    <xf numFmtId="0" fontId="15" fillId="0" borderId="30" xfId="1" applyFont="1" applyFill="1" applyBorder="1" applyAlignment="1">
      <alignment horizontal="left"/>
    </xf>
    <xf numFmtId="0" fontId="15" fillId="0" borderId="28" xfId="1" quotePrefix="1" applyFont="1" applyFill="1" applyBorder="1" applyAlignment="1">
      <alignment horizontal="left"/>
    </xf>
    <xf numFmtId="0" fontId="15" fillId="0" borderId="29" xfId="1" quotePrefix="1" applyFont="1" applyFill="1" applyBorder="1" applyAlignment="1">
      <alignment horizontal="left"/>
    </xf>
    <xf numFmtId="166" fontId="5" fillId="0" borderId="0" xfId="1" applyNumberFormat="1" applyFont="1" applyFill="1" applyBorder="1" applyAlignment="1">
      <alignment horizontal="center"/>
    </xf>
    <xf numFmtId="0" fontId="17" fillId="0" borderId="0" xfId="1" applyFont="1" applyFill="1" applyBorder="1" applyAlignment="1">
      <alignment horizontal="center"/>
    </xf>
    <xf numFmtId="0" fontId="5" fillId="0" borderId="8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8" fillId="0" borderId="8" xfId="1" applyFont="1" applyFill="1" applyBorder="1" applyAlignment="1">
      <alignment horizontal="center"/>
    </xf>
    <xf numFmtId="0" fontId="8" fillId="0" borderId="2" xfId="1" applyFont="1" applyFill="1" applyBorder="1" applyAlignment="1">
      <alignment horizontal="center"/>
    </xf>
    <xf numFmtId="0" fontId="5" fillId="0" borderId="5" xfId="2" applyFont="1" applyFill="1" applyBorder="1" applyAlignment="1">
      <alignment horizontal="center" vertical="center" wrapText="1"/>
    </xf>
    <xf numFmtId="0" fontId="5" fillId="0" borderId="0" xfId="2" applyFont="1" applyFill="1" applyBorder="1" applyAlignment="1">
      <alignment horizontal="center" vertical="center" wrapText="1"/>
    </xf>
    <xf numFmtId="0" fontId="5" fillId="0" borderId="13" xfId="2" applyFont="1" applyFill="1" applyBorder="1" applyAlignment="1">
      <alignment horizontal="center" vertical="center" wrapText="1"/>
    </xf>
    <xf numFmtId="166" fontId="5" fillId="0" borderId="3" xfId="2" applyNumberFormat="1" applyFont="1" applyFill="1" applyBorder="1" applyAlignment="1">
      <alignment horizontal="center" vertical="center" wrapText="1"/>
    </xf>
    <xf numFmtId="166" fontId="5" fillId="0" borderId="7" xfId="2" applyNumberFormat="1" applyFont="1" applyFill="1" applyBorder="1" applyAlignment="1">
      <alignment horizontal="center" vertical="center" wrapText="1"/>
    </xf>
    <xf numFmtId="166" fontId="5" fillId="0" borderId="12" xfId="2" applyNumberFormat="1" applyFont="1" applyFill="1" applyBorder="1" applyAlignment="1">
      <alignment horizontal="center" vertical="center" wrapText="1"/>
    </xf>
    <xf numFmtId="166" fontId="9" fillId="0" borderId="3" xfId="2" applyNumberFormat="1" applyFont="1" applyFill="1" applyBorder="1" applyAlignment="1">
      <alignment horizontal="center" vertical="center" wrapText="1"/>
    </xf>
    <xf numFmtId="166" fontId="9" fillId="0" borderId="7" xfId="2" applyNumberFormat="1" applyFont="1" applyFill="1" applyBorder="1" applyAlignment="1">
      <alignment horizontal="center" vertical="center" wrapText="1"/>
    </xf>
    <xf numFmtId="166" fontId="9" fillId="0" borderId="12" xfId="2" applyNumberFormat="1" applyFont="1" applyFill="1" applyBorder="1" applyAlignment="1">
      <alignment horizontal="center" vertical="center" wrapText="1"/>
    </xf>
    <xf numFmtId="4" fontId="5" fillId="0" borderId="7" xfId="1" applyNumberFormat="1" applyFont="1" applyFill="1" applyBorder="1" applyAlignment="1">
      <alignment horizontal="center" vertical="center"/>
    </xf>
    <xf numFmtId="4" fontId="5" fillId="0" borderId="12" xfId="1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horizontal="center"/>
    </xf>
    <xf numFmtId="17" fontId="5" fillId="0" borderId="0" xfId="1" applyNumberFormat="1" applyFont="1" applyFill="1" applyAlignment="1">
      <alignment horizontal="center"/>
    </xf>
    <xf numFmtId="164" fontId="5" fillId="0" borderId="0" xfId="1" quotePrefix="1" applyNumberFormat="1" applyFont="1" applyFill="1" applyAlignment="1">
      <alignment horizontal="center"/>
    </xf>
    <xf numFmtId="0" fontId="5" fillId="0" borderId="4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5" fillId="0" borderId="4" xfId="1" applyFont="1" applyFill="1" applyBorder="1" applyAlignment="1">
      <alignment horizontal="center"/>
    </xf>
    <xf numFmtId="0" fontId="5" fillId="0" borderId="5" xfId="1" applyFont="1" applyFill="1" applyBorder="1" applyAlignment="1">
      <alignment horizontal="center"/>
    </xf>
    <xf numFmtId="0" fontId="8" fillId="0" borderId="4" xfId="1" applyFont="1" applyFill="1" applyBorder="1" applyAlignment="1">
      <alignment horizontal="center"/>
    </xf>
    <xf numFmtId="0" fontId="8" fillId="0" borderId="5" xfId="1" applyFont="1" applyFill="1" applyBorder="1" applyAlignment="1">
      <alignment horizontal="center"/>
    </xf>
    <xf numFmtId="0" fontId="6" fillId="0" borderId="6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5" fillId="0" borderId="3" xfId="1" applyFont="1" applyFill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5" fillId="0" borderId="7" xfId="2" applyFont="1" applyFill="1" applyBorder="1" applyAlignment="1">
      <alignment horizontal="center" vertical="center" wrapText="1"/>
    </xf>
    <xf numFmtId="0" fontId="5" fillId="0" borderId="12" xfId="2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5" fillId="0" borderId="13" xfId="1" applyFont="1" applyFill="1" applyBorder="1" applyAlignment="1">
      <alignment horizontal="center" vertical="center" wrapText="1"/>
    </xf>
    <xf numFmtId="0" fontId="5" fillId="0" borderId="9" xfId="1" applyFont="1" applyFill="1" applyBorder="1" applyAlignment="1">
      <alignment horizontal="center"/>
    </xf>
    <xf numFmtId="0" fontId="5" fillId="0" borderId="10" xfId="1" applyFont="1" applyFill="1" applyBorder="1" applyAlignment="1">
      <alignment horizontal="center" vertical="center" wrapText="1"/>
    </xf>
    <xf numFmtId="0" fontId="5" fillId="0" borderId="14" xfId="1" applyFont="1" applyFill="1" applyBorder="1" applyAlignment="1">
      <alignment horizontal="center" vertical="center" wrapText="1"/>
    </xf>
    <xf numFmtId="166" fontId="5" fillId="0" borderId="7" xfId="1" applyNumberFormat="1" applyFont="1" applyFill="1" applyBorder="1" applyAlignment="1">
      <alignment horizontal="center" vertical="center" wrapText="1"/>
    </xf>
    <xf numFmtId="166" fontId="5" fillId="0" borderId="12" xfId="1" applyNumberFormat="1" applyFont="1" applyFill="1" applyBorder="1" applyAlignment="1">
      <alignment horizontal="center" vertical="center" wrapText="1"/>
    </xf>
    <xf numFmtId="166" fontId="9" fillId="0" borderId="10" xfId="1" applyNumberFormat="1" applyFont="1" applyFill="1" applyBorder="1" applyAlignment="1">
      <alignment horizontal="center" vertical="center" wrapText="1"/>
    </xf>
    <xf numFmtId="166" fontId="9" fillId="0" borderId="14" xfId="1" applyNumberFormat="1" applyFont="1" applyFill="1" applyBorder="1" applyAlignment="1">
      <alignment horizontal="center" vertical="center" wrapText="1"/>
    </xf>
    <xf numFmtId="0" fontId="21" fillId="0" borderId="0" xfId="1" applyFont="1" applyFill="1" applyAlignment="1">
      <alignment horizontal="center"/>
    </xf>
    <xf numFmtId="0" fontId="22" fillId="0" borderId="0" xfId="1" applyFont="1" applyFill="1" applyBorder="1"/>
    <xf numFmtId="0" fontId="21" fillId="0" borderId="0" xfId="1" applyFont="1" applyFill="1" applyAlignment="1">
      <alignment horizontal="center"/>
    </xf>
    <xf numFmtId="0" fontId="22" fillId="0" borderId="0" xfId="1" applyFont="1" applyFill="1" applyBorder="1" applyAlignment="1"/>
    <xf numFmtId="165" fontId="21" fillId="0" borderId="0" xfId="1" quotePrefix="1" applyNumberFormat="1" applyFont="1" applyFill="1" applyAlignment="1"/>
    <xf numFmtId="0" fontId="21" fillId="0" borderId="2" xfId="1" applyFont="1" applyFill="1" applyBorder="1" applyAlignment="1">
      <alignment horizontal="center"/>
    </xf>
    <xf numFmtId="0" fontId="22" fillId="0" borderId="2" xfId="1" applyFont="1" applyFill="1" applyBorder="1"/>
    <xf numFmtId="0" fontId="23" fillId="0" borderId="0" xfId="1" applyFont="1" applyFill="1" applyAlignment="1">
      <alignment horizontal="center"/>
    </xf>
    <xf numFmtId="17" fontId="23" fillId="0" borderId="0" xfId="1" applyNumberFormat="1" applyFont="1" applyFill="1" applyAlignment="1">
      <alignment horizontal="center"/>
    </xf>
    <xf numFmtId="0" fontId="24" fillId="0" borderId="0" xfId="1" applyFont="1" applyFill="1" applyAlignment="1">
      <alignment horizontal="left"/>
    </xf>
    <xf numFmtId="0" fontId="24" fillId="0" borderId="0" xfId="1" applyFont="1" applyFill="1" applyAlignment="1">
      <alignment horizontal="center"/>
    </xf>
    <xf numFmtId="164" fontId="24" fillId="0" borderId="0" xfId="1" quotePrefix="1" applyNumberFormat="1" applyFont="1" applyFill="1" applyAlignment="1">
      <alignment horizontal="center"/>
    </xf>
    <xf numFmtId="165" fontId="24" fillId="0" borderId="0" xfId="1" quotePrefix="1" applyNumberFormat="1" applyFont="1" applyFill="1" applyAlignment="1"/>
    <xf numFmtId="0" fontId="4" fillId="0" borderId="3" xfId="1" applyFont="1" applyFill="1" applyBorder="1" applyAlignment="1">
      <alignment vertical="top"/>
    </xf>
    <xf numFmtId="0" fontId="4" fillId="0" borderId="4" xfId="1" applyFont="1" applyFill="1" applyBorder="1"/>
    <xf numFmtId="0" fontId="4" fillId="0" borderId="5" xfId="1" applyFont="1" applyFill="1" applyBorder="1"/>
    <xf numFmtId="0" fontId="4" fillId="0" borderId="6" xfId="1" applyFont="1" applyFill="1" applyBorder="1"/>
    <xf numFmtId="0" fontId="24" fillId="0" borderId="5" xfId="2" applyFont="1" applyFill="1" applyBorder="1" applyAlignment="1">
      <alignment horizontal="center" vertical="center" wrapText="1"/>
    </xf>
    <xf numFmtId="166" fontId="24" fillId="0" borderId="5" xfId="2" applyNumberFormat="1" applyFont="1" applyFill="1" applyBorder="1" applyAlignment="1">
      <alignment horizontal="center" vertical="center" wrapText="1"/>
    </xf>
    <xf numFmtId="166" fontId="25" fillId="0" borderId="6" xfId="2" applyNumberFormat="1" applyFont="1" applyFill="1" applyBorder="1" applyAlignment="1">
      <alignment horizontal="center" vertical="center" wrapText="1"/>
    </xf>
    <xf numFmtId="0" fontId="4" fillId="0" borderId="3" xfId="1" applyFont="1" applyFill="1" applyBorder="1"/>
    <xf numFmtId="4" fontId="4" fillId="0" borderId="3" xfId="1" applyNumberFormat="1" applyFont="1" applyFill="1" applyBorder="1"/>
    <xf numFmtId="0" fontId="24" fillId="0" borderId="4" xfId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24" fillId="0" borderId="4" xfId="1" applyFont="1" applyFill="1" applyBorder="1" applyAlignment="1">
      <alignment horizontal="center"/>
    </xf>
    <xf numFmtId="0" fontId="24" fillId="0" borderId="5" xfId="1" applyFont="1" applyFill="1" applyBorder="1" applyAlignment="1">
      <alignment horizontal="center"/>
    </xf>
    <xf numFmtId="0" fontId="4" fillId="0" borderId="6" xfId="1" applyFont="1" applyBorder="1" applyAlignment="1">
      <alignment horizontal="center" vertical="center"/>
    </xf>
    <xf numFmtId="0" fontId="24" fillId="0" borderId="3" xfId="1" applyFont="1" applyFill="1" applyBorder="1" applyAlignment="1">
      <alignment horizontal="center" vertical="center"/>
    </xf>
    <xf numFmtId="0" fontId="26" fillId="0" borderId="0" xfId="0" applyFont="1"/>
    <xf numFmtId="0" fontId="24" fillId="0" borderId="7" xfId="2" applyFont="1" applyFill="1" applyBorder="1" applyAlignment="1">
      <alignment horizontal="center" vertical="center" wrapText="1"/>
    </xf>
    <xf numFmtId="0" fontId="24" fillId="0" borderId="0" xfId="1" applyFont="1" applyFill="1" applyBorder="1" applyAlignment="1">
      <alignment horizontal="center" vertical="center" wrapText="1"/>
    </xf>
    <xf numFmtId="0" fontId="24" fillId="0" borderId="0" xfId="2" applyFont="1" applyFill="1" applyBorder="1" applyAlignment="1">
      <alignment horizontal="center" vertical="center" wrapText="1"/>
    </xf>
    <xf numFmtId="166" fontId="24" fillId="0" borderId="0" xfId="2" applyNumberFormat="1" applyFont="1" applyFill="1" applyBorder="1" applyAlignment="1">
      <alignment horizontal="center" vertical="center" wrapText="1"/>
    </xf>
    <xf numFmtId="166" fontId="25" fillId="0" borderId="11" xfId="2" applyNumberFormat="1" applyFont="1" applyFill="1" applyBorder="1" applyAlignment="1">
      <alignment horizontal="center" vertical="center" wrapText="1"/>
    </xf>
    <xf numFmtId="0" fontId="24" fillId="0" borderId="10" xfId="1" applyFont="1" applyFill="1" applyBorder="1" applyAlignment="1">
      <alignment horizontal="center" vertical="center" wrapText="1"/>
    </xf>
    <xf numFmtId="166" fontId="24" fillId="0" borderId="7" xfId="1" applyNumberFormat="1" applyFont="1" applyFill="1" applyBorder="1" applyAlignment="1">
      <alignment horizontal="center" vertical="center" wrapText="1"/>
    </xf>
    <xf numFmtId="166" fontId="25" fillId="0" borderId="10" xfId="1" applyNumberFormat="1" applyFont="1" applyFill="1" applyBorder="1" applyAlignment="1">
      <alignment horizontal="center" vertical="center" wrapText="1"/>
    </xf>
    <xf numFmtId="4" fontId="24" fillId="0" borderId="7" xfId="1" applyNumberFormat="1" applyFont="1" applyFill="1" applyBorder="1" applyAlignment="1">
      <alignment horizontal="center" vertical="center"/>
    </xf>
    <xf numFmtId="0" fontId="24" fillId="0" borderId="8" xfId="1" applyFont="1" applyFill="1" applyBorder="1" applyAlignment="1">
      <alignment horizontal="center"/>
    </xf>
    <xf numFmtId="0" fontId="24" fillId="0" borderId="9" xfId="1" applyFont="1" applyFill="1" applyBorder="1" applyAlignment="1">
      <alignment horizontal="center"/>
    </xf>
    <xf numFmtId="0" fontId="24" fillId="0" borderId="11" xfId="1" applyFont="1" applyFill="1" applyBorder="1" applyAlignment="1">
      <alignment horizontal="center"/>
    </xf>
    <xf numFmtId="0" fontId="4" fillId="0" borderId="8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24" fillId="0" borderId="2" xfId="1" applyFont="1" applyFill="1" applyBorder="1" applyAlignment="1">
      <alignment horizontal="center"/>
    </xf>
    <xf numFmtId="0" fontId="4" fillId="0" borderId="9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7" xfId="2" applyFont="1" applyFill="1" applyBorder="1" applyAlignment="1">
      <alignment horizontal="center"/>
    </xf>
    <xf numFmtId="0" fontId="24" fillId="0" borderId="7" xfId="2" applyFont="1" applyFill="1" applyBorder="1" applyAlignment="1">
      <alignment horizontal="center"/>
    </xf>
    <xf numFmtId="0" fontId="24" fillId="0" borderId="12" xfId="2" applyFont="1" applyFill="1" applyBorder="1" applyAlignment="1">
      <alignment horizontal="center" vertical="center" wrapText="1"/>
    </xf>
    <xf numFmtId="0" fontId="24" fillId="0" borderId="13" xfId="1" applyFont="1" applyFill="1" applyBorder="1" applyAlignment="1">
      <alignment horizontal="center" vertical="center" wrapText="1"/>
    </xf>
    <xf numFmtId="0" fontId="24" fillId="0" borderId="13" xfId="2" applyFont="1" applyFill="1" applyBorder="1" applyAlignment="1">
      <alignment horizontal="center" vertical="center" wrapText="1"/>
    </xf>
    <xf numFmtId="166" fontId="24" fillId="0" borderId="13" xfId="2" applyNumberFormat="1" applyFont="1" applyFill="1" applyBorder="1" applyAlignment="1">
      <alignment horizontal="center" vertical="center" wrapText="1"/>
    </xf>
    <xf numFmtId="166" fontId="25" fillId="0" borderId="37" xfId="2" applyNumberFormat="1" applyFont="1" applyFill="1" applyBorder="1" applyAlignment="1">
      <alignment horizontal="center" vertical="center" wrapText="1"/>
    </xf>
    <xf numFmtId="0" fontId="24" fillId="0" borderId="14" xfId="1" applyFont="1" applyFill="1" applyBorder="1" applyAlignment="1">
      <alignment horizontal="center" vertical="center" wrapText="1"/>
    </xf>
    <xf numFmtId="166" fontId="24" fillId="0" borderId="12" xfId="1" applyNumberFormat="1" applyFont="1" applyFill="1" applyBorder="1" applyAlignment="1">
      <alignment horizontal="center" vertical="center" wrapText="1"/>
    </xf>
    <xf numFmtId="166" fontId="25" fillId="0" borderId="14" xfId="1" applyNumberFormat="1" applyFont="1" applyFill="1" applyBorder="1" applyAlignment="1">
      <alignment horizontal="center" vertical="center" wrapText="1"/>
    </xf>
    <xf numFmtId="4" fontId="24" fillId="0" borderId="12" xfId="1" applyNumberFormat="1" applyFont="1" applyFill="1" applyBorder="1" applyAlignment="1">
      <alignment horizontal="center" vertical="center"/>
    </xf>
    <xf numFmtId="0" fontId="4" fillId="0" borderId="12" xfId="2" applyFont="1" applyFill="1" applyBorder="1" applyAlignment="1">
      <alignment horizontal="center"/>
    </xf>
    <xf numFmtId="0" fontId="24" fillId="0" borderId="12" xfId="2" applyFont="1" applyFill="1" applyBorder="1" applyAlignment="1">
      <alignment horizontal="center"/>
    </xf>
    <xf numFmtId="0" fontId="4" fillId="0" borderId="12" xfId="1" applyFont="1" applyBorder="1" applyAlignment="1">
      <alignment horizontal="center" vertical="center"/>
    </xf>
    <xf numFmtId="1" fontId="24" fillId="0" borderId="15" xfId="1" applyNumberFormat="1" applyFont="1" applyFill="1" applyBorder="1" applyAlignment="1">
      <alignment horizontal="center" vertical="top" wrapText="1"/>
    </xf>
    <xf numFmtId="1" fontId="24" fillId="0" borderId="16" xfId="1" applyNumberFormat="1" applyFont="1" applyFill="1" applyBorder="1" applyAlignment="1">
      <alignment horizontal="center" vertical="center" wrapText="1"/>
    </xf>
    <xf numFmtId="1" fontId="24" fillId="0" borderId="17" xfId="1" applyNumberFormat="1" applyFont="1" applyFill="1" applyBorder="1" applyAlignment="1">
      <alignment horizontal="center" vertical="center" wrapText="1"/>
    </xf>
    <xf numFmtId="1" fontId="24" fillId="0" borderId="18" xfId="1" applyNumberFormat="1" applyFont="1" applyFill="1" applyBorder="1" applyAlignment="1">
      <alignment horizontal="center" vertical="center" wrapText="1"/>
    </xf>
    <xf numFmtId="1" fontId="24" fillId="0" borderId="16" xfId="1" applyNumberFormat="1" applyFont="1" applyFill="1" applyBorder="1" applyAlignment="1">
      <alignment horizontal="center" vertical="center" wrapText="1"/>
    </xf>
    <xf numFmtId="1" fontId="25" fillId="0" borderId="15" xfId="1" applyNumberFormat="1" applyFont="1" applyFill="1" applyBorder="1" applyAlignment="1">
      <alignment horizontal="center" vertical="center" wrapText="1"/>
    </xf>
    <xf numFmtId="1" fontId="25" fillId="0" borderId="16" xfId="1" applyNumberFormat="1" applyFont="1" applyFill="1" applyBorder="1" applyAlignment="1">
      <alignment horizontal="center" vertical="center" wrapText="1"/>
    </xf>
    <xf numFmtId="1" fontId="24" fillId="0" borderId="8" xfId="1" applyNumberFormat="1" applyFont="1" applyFill="1" applyBorder="1" applyAlignment="1">
      <alignment horizontal="center"/>
    </xf>
    <xf numFmtId="1" fontId="24" fillId="0" borderId="19" xfId="1" applyNumberFormat="1" applyFont="1" applyFill="1" applyBorder="1" applyAlignment="1">
      <alignment horizontal="center"/>
    </xf>
    <xf numFmtId="0" fontId="24" fillId="0" borderId="20" xfId="1" applyFont="1" applyFill="1" applyBorder="1" applyAlignment="1">
      <alignment horizontal="center" vertical="top" wrapText="1"/>
    </xf>
    <xf numFmtId="0" fontId="24" fillId="0" borderId="21" xfId="1" applyFont="1" applyFill="1" applyBorder="1" applyAlignment="1">
      <alignment horizontal="center" vertical="center" wrapText="1"/>
    </xf>
    <xf numFmtId="0" fontId="24" fillId="0" borderId="22" xfId="1" applyFont="1" applyFill="1" applyBorder="1" applyAlignment="1">
      <alignment horizontal="center" vertical="center" wrapText="1"/>
    </xf>
    <xf numFmtId="0" fontId="24" fillId="0" borderId="23" xfId="1" applyFont="1" applyFill="1" applyBorder="1" applyAlignment="1">
      <alignment horizontal="center" vertical="center" wrapText="1"/>
    </xf>
    <xf numFmtId="166" fontId="24" fillId="0" borderId="23" xfId="1" applyNumberFormat="1" applyFont="1" applyFill="1" applyBorder="1" applyAlignment="1">
      <alignment horizontal="center" vertical="center" wrapText="1"/>
    </xf>
    <xf numFmtId="166" fontId="25" fillId="0" borderId="20" xfId="1" applyNumberFormat="1" applyFont="1" applyFill="1" applyBorder="1" applyAlignment="1">
      <alignment horizontal="center" vertical="center" wrapText="1"/>
    </xf>
    <xf numFmtId="0" fontId="4" fillId="0" borderId="24" xfId="1" applyFont="1" applyFill="1" applyBorder="1" applyAlignment="1">
      <alignment horizontal="center" vertical="center" wrapText="1"/>
    </xf>
    <xf numFmtId="0" fontId="4" fillId="0" borderId="25" xfId="1" applyFont="1" applyFill="1" applyBorder="1" applyAlignment="1">
      <alignment horizontal="center" vertical="center" wrapText="1"/>
    </xf>
    <xf numFmtId="166" fontId="4" fillId="0" borderId="26" xfId="1" applyNumberFormat="1" applyFont="1" applyFill="1" applyBorder="1" applyAlignment="1">
      <alignment horizontal="center" vertical="center" wrapText="1"/>
    </xf>
    <xf numFmtId="166" fontId="27" fillId="0" borderId="24" xfId="1" applyNumberFormat="1" applyFont="1" applyFill="1" applyBorder="1" applyAlignment="1">
      <alignment horizontal="center" vertical="center" wrapText="1"/>
    </xf>
    <xf numFmtId="4" fontId="4" fillId="0" borderId="24" xfId="1" applyNumberFormat="1" applyFont="1" applyFill="1" applyBorder="1"/>
    <xf numFmtId="0" fontId="4" fillId="0" borderId="20" xfId="1" applyFont="1" applyFill="1" applyBorder="1"/>
    <xf numFmtId="0" fontId="4" fillId="0" borderId="20" xfId="1" applyFont="1" applyFill="1" applyBorder="1" applyAlignment="1">
      <alignment horizontal="center"/>
    </xf>
    <xf numFmtId="41" fontId="4" fillId="0" borderId="20" xfId="1" applyNumberFormat="1" applyFont="1" applyFill="1" applyBorder="1"/>
    <xf numFmtId="0" fontId="24" fillId="3" borderId="27" xfId="1" applyFont="1" applyFill="1" applyBorder="1" applyAlignment="1">
      <alignment horizontal="left" vertical="center"/>
    </xf>
    <xf numFmtId="0" fontId="24" fillId="3" borderId="28" xfId="1" applyFont="1" applyFill="1" applyBorder="1" applyAlignment="1">
      <alignment vertical="center"/>
    </xf>
    <xf numFmtId="0" fontId="24" fillId="3" borderId="29" xfId="1" applyFont="1" applyFill="1" applyBorder="1" applyAlignment="1">
      <alignment vertical="center"/>
    </xf>
    <xf numFmtId="3" fontId="4" fillId="3" borderId="30" xfId="1" applyNumberFormat="1" applyFont="1" applyFill="1" applyBorder="1"/>
    <xf numFmtId="3" fontId="4" fillId="3" borderId="29" xfId="1" applyNumberFormat="1" applyFont="1" applyFill="1" applyBorder="1"/>
    <xf numFmtId="166" fontId="4" fillId="3" borderId="30" xfId="1" applyNumberFormat="1" applyFont="1" applyFill="1" applyBorder="1"/>
    <xf numFmtId="166" fontId="27" fillId="3" borderId="27" xfId="1" applyNumberFormat="1" applyFont="1" applyFill="1" applyBorder="1" applyAlignment="1">
      <alignment horizontal="center"/>
    </xf>
    <xf numFmtId="166" fontId="24" fillId="3" borderId="28" xfId="1" applyNumberFormat="1" applyFont="1" applyFill="1" applyBorder="1" applyAlignment="1">
      <alignment horizontal="right" vertical="center"/>
    </xf>
    <xf numFmtId="0" fontId="24" fillId="3" borderId="27" xfId="1" applyFont="1" applyFill="1" applyBorder="1" applyAlignment="1">
      <alignment horizontal="right" vertical="center"/>
    </xf>
    <xf numFmtId="3" fontId="24" fillId="3" borderId="30" xfId="1" applyNumberFormat="1" applyFont="1" applyFill="1" applyBorder="1" applyAlignment="1">
      <alignment vertical="center"/>
    </xf>
    <xf numFmtId="4" fontId="4" fillId="3" borderId="30" xfId="1" applyNumberFormat="1" applyFont="1" applyFill="1" applyBorder="1"/>
    <xf numFmtId="0" fontId="4" fillId="3" borderId="27" xfId="1" applyFont="1" applyFill="1" applyBorder="1"/>
    <xf numFmtId="0" fontId="4" fillId="3" borderId="27" xfId="1" applyFont="1" applyFill="1" applyBorder="1" applyAlignment="1">
      <alignment horizontal="center"/>
    </xf>
    <xf numFmtId="41" fontId="4" fillId="3" borderId="27" xfId="1" applyNumberFormat="1" applyFont="1" applyFill="1" applyBorder="1"/>
    <xf numFmtId="0" fontId="24" fillId="4" borderId="27" xfId="1" applyFont="1" applyFill="1" applyBorder="1" applyAlignment="1">
      <alignment horizontal="left" vertical="center"/>
    </xf>
    <xf numFmtId="0" fontId="24" fillId="4" borderId="28" xfId="1" applyFont="1" applyFill="1" applyBorder="1" applyAlignment="1">
      <alignment vertical="center"/>
    </xf>
    <xf numFmtId="0" fontId="24" fillId="4" borderId="29" xfId="1" applyFont="1" applyFill="1" applyBorder="1" applyAlignment="1">
      <alignment vertical="center"/>
    </xf>
    <xf numFmtId="3" fontId="4" fillId="4" borderId="30" xfId="1" applyNumberFormat="1" applyFont="1" applyFill="1" applyBorder="1"/>
    <xf numFmtId="3" fontId="4" fillId="4" borderId="29" xfId="1" applyNumberFormat="1" applyFont="1" applyFill="1" applyBorder="1"/>
    <xf numFmtId="166" fontId="4" fillId="4" borderId="30" xfId="1" applyNumberFormat="1" applyFont="1" applyFill="1" applyBorder="1"/>
    <xf numFmtId="166" fontId="27" fillId="4" borderId="27" xfId="1" applyNumberFormat="1" applyFont="1" applyFill="1" applyBorder="1" applyAlignment="1">
      <alignment horizontal="center"/>
    </xf>
    <xf numFmtId="166" fontId="24" fillId="4" borderId="28" xfId="1" applyNumberFormat="1" applyFont="1" applyFill="1" applyBorder="1" applyAlignment="1">
      <alignment horizontal="right" vertical="center"/>
    </xf>
    <xf numFmtId="0" fontId="24" fillId="4" borderId="27" xfId="1" applyFont="1" applyFill="1" applyBorder="1" applyAlignment="1">
      <alignment horizontal="right" vertical="center"/>
    </xf>
    <xf numFmtId="3" fontId="24" fillId="4" borderId="30" xfId="1" applyNumberFormat="1" applyFont="1" applyFill="1" applyBorder="1" applyAlignment="1">
      <alignment vertical="center"/>
    </xf>
    <xf numFmtId="4" fontId="4" fillId="4" borderId="30" xfId="1" applyNumberFormat="1" applyFont="1" applyFill="1" applyBorder="1"/>
    <xf numFmtId="0" fontId="4" fillId="4" borderId="27" xfId="1" applyFont="1" applyFill="1" applyBorder="1"/>
    <xf numFmtId="0" fontId="4" fillId="4" borderId="27" xfId="1" applyFont="1" applyFill="1" applyBorder="1" applyAlignment="1">
      <alignment horizontal="center"/>
    </xf>
    <xf numFmtId="41" fontId="4" fillId="4" borderId="27" xfId="1" applyNumberFormat="1" applyFont="1" applyFill="1" applyBorder="1"/>
    <xf numFmtId="0" fontId="24" fillId="3" borderId="27" xfId="1" quotePrefix="1" applyFont="1" applyFill="1" applyBorder="1" applyAlignment="1">
      <alignment horizontal="right" vertical="center"/>
    </xf>
    <xf numFmtId="3" fontId="24" fillId="4" borderId="27" xfId="1" quotePrefix="1" applyNumberFormat="1" applyFont="1" applyFill="1" applyBorder="1" applyAlignment="1">
      <alignment horizontal="right" vertical="center"/>
    </xf>
    <xf numFmtId="0" fontId="24" fillId="4" borderId="27" xfId="1" quotePrefix="1" applyFont="1" applyFill="1" applyBorder="1" applyAlignment="1">
      <alignment horizontal="right" vertical="center"/>
    </xf>
    <xf numFmtId="0" fontId="28" fillId="4" borderId="27" xfId="1" applyFont="1" applyFill="1" applyBorder="1" applyAlignment="1">
      <alignment vertical="center"/>
    </xf>
    <xf numFmtId="0" fontId="28" fillId="4" borderId="28" xfId="1" applyFont="1" applyFill="1" applyBorder="1" applyAlignment="1">
      <alignment vertical="center"/>
    </xf>
    <xf numFmtId="0" fontId="4" fillId="4" borderId="28" xfId="1" applyFont="1" applyFill="1" applyBorder="1" applyAlignment="1">
      <alignment vertical="center"/>
    </xf>
    <xf numFmtId="0" fontId="4" fillId="4" borderId="29" xfId="1" applyFont="1" applyFill="1" applyBorder="1" applyAlignment="1">
      <alignment vertical="center"/>
    </xf>
    <xf numFmtId="0" fontId="4" fillId="4" borderId="27" xfId="1" applyFont="1" applyFill="1" applyBorder="1" applyAlignment="1">
      <alignment vertical="center"/>
    </xf>
    <xf numFmtId="0" fontId="4" fillId="4" borderId="28" xfId="1" quotePrefix="1" applyFont="1" applyFill="1" applyBorder="1" applyAlignment="1">
      <alignment vertical="center"/>
    </xf>
    <xf numFmtId="166" fontId="4" fillId="4" borderId="28" xfId="1" applyNumberFormat="1" applyFont="1" applyFill="1" applyBorder="1" applyAlignment="1">
      <alignment horizontal="right" vertical="center"/>
    </xf>
    <xf numFmtId="0" fontId="4" fillId="4" borderId="27" xfId="1" applyFont="1" applyFill="1" applyBorder="1" applyAlignment="1">
      <alignment horizontal="right" vertical="center"/>
    </xf>
    <xf numFmtId="3" fontId="4" fillId="4" borderId="30" xfId="1" applyNumberFormat="1" applyFont="1" applyFill="1" applyBorder="1" applyAlignment="1">
      <alignment vertical="center"/>
    </xf>
    <xf numFmtId="4" fontId="4" fillId="4" borderId="27" xfId="1" applyNumberFormat="1" applyFont="1" applyFill="1" applyBorder="1"/>
    <xf numFmtId="4" fontId="29" fillId="4" borderId="27" xfId="1" applyNumberFormat="1" applyFont="1" applyFill="1" applyBorder="1"/>
    <xf numFmtId="0" fontId="28" fillId="4" borderId="28" xfId="1" quotePrefix="1" applyFont="1" applyFill="1" applyBorder="1" applyAlignment="1">
      <alignment vertical="center"/>
    </xf>
    <xf numFmtId="3" fontId="24" fillId="5" borderId="27" xfId="1" quotePrefix="1" applyNumberFormat="1" applyFont="1" applyFill="1" applyBorder="1" applyAlignment="1">
      <alignment horizontal="center"/>
    </xf>
    <xf numFmtId="0" fontId="24" fillId="5" borderId="30" xfId="1" applyFont="1" applyFill="1" applyBorder="1"/>
    <xf numFmtId="0" fontId="24" fillId="5" borderId="28" xfId="1" applyFont="1" applyFill="1" applyBorder="1"/>
    <xf numFmtId="3" fontId="4" fillId="5" borderId="30" xfId="1" applyNumberFormat="1" applyFont="1" applyFill="1" applyBorder="1"/>
    <xf numFmtId="3" fontId="4" fillId="5" borderId="29" xfId="1" applyNumberFormat="1" applyFont="1" applyFill="1" applyBorder="1"/>
    <xf numFmtId="166" fontId="4" fillId="5" borderId="30" xfId="1" applyNumberFormat="1" applyFont="1" applyFill="1" applyBorder="1"/>
    <xf numFmtId="166" fontId="27" fillId="5" borderId="27" xfId="1" applyNumberFormat="1" applyFont="1" applyFill="1" applyBorder="1" applyAlignment="1">
      <alignment horizontal="center"/>
    </xf>
    <xf numFmtId="166" fontId="24" fillId="5" borderId="30" xfId="1" applyNumberFormat="1" applyFont="1" applyFill="1" applyBorder="1" applyAlignment="1">
      <alignment horizontal="right"/>
    </xf>
    <xf numFmtId="0" fontId="24" fillId="5" borderId="27" xfId="1" applyFont="1" applyFill="1" applyBorder="1" applyAlignment="1">
      <alignment horizontal="right"/>
    </xf>
    <xf numFmtId="3" fontId="24" fillId="5" borderId="30" xfId="1" applyNumberFormat="1" applyFont="1" applyFill="1" applyBorder="1"/>
    <xf numFmtId="4" fontId="4" fillId="5" borderId="30" xfId="1" applyNumberFormat="1" applyFont="1" applyFill="1" applyBorder="1"/>
    <xf numFmtId="0" fontId="4" fillId="5" borderId="27" xfId="1" applyFont="1" applyFill="1" applyBorder="1"/>
    <xf numFmtId="0" fontId="4" fillId="5" borderId="27" xfId="1" applyFont="1" applyFill="1" applyBorder="1" applyAlignment="1">
      <alignment horizontal="center"/>
    </xf>
    <xf numFmtId="41" fontId="4" fillId="5" borderId="27" xfId="1" applyNumberFormat="1" applyFont="1" applyFill="1" applyBorder="1"/>
    <xf numFmtId="0" fontId="24" fillId="0" borderId="27" xfId="1" quotePrefix="1" applyFont="1" applyFill="1" applyBorder="1" applyAlignment="1">
      <alignment horizontal="right"/>
    </xf>
    <xf numFmtId="0" fontId="24" fillId="0" borderId="30" xfId="1" applyFont="1" applyFill="1" applyBorder="1"/>
    <xf numFmtId="0" fontId="24" fillId="0" borderId="28" xfId="1" applyFont="1" applyFill="1" applyBorder="1"/>
    <xf numFmtId="0" fontId="4" fillId="0" borderId="28" xfId="1" applyFont="1" applyFill="1" applyBorder="1"/>
    <xf numFmtId="3" fontId="4" fillId="0" borderId="30" xfId="1" applyNumberFormat="1" applyFont="1" applyFill="1" applyBorder="1"/>
    <xf numFmtId="3" fontId="4" fillId="0" borderId="29" xfId="1" applyNumberFormat="1" applyFont="1" applyFill="1" applyBorder="1"/>
    <xf numFmtId="166" fontId="4" fillId="0" borderId="30" xfId="1" applyNumberFormat="1" applyFont="1" applyFill="1" applyBorder="1"/>
    <xf numFmtId="166" fontId="27" fillId="0" borderId="27" xfId="1" applyNumberFormat="1" applyFont="1" applyFill="1" applyBorder="1" applyAlignment="1">
      <alignment horizontal="center"/>
    </xf>
    <xf numFmtId="0" fontId="4" fillId="0" borderId="30" xfId="1" applyFont="1" applyFill="1" applyBorder="1"/>
    <xf numFmtId="0" fontId="4" fillId="0" borderId="27" xfId="1" applyFont="1" applyFill="1" applyBorder="1"/>
    <xf numFmtId="4" fontId="4" fillId="0" borderId="30" xfId="1" applyNumberFormat="1" applyFont="1" applyFill="1" applyBorder="1"/>
    <xf numFmtId="0" fontId="4" fillId="0" borderId="27" xfId="1" applyFont="1" applyFill="1" applyBorder="1" applyAlignment="1">
      <alignment horizontal="center"/>
    </xf>
    <xf numFmtId="41" fontId="4" fillId="0" borderId="27" xfId="1" applyNumberFormat="1" applyFont="1" applyFill="1" applyBorder="1"/>
    <xf numFmtId="0" fontId="24" fillId="0" borderId="29" xfId="1" applyFont="1" applyFill="1" applyBorder="1"/>
    <xf numFmtId="166" fontId="4" fillId="0" borderId="30" xfId="1" applyNumberFormat="1" applyFont="1" applyFill="1" applyBorder="1" applyAlignment="1">
      <alignment horizontal="right"/>
    </xf>
    <xf numFmtId="0" fontId="4" fillId="0" borderId="27" xfId="1" applyFont="1" applyFill="1" applyBorder="1" applyAlignment="1">
      <alignment horizontal="right"/>
    </xf>
    <xf numFmtId="3" fontId="24" fillId="0" borderId="27" xfId="1" applyNumberFormat="1" applyFont="1" applyFill="1" applyBorder="1"/>
    <xf numFmtId="0" fontId="4" fillId="0" borderId="27" xfId="1" applyFont="1" applyFill="1" applyBorder="1" applyAlignment="1">
      <alignment horizontal="right" vertical="top"/>
    </xf>
    <xf numFmtId="0" fontId="4" fillId="0" borderId="30" xfId="1" applyFont="1" applyFill="1" applyBorder="1" applyAlignment="1">
      <alignment horizontal="center" vertical="center"/>
    </xf>
    <xf numFmtId="167" fontId="4" fillId="0" borderId="28" xfId="1" applyNumberFormat="1" applyFont="1" applyFill="1" applyBorder="1" applyAlignment="1" applyProtection="1">
      <alignment horizontal="center" vertical="center"/>
    </xf>
    <xf numFmtId="167" fontId="4" fillId="0" borderId="28" xfId="1" applyNumberFormat="1" applyFont="1" applyFill="1" applyBorder="1" applyAlignment="1" applyProtection="1">
      <alignment horizontal="left" vertical="center"/>
    </xf>
    <xf numFmtId="0" fontId="4" fillId="0" borderId="28" xfId="1" applyFont="1" applyFill="1" applyBorder="1" applyAlignment="1">
      <alignment vertical="center"/>
    </xf>
    <xf numFmtId="0" fontId="4" fillId="0" borderId="29" xfId="1" applyFont="1" applyFill="1" applyBorder="1" applyAlignment="1">
      <alignment vertical="center"/>
    </xf>
    <xf numFmtId="3" fontId="4" fillId="0" borderId="30" xfId="1" applyNumberFormat="1" applyFont="1" applyFill="1" applyBorder="1" applyAlignment="1">
      <alignment vertical="center"/>
    </xf>
    <xf numFmtId="3" fontId="4" fillId="0" borderId="29" xfId="1" applyNumberFormat="1" applyFont="1" applyFill="1" applyBorder="1" applyAlignment="1">
      <alignment vertical="center"/>
    </xf>
    <xf numFmtId="166" fontId="4" fillId="0" borderId="27" xfId="1" quotePrefix="1" applyNumberFormat="1" applyFont="1" applyFill="1" applyBorder="1" applyAlignment="1">
      <alignment horizontal="right" vertical="center"/>
    </xf>
    <xf numFmtId="3" fontId="4" fillId="4" borderId="29" xfId="1" applyNumberFormat="1" applyFont="1" applyFill="1" applyBorder="1" applyAlignment="1">
      <alignment vertical="center"/>
    </xf>
    <xf numFmtId="166" fontId="4" fillId="4" borderId="27" xfId="1" quotePrefix="1" applyNumberFormat="1" applyFont="1" applyFill="1" applyBorder="1" applyAlignment="1">
      <alignment horizontal="right" vertical="center"/>
    </xf>
    <xf numFmtId="166" fontId="4" fillId="4" borderId="30" xfId="1" quotePrefix="1" applyNumberFormat="1" applyFont="1" applyFill="1" applyBorder="1" applyAlignment="1">
      <alignment horizontal="right" vertical="center"/>
    </xf>
    <xf numFmtId="4" fontId="4" fillId="4" borderId="30" xfId="1" applyNumberFormat="1" applyFont="1" applyFill="1" applyBorder="1" applyAlignment="1">
      <alignment vertical="center"/>
    </xf>
    <xf numFmtId="4" fontId="4" fillId="4" borderId="27" xfId="1" applyNumberFormat="1" applyFont="1" applyFill="1" applyBorder="1" applyAlignment="1">
      <alignment vertical="center"/>
    </xf>
    <xf numFmtId="4" fontId="4" fillId="4" borderId="27" xfId="1" applyNumberFormat="1" applyFont="1" applyFill="1" applyBorder="1" applyAlignment="1">
      <alignment horizontal="center" vertical="center"/>
    </xf>
    <xf numFmtId="41" fontId="4" fillId="4" borderId="27" xfId="1" applyNumberFormat="1" applyFont="1" applyFill="1" applyBorder="1" applyAlignment="1">
      <alignment vertical="center"/>
    </xf>
    <xf numFmtId="4" fontId="29" fillId="4" borderId="27" xfId="1" applyNumberFormat="1" applyFont="1" applyFill="1" applyBorder="1" applyAlignment="1">
      <alignment vertical="center"/>
    </xf>
    <xf numFmtId="0" fontId="4" fillId="0" borderId="27" xfId="1" applyFont="1" applyFill="1" applyBorder="1" applyAlignment="1">
      <alignment vertical="center"/>
    </xf>
    <xf numFmtId="167" fontId="4" fillId="0" borderId="28" xfId="1" applyNumberFormat="1" applyFont="1" applyFill="1" applyBorder="1" applyAlignment="1" applyProtection="1">
      <alignment horizontal="center" vertical="top"/>
    </xf>
    <xf numFmtId="167" fontId="4" fillId="0" borderId="28" xfId="1" applyNumberFormat="1" applyFont="1" applyFill="1" applyBorder="1" applyAlignment="1" applyProtection="1">
      <alignment horizontal="left" vertical="center" wrapText="1"/>
    </xf>
    <xf numFmtId="167" fontId="4" fillId="0" borderId="29" xfId="1" applyNumberFormat="1" applyFont="1" applyFill="1" applyBorder="1" applyAlignment="1" applyProtection="1">
      <alignment horizontal="left" vertical="center" wrapText="1"/>
    </xf>
    <xf numFmtId="0" fontId="28" fillId="0" borderId="27" xfId="1" applyFont="1" applyFill="1" applyBorder="1" applyAlignment="1">
      <alignment horizontal="right" vertical="top"/>
    </xf>
    <xf numFmtId="0" fontId="28" fillId="0" borderId="28" xfId="1" applyFont="1" applyFill="1" applyBorder="1" applyAlignment="1">
      <alignment horizontal="left"/>
    </xf>
    <xf numFmtId="167" fontId="4" fillId="0" borderId="28" xfId="1" applyNumberFormat="1" applyFont="1" applyFill="1" applyBorder="1" applyAlignment="1" applyProtection="1">
      <alignment horizontal="left" vertical="center" wrapText="1"/>
    </xf>
    <xf numFmtId="167" fontId="4" fillId="0" borderId="29" xfId="1" applyNumberFormat="1" applyFont="1" applyFill="1" applyBorder="1" applyAlignment="1" applyProtection="1">
      <alignment horizontal="left" vertical="center" wrapText="1"/>
    </xf>
    <xf numFmtId="166" fontId="4" fillId="0" borderId="30" xfId="1" quotePrefix="1" applyNumberFormat="1" applyFont="1" applyFill="1" applyBorder="1" applyAlignment="1">
      <alignment horizontal="right" vertical="center"/>
    </xf>
    <xf numFmtId="3" fontId="4" fillId="4" borderId="28" xfId="1" applyNumberFormat="1" applyFont="1" applyFill="1" applyBorder="1" applyAlignment="1">
      <alignment vertical="center"/>
    </xf>
    <xf numFmtId="0" fontId="24" fillId="0" borderId="27" xfId="1" applyFont="1" applyFill="1" applyBorder="1" applyAlignment="1">
      <alignment horizontal="right" vertical="center"/>
    </xf>
    <xf numFmtId="0" fontId="24" fillId="0" borderId="28" xfId="1" quotePrefix="1" applyFont="1" applyFill="1" applyBorder="1" applyAlignment="1">
      <alignment horizontal="center" vertical="center"/>
    </xf>
    <xf numFmtId="0" fontId="24" fillId="0" borderId="28" xfId="1" applyFont="1" applyFill="1" applyBorder="1" applyAlignment="1">
      <alignment vertical="center"/>
    </xf>
    <xf numFmtId="0" fontId="24" fillId="0" borderId="29" xfId="1" applyFont="1" applyFill="1" applyBorder="1" applyAlignment="1">
      <alignment vertical="center"/>
    </xf>
    <xf numFmtId="166" fontId="4" fillId="4" borderId="30" xfId="1" applyNumberFormat="1" applyFont="1" applyFill="1" applyBorder="1" applyAlignment="1">
      <alignment horizontal="right" vertical="center"/>
    </xf>
    <xf numFmtId="3" fontId="4" fillId="4" borderId="27" xfId="1" applyNumberFormat="1" applyFont="1" applyFill="1" applyBorder="1" applyAlignment="1">
      <alignment horizontal="right"/>
    </xf>
    <xf numFmtId="0" fontId="28" fillId="0" borderId="27" xfId="1" applyFont="1" applyFill="1" applyBorder="1" applyAlignment="1">
      <alignment horizontal="right"/>
    </xf>
    <xf numFmtId="0" fontId="28" fillId="0" borderId="30" xfId="1" applyFont="1" applyFill="1" applyBorder="1"/>
    <xf numFmtId="166" fontId="24" fillId="0" borderId="30" xfId="1" applyNumberFormat="1" applyFont="1" applyFill="1" applyBorder="1"/>
    <xf numFmtId="3" fontId="24" fillId="0" borderId="29" xfId="1" applyNumberFormat="1" applyFont="1" applyFill="1" applyBorder="1"/>
    <xf numFmtId="166" fontId="24" fillId="0" borderId="27" xfId="1" applyNumberFormat="1" applyFont="1" applyFill="1" applyBorder="1"/>
    <xf numFmtId="3" fontId="24" fillId="4" borderId="30" xfId="1" applyNumberFormat="1" applyFont="1" applyFill="1" applyBorder="1"/>
    <xf numFmtId="0" fontId="24" fillId="4" borderId="29" xfId="1" applyFont="1" applyFill="1" applyBorder="1"/>
    <xf numFmtId="0" fontId="24" fillId="4" borderId="27" xfId="1" applyFont="1" applyFill="1" applyBorder="1"/>
    <xf numFmtId="4" fontId="24" fillId="4" borderId="27" xfId="1" applyNumberFormat="1" applyFont="1" applyFill="1" applyBorder="1"/>
    <xf numFmtId="4" fontId="24" fillId="4" borderId="27" xfId="1" applyNumberFormat="1" applyFont="1" applyFill="1" applyBorder="1" applyAlignment="1">
      <alignment horizontal="center"/>
    </xf>
    <xf numFmtId="41" fontId="24" fillId="4" borderId="27" xfId="1" applyNumberFormat="1" applyFont="1" applyFill="1" applyBorder="1"/>
    <xf numFmtId="4" fontId="30" fillId="4" borderId="27" xfId="1" applyNumberFormat="1" applyFont="1" applyFill="1" applyBorder="1"/>
    <xf numFmtId="0" fontId="24" fillId="0" borderId="27" xfId="1" applyFont="1" applyFill="1" applyBorder="1"/>
    <xf numFmtId="0" fontId="4" fillId="0" borderId="29" xfId="1" applyFont="1" applyFill="1" applyBorder="1"/>
    <xf numFmtId="0" fontId="4" fillId="9" borderId="27" xfId="1" applyFont="1" applyFill="1" applyBorder="1" applyAlignment="1">
      <alignment horizontal="right"/>
    </xf>
    <xf numFmtId="0" fontId="24" fillId="9" borderId="28" xfId="1" quotePrefix="1" applyFont="1" applyFill="1" applyBorder="1" applyAlignment="1">
      <alignment horizontal="center" vertical="center"/>
    </xf>
    <xf numFmtId="0" fontId="24" fillId="9" borderId="28" xfId="1" applyFont="1" applyFill="1" applyBorder="1"/>
    <xf numFmtId="0" fontId="24" fillId="9" borderId="29" xfId="1" applyFont="1" applyFill="1" applyBorder="1"/>
    <xf numFmtId="166" fontId="24" fillId="9" borderId="30" xfId="1" applyNumberFormat="1" applyFont="1" applyFill="1" applyBorder="1"/>
    <xf numFmtId="3" fontId="24" fillId="9" borderId="29" xfId="1" applyNumberFormat="1" applyFont="1" applyFill="1" applyBorder="1"/>
    <xf numFmtId="166" fontId="24" fillId="9" borderId="27" xfId="1" applyNumberFormat="1" applyFont="1" applyFill="1" applyBorder="1"/>
    <xf numFmtId="166" fontId="24" fillId="9" borderId="30" xfId="1" applyNumberFormat="1" applyFont="1" applyFill="1" applyBorder="1" applyAlignment="1">
      <alignment horizontal="right" vertical="center"/>
    </xf>
    <xf numFmtId="0" fontId="24" fillId="9" borderId="28" xfId="1" applyFont="1" applyFill="1" applyBorder="1" applyAlignment="1">
      <alignment vertical="center"/>
    </xf>
    <xf numFmtId="3" fontId="24" fillId="9" borderId="27" xfId="1" applyNumberFormat="1" applyFont="1" applyFill="1" applyBorder="1" applyAlignment="1">
      <alignment horizontal="right"/>
    </xf>
    <xf numFmtId="3" fontId="24" fillId="9" borderId="30" xfId="1" applyNumberFormat="1" applyFont="1" applyFill="1" applyBorder="1"/>
    <xf numFmtId="4" fontId="24" fillId="9" borderId="30" xfId="1" applyNumberFormat="1" applyFont="1" applyFill="1" applyBorder="1"/>
    <xf numFmtId="4" fontId="24" fillId="9" borderId="27" xfId="1" applyNumberFormat="1" applyFont="1" applyFill="1" applyBorder="1"/>
    <xf numFmtId="0" fontId="24" fillId="9" borderId="27" xfId="1" applyFont="1" applyFill="1" applyBorder="1" applyAlignment="1">
      <alignment horizontal="center"/>
    </xf>
    <xf numFmtId="41" fontId="24" fillId="9" borderId="27" xfId="1" applyNumberFormat="1" applyFont="1" applyFill="1" applyBorder="1"/>
    <xf numFmtId="4" fontId="30" fillId="9" borderId="27" xfId="1" applyNumberFormat="1" applyFont="1" applyFill="1" applyBorder="1"/>
    <xf numFmtId="0" fontId="24" fillId="9" borderId="27" xfId="1" applyFont="1" applyFill="1" applyBorder="1"/>
    <xf numFmtId="166" fontId="4" fillId="4" borderId="30" xfId="1" applyNumberFormat="1" applyFont="1" applyFill="1" applyBorder="1" applyAlignment="1">
      <alignment horizontal="right"/>
    </xf>
    <xf numFmtId="0" fontId="4" fillId="4" borderId="28" xfId="1" applyFont="1" applyFill="1" applyBorder="1"/>
    <xf numFmtId="0" fontId="4" fillId="4" borderId="27" xfId="1" applyFont="1" applyFill="1" applyBorder="1" applyAlignment="1">
      <alignment horizontal="right"/>
    </xf>
    <xf numFmtId="3" fontId="24" fillId="4" borderId="27" xfId="1" applyNumberFormat="1" applyFont="1" applyFill="1" applyBorder="1"/>
    <xf numFmtId="4" fontId="4" fillId="4" borderId="27" xfId="1" applyNumberFormat="1" applyFont="1" applyFill="1" applyBorder="1" applyAlignment="1">
      <alignment horizontal="center"/>
    </xf>
    <xf numFmtId="43" fontId="4" fillId="4" borderId="27" xfId="3" applyFont="1" applyFill="1" applyBorder="1"/>
    <xf numFmtId="0" fontId="28" fillId="0" borderId="27" xfId="1" applyFont="1" applyFill="1" applyBorder="1"/>
    <xf numFmtId="3" fontId="24" fillId="0" borderId="30" xfId="1" applyNumberFormat="1" applyFont="1" applyFill="1" applyBorder="1"/>
    <xf numFmtId="166" fontId="25" fillId="0" borderId="27" xfId="1" applyNumberFormat="1" applyFont="1" applyFill="1" applyBorder="1" applyAlignment="1">
      <alignment horizontal="center"/>
    </xf>
    <xf numFmtId="166" fontId="24" fillId="0" borderId="30" xfId="1" applyNumberFormat="1" applyFont="1" applyFill="1" applyBorder="1" applyAlignment="1">
      <alignment horizontal="right"/>
    </xf>
    <xf numFmtId="0" fontId="24" fillId="0" borderId="27" xfId="1" applyFont="1" applyFill="1" applyBorder="1" applyAlignment="1">
      <alignment horizontal="right"/>
    </xf>
    <xf numFmtId="4" fontId="24" fillId="0" borderId="27" xfId="1" applyNumberFormat="1" applyFont="1" applyFill="1" applyBorder="1"/>
    <xf numFmtId="4" fontId="24" fillId="0" borderId="27" xfId="1" applyNumberFormat="1" applyFont="1" applyFill="1" applyBorder="1" applyAlignment="1">
      <alignment horizontal="center"/>
    </xf>
    <xf numFmtId="41" fontId="24" fillId="0" borderId="27" xfId="1" applyNumberFormat="1" applyFont="1" applyFill="1" applyBorder="1"/>
    <xf numFmtId="43" fontId="24" fillId="0" borderId="27" xfId="3" applyFont="1" applyFill="1" applyBorder="1"/>
    <xf numFmtId="0" fontId="24" fillId="0" borderId="30" xfId="1" applyFont="1" applyFill="1" applyBorder="1" applyAlignment="1">
      <alignment horizontal="center" vertical="center"/>
    </xf>
    <xf numFmtId="166" fontId="4" fillId="0" borderId="30" xfId="1" applyNumberFormat="1" applyFont="1" applyFill="1" applyBorder="1" applyAlignment="1">
      <alignment horizontal="right" vertical="center"/>
    </xf>
    <xf numFmtId="3" fontId="4" fillId="0" borderId="27" xfId="1" applyNumberFormat="1" applyFont="1" applyFill="1" applyBorder="1" applyAlignment="1">
      <alignment horizontal="right" vertical="center"/>
    </xf>
    <xf numFmtId="4" fontId="4" fillId="0" borderId="27" xfId="1" applyNumberFormat="1" applyFont="1" applyFill="1" applyBorder="1"/>
    <xf numFmtId="4" fontId="4" fillId="0" borderId="27" xfId="1" applyNumberFormat="1" applyFont="1" applyFill="1" applyBorder="1" applyAlignment="1">
      <alignment horizontal="center"/>
    </xf>
    <xf numFmtId="43" fontId="4" fillId="0" borderId="27" xfId="3" applyFont="1" applyFill="1" applyBorder="1"/>
    <xf numFmtId="0" fontId="28" fillId="0" borderId="27" xfId="1" quotePrefix="1" applyFont="1" applyFill="1" applyBorder="1" applyAlignment="1">
      <alignment horizontal="right"/>
    </xf>
    <xf numFmtId="41" fontId="4" fillId="0" borderId="27" xfId="4" applyFont="1" applyFill="1" applyBorder="1" applyAlignment="1">
      <alignment horizontal="right"/>
    </xf>
    <xf numFmtId="3" fontId="24" fillId="0" borderId="30" xfId="1" applyNumberFormat="1" applyFont="1" applyFill="1" applyBorder="1" applyAlignment="1">
      <alignment vertical="center"/>
    </xf>
    <xf numFmtId="0" fontId="31" fillId="7" borderId="27" xfId="1" quotePrefix="1" applyFont="1" applyFill="1" applyBorder="1" applyAlignment="1">
      <alignment horizontal="right"/>
    </xf>
    <xf numFmtId="0" fontId="31" fillId="7" borderId="30" xfId="1" applyFont="1" applyFill="1" applyBorder="1" applyAlignment="1">
      <alignment horizontal="left"/>
    </xf>
    <xf numFmtId="0" fontId="31" fillId="7" borderId="28" xfId="1" applyFont="1" applyFill="1" applyBorder="1"/>
    <xf numFmtId="0" fontId="24" fillId="7" borderId="28" xfId="1" applyFont="1" applyFill="1" applyBorder="1"/>
    <xf numFmtId="0" fontId="4" fillId="7" borderId="28" xfId="1" applyFont="1" applyFill="1" applyBorder="1"/>
    <xf numFmtId="0" fontId="4" fillId="7" borderId="29" xfId="1" applyFont="1" applyFill="1" applyBorder="1"/>
    <xf numFmtId="3" fontId="4" fillId="7" borderId="30" xfId="1" applyNumberFormat="1" applyFont="1" applyFill="1" applyBorder="1"/>
    <xf numFmtId="3" fontId="4" fillId="7" borderId="29" xfId="1" applyNumberFormat="1" applyFont="1" applyFill="1" applyBorder="1"/>
    <xf numFmtId="166" fontId="4" fillId="7" borderId="30" xfId="1" applyNumberFormat="1" applyFont="1" applyFill="1" applyBorder="1"/>
    <xf numFmtId="166" fontId="27" fillId="7" borderId="27" xfId="1" applyNumberFormat="1" applyFont="1" applyFill="1" applyBorder="1" applyAlignment="1">
      <alignment horizontal="center"/>
    </xf>
    <xf numFmtId="166" fontId="4" fillId="7" borderId="30" xfId="1" applyNumberFormat="1" applyFont="1" applyFill="1" applyBorder="1" applyAlignment="1">
      <alignment horizontal="right" vertical="center"/>
    </xf>
    <xf numFmtId="3" fontId="4" fillId="7" borderId="27" xfId="1" applyNumberFormat="1" applyFont="1" applyFill="1" applyBorder="1" applyAlignment="1">
      <alignment horizontal="right" vertical="center"/>
    </xf>
    <xf numFmtId="3" fontId="4" fillId="7" borderId="30" xfId="1" applyNumberFormat="1" applyFont="1" applyFill="1" applyBorder="1" applyAlignment="1">
      <alignment vertical="center"/>
    </xf>
    <xf numFmtId="4" fontId="4" fillId="7" borderId="30" xfId="1" applyNumberFormat="1" applyFont="1" applyFill="1" applyBorder="1"/>
    <xf numFmtId="4" fontId="4" fillId="7" borderId="27" xfId="1" applyNumberFormat="1" applyFont="1" applyFill="1" applyBorder="1"/>
    <xf numFmtId="4" fontId="4" fillId="7" borderId="27" xfId="1" quotePrefix="1" applyNumberFormat="1" applyFont="1" applyFill="1" applyBorder="1" applyAlignment="1">
      <alignment horizontal="center"/>
    </xf>
    <xf numFmtId="41" fontId="4" fillId="7" borderId="27" xfId="1" applyNumberFormat="1" applyFont="1" applyFill="1" applyBorder="1"/>
    <xf numFmtId="4" fontId="29" fillId="7" borderId="27" xfId="1" applyNumberFormat="1" applyFont="1" applyFill="1" applyBorder="1"/>
    <xf numFmtId="43" fontId="4" fillId="7" borderId="27" xfId="3" applyFont="1" applyFill="1" applyBorder="1"/>
    <xf numFmtId="0" fontId="4" fillId="7" borderId="27" xfId="1" applyFont="1" applyFill="1" applyBorder="1"/>
    <xf numFmtId="0" fontId="31" fillId="7" borderId="30" xfId="1" quotePrefix="1" applyFont="1" applyFill="1" applyBorder="1" applyAlignment="1">
      <alignment horizontal="center" vertical="center"/>
    </xf>
    <xf numFmtId="0" fontId="4" fillId="7" borderId="27" xfId="1" applyFont="1" applyFill="1" applyBorder="1" applyAlignment="1">
      <alignment horizontal="center"/>
    </xf>
    <xf numFmtId="4" fontId="4" fillId="0" borderId="27" xfId="1" quotePrefix="1" applyNumberFormat="1" applyFont="1" applyFill="1" applyBorder="1" applyAlignment="1">
      <alignment horizontal="center"/>
    </xf>
    <xf numFmtId="4" fontId="29" fillId="0" borderId="27" xfId="1" applyNumberFormat="1" applyFont="1" applyFill="1" applyBorder="1"/>
    <xf numFmtId="0" fontId="24" fillId="4" borderId="27" xfId="1" quotePrefix="1" applyFont="1" applyFill="1" applyBorder="1" applyAlignment="1">
      <alignment horizontal="right"/>
    </xf>
    <xf numFmtId="0" fontId="24" fillId="4" borderId="30" xfId="1" applyFont="1" applyFill="1" applyBorder="1"/>
    <xf numFmtId="0" fontId="24" fillId="4" borderId="28" xfId="1" applyFont="1" applyFill="1" applyBorder="1"/>
    <xf numFmtId="0" fontId="4" fillId="4" borderId="29" xfId="1" applyFont="1" applyFill="1" applyBorder="1"/>
    <xf numFmtId="3" fontId="4" fillId="0" borderId="27" xfId="1" applyNumberFormat="1" applyFont="1" applyFill="1" applyBorder="1"/>
    <xf numFmtId="0" fontId="28" fillId="0" borderId="28" xfId="1" applyFont="1" applyFill="1" applyBorder="1"/>
    <xf numFmtId="0" fontId="31" fillId="6" borderId="27" xfId="1" quotePrefix="1" applyFont="1" applyFill="1" applyBorder="1" applyAlignment="1">
      <alignment horizontal="right"/>
    </xf>
    <xf numFmtId="0" fontId="31" fillId="6" borderId="30" xfId="1" applyFont="1" applyFill="1" applyBorder="1"/>
    <xf numFmtId="0" fontId="31" fillId="6" borderId="28" xfId="1" applyFont="1" applyFill="1" applyBorder="1"/>
    <xf numFmtId="0" fontId="24" fillId="6" borderId="28" xfId="1" applyFont="1" applyFill="1" applyBorder="1"/>
    <xf numFmtId="3" fontId="24" fillId="6" borderId="30" xfId="1" applyNumberFormat="1" applyFont="1" applyFill="1" applyBorder="1"/>
    <xf numFmtId="3" fontId="24" fillId="6" borderId="29" xfId="1" applyNumberFormat="1" applyFont="1" applyFill="1" applyBorder="1"/>
    <xf numFmtId="166" fontId="24" fillId="6" borderId="30" xfId="1" applyNumberFormat="1" applyFont="1" applyFill="1" applyBorder="1"/>
    <xf numFmtId="166" fontId="25" fillId="6" borderId="27" xfId="1" applyNumberFormat="1" applyFont="1" applyFill="1" applyBorder="1" applyAlignment="1">
      <alignment horizontal="center"/>
    </xf>
    <xf numFmtId="166" fontId="24" fillId="6" borderId="30" xfId="1" applyNumberFormat="1" applyFont="1" applyFill="1" applyBorder="1" applyAlignment="1">
      <alignment horizontal="right"/>
    </xf>
    <xf numFmtId="0" fontId="24" fillId="6" borderId="27" xfId="1" applyFont="1" applyFill="1" applyBorder="1" applyAlignment="1">
      <alignment horizontal="right"/>
    </xf>
    <xf numFmtId="4" fontId="24" fillId="6" borderId="30" xfId="1" applyNumberFormat="1" applyFont="1" applyFill="1" applyBorder="1"/>
    <xf numFmtId="4" fontId="24" fillId="6" borderId="27" xfId="1" applyNumberFormat="1" applyFont="1" applyFill="1" applyBorder="1"/>
    <xf numFmtId="0" fontId="24" fillId="6" borderId="27" xfId="1" applyFont="1" applyFill="1" applyBorder="1" applyAlignment="1">
      <alignment horizontal="center"/>
    </xf>
    <xf numFmtId="41" fontId="24" fillId="6" borderId="27" xfId="1" applyNumberFormat="1" applyFont="1" applyFill="1" applyBorder="1"/>
    <xf numFmtId="0" fontId="24" fillId="6" borderId="27" xfId="1" applyFont="1" applyFill="1" applyBorder="1"/>
    <xf numFmtId="3" fontId="31" fillId="6" borderId="30" xfId="1" applyNumberFormat="1" applyFont="1" applyFill="1" applyBorder="1"/>
    <xf numFmtId="3" fontId="31" fillId="6" borderId="29" xfId="1" applyNumberFormat="1" applyFont="1" applyFill="1" applyBorder="1"/>
    <xf numFmtId="166" fontId="31" fillId="6" borderId="30" xfId="1" applyNumberFormat="1" applyFont="1" applyFill="1" applyBorder="1"/>
    <xf numFmtId="166" fontId="32" fillId="6" borderId="27" xfId="1" applyNumberFormat="1" applyFont="1" applyFill="1" applyBorder="1" applyAlignment="1">
      <alignment horizontal="center"/>
    </xf>
    <xf numFmtId="166" fontId="31" fillId="6" borderId="30" xfId="1" applyNumberFormat="1" applyFont="1" applyFill="1" applyBorder="1" applyAlignment="1">
      <alignment horizontal="right"/>
    </xf>
    <xf numFmtId="0" fontId="31" fillId="6" borderId="27" xfId="1" applyFont="1" applyFill="1" applyBorder="1" applyAlignment="1">
      <alignment horizontal="right"/>
    </xf>
    <xf numFmtId="4" fontId="31" fillId="6" borderId="30" xfId="1" applyNumberFormat="1" applyFont="1" applyFill="1" applyBorder="1"/>
    <xf numFmtId="4" fontId="31" fillId="6" borderId="27" xfId="1" applyNumberFormat="1" applyFont="1" applyFill="1" applyBorder="1"/>
    <xf numFmtId="0" fontId="31" fillId="6" borderId="27" xfId="1" applyFont="1" applyFill="1" applyBorder="1" applyAlignment="1">
      <alignment horizontal="center"/>
    </xf>
    <xf numFmtId="41" fontId="31" fillId="6" borderId="27" xfId="1" applyNumberFormat="1" applyFont="1" applyFill="1" applyBorder="1"/>
    <xf numFmtId="0" fontId="31" fillId="6" borderId="27" xfId="1" applyFont="1" applyFill="1" applyBorder="1"/>
    <xf numFmtId="0" fontId="31" fillId="0" borderId="27" xfId="1" applyFont="1" applyFill="1" applyBorder="1" applyAlignment="1">
      <alignment horizontal="right"/>
    </xf>
    <xf numFmtId="0" fontId="31" fillId="0" borderId="30" xfId="1" applyFont="1" applyFill="1" applyBorder="1"/>
    <xf numFmtId="0" fontId="31" fillId="0" borderId="28" xfId="1" applyFont="1" applyFill="1" applyBorder="1"/>
    <xf numFmtId="3" fontId="4" fillId="0" borderId="27" xfId="1" applyNumberFormat="1" applyFont="1" applyFill="1" applyBorder="1" applyAlignment="1">
      <alignment horizontal="right"/>
    </xf>
    <xf numFmtId="0" fontId="24" fillId="0" borderId="27" xfId="1" applyFont="1" applyFill="1" applyBorder="1" applyAlignment="1">
      <alignment horizontal="right" vertical="center" wrapText="1"/>
    </xf>
    <xf numFmtId="166" fontId="24" fillId="0" borderId="30" xfId="1" applyNumberFormat="1" applyFont="1" applyFill="1" applyBorder="1" applyAlignment="1">
      <alignment vertical="center" wrapText="1"/>
    </xf>
    <xf numFmtId="3" fontId="24" fillId="0" borderId="27" xfId="1" applyNumberFormat="1" applyFont="1" applyFill="1" applyBorder="1" applyAlignment="1">
      <alignment horizontal="right"/>
    </xf>
    <xf numFmtId="166" fontId="24" fillId="0" borderId="30" xfId="1" quotePrefix="1" applyNumberFormat="1" applyFont="1" applyFill="1" applyBorder="1" applyAlignment="1">
      <alignment horizontal="right"/>
    </xf>
    <xf numFmtId="4" fontId="30" fillId="0" borderId="27" xfId="1" applyNumberFormat="1" applyFont="1" applyFill="1" applyBorder="1"/>
    <xf numFmtId="0" fontId="24" fillId="0" borderId="30" xfId="1" quotePrefix="1" applyFont="1" applyFill="1" applyBorder="1" applyAlignment="1">
      <alignment horizontal="center"/>
    </xf>
    <xf numFmtId="167" fontId="4" fillId="0" borderId="28" xfId="1" applyNumberFormat="1" applyFont="1" applyFill="1" applyBorder="1" applyAlignment="1" applyProtection="1">
      <alignment horizontal="left"/>
    </xf>
    <xf numFmtId="0" fontId="4" fillId="0" borderId="28" xfId="1" applyFont="1" applyFill="1" applyBorder="1" applyAlignment="1"/>
    <xf numFmtId="0" fontId="4" fillId="0" borderId="29" xfId="1" applyFont="1" applyFill="1" applyBorder="1" applyAlignment="1"/>
    <xf numFmtId="168" fontId="4" fillId="0" borderId="30" xfId="5" quotePrefix="1" applyNumberFormat="1" applyFont="1" applyFill="1" applyBorder="1" applyAlignment="1">
      <alignment horizontal="right" vertical="center"/>
    </xf>
    <xf numFmtId="168" fontId="4" fillId="0" borderId="29" xfId="5" applyNumberFormat="1" applyFont="1" applyFill="1" applyBorder="1" applyAlignment="1">
      <alignment horizontal="left" vertical="center"/>
    </xf>
    <xf numFmtId="168" fontId="4" fillId="0" borderId="27" xfId="5" applyNumberFormat="1" applyFont="1" applyFill="1" applyBorder="1" applyAlignment="1">
      <alignment horizontal="right" vertical="center"/>
    </xf>
    <xf numFmtId="0" fontId="24" fillId="0" borderId="30" xfId="1" applyFont="1" applyFill="1" applyBorder="1" applyAlignment="1">
      <alignment horizontal="center"/>
    </xf>
    <xf numFmtId="0" fontId="24" fillId="0" borderId="30" xfId="1" applyFont="1" applyFill="1" applyBorder="1" applyAlignment="1"/>
    <xf numFmtId="0" fontId="24" fillId="0" borderId="28" xfId="1" applyFont="1" applyFill="1" applyBorder="1" applyAlignment="1"/>
    <xf numFmtId="0" fontId="24" fillId="0" borderId="29" xfId="1" applyFont="1" applyFill="1" applyBorder="1" applyAlignment="1"/>
    <xf numFmtId="0" fontId="28" fillId="8" borderId="27" xfId="1" applyFont="1" applyFill="1" applyBorder="1" applyAlignment="1">
      <alignment horizontal="right"/>
    </xf>
    <xf numFmtId="0" fontId="28" fillId="8" borderId="30" xfId="1" applyFont="1" applyFill="1" applyBorder="1"/>
    <xf numFmtId="0" fontId="24" fillId="8" borderId="28" xfId="1" applyFont="1" applyFill="1" applyBorder="1"/>
    <xf numFmtId="0" fontId="24" fillId="8" borderId="29" xfId="1" applyFont="1" applyFill="1" applyBorder="1"/>
    <xf numFmtId="3" fontId="24" fillId="8" borderId="30" xfId="1" applyNumberFormat="1" applyFont="1" applyFill="1" applyBorder="1"/>
    <xf numFmtId="3" fontId="24" fillId="8" borderId="29" xfId="1" applyNumberFormat="1" applyFont="1" applyFill="1" applyBorder="1"/>
    <xf numFmtId="166" fontId="24" fillId="8" borderId="30" xfId="1" applyNumberFormat="1" applyFont="1" applyFill="1" applyBorder="1"/>
    <xf numFmtId="166" fontId="25" fillId="8" borderId="27" xfId="1" applyNumberFormat="1" applyFont="1" applyFill="1" applyBorder="1" applyAlignment="1">
      <alignment horizontal="center"/>
    </xf>
    <xf numFmtId="166" fontId="24" fillId="8" borderId="30" xfId="1" applyNumberFormat="1" applyFont="1" applyFill="1" applyBorder="1" applyAlignment="1">
      <alignment horizontal="right"/>
    </xf>
    <xf numFmtId="3" fontId="24" fillId="8" borderId="27" xfId="1" applyNumberFormat="1" applyFont="1" applyFill="1" applyBorder="1" applyAlignment="1">
      <alignment horizontal="right"/>
    </xf>
    <xf numFmtId="4" fontId="4" fillId="8" borderId="30" xfId="1" applyNumberFormat="1" applyFont="1" applyFill="1" applyBorder="1"/>
    <xf numFmtId="4" fontId="24" fillId="8" borderId="27" xfId="1" applyNumberFormat="1" applyFont="1" applyFill="1" applyBorder="1"/>
    <xf numFmtId="4" fontId="24" fillId="8" borderId="27" xfId="1" applyNumberFormat="1" applyFont="1" applyFill="1" applyBorder="1" applyAlignment="1">
      <alignment horizontal="center"/>
    </xf>
    <xf numFmtId="41" fontId="24" fillId="8" borderId="27" xfId="1" applyNumberFormat="1" applyFont="1" applyFill="1" applyBorder="1"/>
    <xf numFmtId="4" fontId="30" fillId="8" borderId="27" xfId="1" applyNumberFormat="1" applyFont="1" applyFill="1" applyBorder="1"/>
    <xf numFmtId="43" fontId="24" fillId="8" borderId="27" xfId="3" applyFont="1" applyFill="1" applyBorder="1"/>
    <xf numFmtId="0" fontId="24" fillId="8" borderId="27" xfId="1" applyFont="1" applyFill="1" applyBorder="1"/>
    <xf numFmtId="0" fontId="4" fillId="8" borderId="27" xfId="1" applyFont="1" applyFill="1" applyBorder="1" applyAlignment="1">
      <alignment horizontal="right"/>
    </xf>
    <xf numFmtId="0" fontId="24" fillId="8" borderId="30" xfId="1" applyFont="1" applyFill="1" applyBorder="1" applyAlignment="1">
      <alignment horizontal="center"/>
    </xf>
    <xf numFmtId="0" fontId="4" fillId="8" borderId="28" xfId="1" applyFont="1" applyFill="1" applyBorder="1"/>
    <xf numFmtId="0" fontId="4" fillId="8" borderId="29" xfId="1" applyFont="1" applyFill="1" applyBorder="1"/>
    <xf numFmtId="3" fontId="4" fillId="8" borderId="30" xfId="1" applyNumberFormat="1" applyFont="1" applyFill="1" applyBorder="1"/>
    <xf numFmtId="3" fontId="4" fillId="8" borderId="29" xfId="1" applyNumberFormat="1" applyFont="1" applyFill="1" applyBorder="1"/>
    <xf numFmtId="166" fontId="4" fillId="8" borderId="30" xfId="1" applyNumberFormat="1" applyFont="1" applyFill="1" applyBorder="1"/>
    <xf numFmtId="166" fontId="27" fillId="8" borderId="27" xfId="1" applyNumberFormat="1" applyFont="1" applyFill="1" applyBorder="1" applyAlignment="1">
      <alignment horizontal="center"/>
    </xf>
    <xf numFmtId="166" fontId="4" fillId="8" borderId="30" xfId="1" applyNumberFormat="1" applyFont="1" applyFill="1" applyBorder="1" applyAlignment="1">
      <alignment horizontal="right"/>
    </xf>
    <xf numFmtId="3" fontId="4" fillId="8" borderId="27" xfId="1" applyNumberFormat="1" applyFont="1" applyFill="1" applyBorder="1" applyAlignment="1">
      <alignment horizontal="right"/>
    </xf>
    <xf numFmtId="4" fontId="4" fillId="8" borderId="27" xfId="1" applyNumberFormat="1" applyFont="1" applyFill="1" applyBorder="1"/>
    <xf numFmtId="0" fontId="4" fillId="8" borderId="27" xfId="1" applyFont="1" applyFill="1" applyBorder="1" applyAlignment="1">
      <alignment horizontal="center"/>
    </xf>
    <xf numFmtId="41" fontId="4" fillId="8" borderId="27" xfId="1" applyNumberFormat="1" applyFont="1" applyFill="1" applyBorder="1"/>
    <xf numFmtId="4" fontId="29" fillId="8" borderId="27" xfId="1" applyNumberFormat="1" applyFont="1" applyFill="1" applyBorder="1"/>
    <xf numFmtId="0" fontId="4" fillId="8" borderId="27" xfId="1" applyFont="1" applyFill="1" applyBorder="1"/>
    <xf numFmtId="4" fontId="4" fillId="8" borderId="27" xfId="1" quotePrefix="1" applyNumberFormat="1" applyFont="1" applyFill="1" applyBorder="1" applyAlignment="1">
      <alignment horizontal="center"/>
    </xf>
    <xf numFmtId="43" fontId="4" fillId="8" borderId="27" xfId="3" applyFont="1" applyFill="1" applyBorder="1"/>
    <xf numFmtId="0" fontId="24" fillId="0" borderId="30" xfId="1" applyFont="1" applyFill="1" applyBorder="1" applyAlignment="1"/>
    <xf numFmtId="0" fontId="24" fillId="0" borderId="28" xfId="1" applyFont="1" applyFill="1" applyBorder="1" applyAlignment="1"/>
    <xf numFmtId="0" fontId="24" fillId="0" borderId="29" xfId="1" applyFont="1" applyFill="1" applyBorder="1" applyAlignment="1"/>
    <xf numFmtId="0" fontId="28" fillId="0" borderId="30" xfId="1" applyFont="1" applyFill="1" applyBorder="1" applyAlignment="1">
      <alignment horizontal="left"/>
    </xf>
    <xf numFmtId="166" fontId="24" fillId="0" borderId="30" xfId="1" applyNumberFormat="1" applyFont="1" applyFill="1" applyBorder="1" applyAlignment="1">
      <alignment horizontal="right" vertical="center"/>
    </xf>
    <xf numFmtId="3" fontId="24" fillId="0" borderId="27" xfId="1" applyNumberFormat="1" applyFont="1" applyFill="1" applyBorder="1" applyAlignment="1">
      <alignment horizontal="right" vertical="center"/>
    </xf>
    <xf numFmtId="166" fontId="24" fillId="0" borderId="30" xfId="1" quotePrefix="1" applyNumberFormat="1" applyFont="1" applyFill="1" applyBorder="1" applyAlignment="1">
      <alignment horizontal="right" vertical="center"/>
    </xf>
    <xf numFmtId="0" fontId="4" fillId="0" borderId="27" xfId="1" quotePrefix="1" applyFont="1" applyFill="1" applyBorder="1" applyAlignment="1">
      <alignment horizontal="right"/>
    </xf>
    <xf numFmtId="0" fontId="4" fillId="0" borderId="30" xfId="1" quotePrefix="1" applyFont="1" applyFill="1" applyBorder="1" applyAlignment="1">
      <alignment horizontal="center"/>
    </xf>
    <xf numFmtId="0" fontId="4" fillId="0" borderId="27" xfId="1" applyFont="1" applyFill="1" applyBorder="1" applyAlignment="1">
      <alignment horizontal="right" vertical="center"/>
    </xf>
    <xf numFmtId="0" fontId="4" fillId="4" borderId="30" xfId="1" quotePrefix="1" applyFont="1" applyFill="1" applyBorder="1" applyAlignment="1">
      <alignment horizontal="center"/>
    </xf>
    <xf numFmtId="0" fontId="4" fillId="4" borderId="28" xfId="1" applyFont="1" applyFill="1" applyBorder="1" applyAlignment="1"/>
    <xf numFmtId="0" fontId="4" fillId="4" borderId="29" xfId="1" applyFont="1" applyFill="1" applyBorder="1" applyAlignment="1"/>
    <xf numFmtId="0" fontId="28" fillId="0" borderId="29" xfId="1" applyFont="1" applyFill="1" applyBorder="1"/>
    <xf numFmtId="0" fontId="4" fillId="0" borderId="28" xfId="1" applyFont="1" applyFill="1" applyBorder="1" applyAlignment="1">
      <alignment horizontal="center"/>
    </xf>
    <xf numFmtId="0" fontId="4" fillId="0" borderId="28" xfId="1" applyFont="1" applyFill="1" applyBorder="1" applyAlignment="1">
      <alignment horizontal="left"/>
    </xf>
    <xf numFmtId="0" fontId="4" fillId="0" borderId="29" xfId="1" applyFont="1" applyFill="1" applyBorder="1" applyAlignment="1">
      <alignment horizontal="left"/>
    </xf>
    <xf numFmtId="0" fontId="24" fillId="4" borderId="28" xfId="1" quotePrefix="1" applyFont="1" applyFill="1" applyBorder="1" applyAlignment="1">
      <alignment horizontal="center"/>
    </xf>
    <xf numFmtId="167" fontId="4" fillId="4" borderId="28" xfId="1" applyNumberFormat="1" applyFont="1" applyFill="1" applyBorder="1" applyAlignment="1" applyProtection="1">
      <alignment horizontal="left"/>
    </xf>
    <xf numFmtId="0" fontId="24" fillId="0" borderId="28" xfId="1" quotePrefix="1" applyFont="1" applyFill="1" applyBorder="1" applyAlignment="1">
      <alignment horizontal="center"/>
    </xf>
    <xf numFmtId="0" fontId="28" fillId="0" borderId="30" xfId="1" applyFont="1" applyFill="1" applyBorder="1" applyAlignment="1">
      <alignment horizontal="left"/>
    </xf>
    <xf numFmtId="0" fontId="28" fillId="0" borderId="28" xfId="1" quotePrefix="1" applyFont="1" applyFill="1" applyBorder="1" applyAlignment="1">
      <alignment horizontal="left"/>
    </xf>
    <xf numFmtId="0" fontId="28" fillId="0" borderId="29" xfId="1" quotePrefix="1" applyFont="1" applyFill="1" applyBorder="1" applyAlignment="1">
      <alignment horizontal="left"/>
    </xf>
    <xf numFmtId="0" fontId="24" fillId="0" borderId="28" xfId="1" quotePrefix="1" applyFont="1" applyFill="1" applyBorder="1" applyAlignment="1">
      <alignment horizontal="left"/>
    </xf>
    <xf numFmtId="0" fontId="24" fillId="4" borderId="27" xfId="1" applyFont="1" applyFill="1" applyBorder="1" applyAlignment="1">
      <alignment horizontal="right"/>
    </xf>
    <xf numFmtId="0" fontId="24" fillId="4" borderId="28" xfId="1" applyFont="1" applyFill="1" applyBorder="1" applyAlignment="1">
      <alignment horizontal="left"/>
    </xf>
    <xf numFmtId="167" fontId="24" fillId="4" borderId="28" xfId="1" applyNumberFormat="1" applyFont="1" applyFill="1" applyBorder="1" applyAlignment="1" applyProtection="1">
      <alignment horizontal="left"/>
    </xf>
    <xf numFmtId="3" fontId="24" fillId="4" borderId="29" xfId="1" applyNumberFormat="1" applyFont="1" applyFill="1" applyBorder="1"/>
    <xf numFmtId="166" fontId="24" fillId="4" borderId="30" xfId="1" applyNumberFormat="1" applyFont="1" applyFill="1" applyBorder="1"/>
    <xf numFmtId="166" fontId="25" fillId="4" borderId="27" xfId="1" applyNumberFormat="1" applyFont="1" applyFill="1" applyBorder="1" applyAlignment="1">
      <alignment horizontal="center"/>
    </xf>
    <xf numFmtId="166" fontId="24" fillId="4" borderId="30" xfId="1" applyNumberFormat="1" applyFont="1" applyFill="1" applyBorder="1" applyAlignment="1">
      <alignment horizontal="right"/>
    </xf>
    <xf numFmtId="3" fontId="24" fillId="4" borderId="27" xfId="1" applyNumberFormat="1" applyFont="1" applyFill="1" applyBorder="1" applyAlignment="1">
      <alignment horizontal="right"/>
    </xf>
    <xf numFmtId="4" fontId="24" fillId="4" borderId="30" xfId="1" applyNumberFormat="1" applyFont="1" applyFill="1" applyBorder="1"/>
    <xf numFmtId="4" fontId="24" fillId="4" borderId="27" xfId="1" quotePrefix="1" applyNumberFormat="1" applyFont="1" applyFill="1" applyBorder="1" applyAlignment="1">
      <alignment horizontal="center"/>
    </xf>
    <xf numFmtId="43" fontId="24" fillId="4" borderId="27" xfId="3" applyFont="1" applyFill="1" applyBorder="1"/>
    <xf numFmtId="0" fontId="4" fillId="0" borderId="28" xfId="1" applyFont="1" applyFill="1" applyBorder="1" applyAlignment="1">
      <alignment horizontal="left"/>
    </xf>
    <xf numFmtId="0" fontId="31" fillId="0" borderId="1" xfId="1" applyFont="1" applyFill="1" applyBorder="1" applyAlignment="1">
      <alignment horizontal="right"/>
    </xf>
    <xf numFmtId="0" fontId="31" fillId="0" borderId="33" xfId="1" applyFont="1" applyFill="1" applyBorder="1" applyAlignment="1">
      <alignment horizontal="left"/>
    </xf>
    <xf numFmtId="0" fontId="24" fillId="0" borderId="33" xfId="2" applyFont="1" applyFill="1" applyBorder="1" applyAlignment="1">
      <alignment horizontal="left" vertical="center"/>
    </xf>
    <xf numFmtId="0" fontId="24" fillId="0" borderId="33" xfId="1" applyFont="1" applyFill="1" applyBorder="1"/>
    <xf numFmtId="0" fontId="24" fillId="0" borderId="34" xfId="1" applyFont="1" applyFill="1" applyBorder="1"/>
    <xf numFmtId="3" fontId="24" fillId="0" borderId="35" xfId="1" applyNumberFormat="1" applyFont="1" applyFill="1" applyBorder="1"/>
    <xf numFmtId="3" fontId="24" fillId="0" borderId="34" xfId="1" applyNumberFormat="1" applyFont="1" applyFill="1" applyBorder="1"/>
    <xf numFmtId="166" fontId="24" fillId="0" borderId="35" xfId="1" applyNumberFormat="1" applyFont="1" applyFill="1" applyBorder="1"/>
    <xf numFmtId="166" fontId="25" fillId="0" borderId="1" xfId="1" applyNumberFormat="1" applyFont="1" applyFill="1" applyBorder="1" applyAlignment="1">
      <alignment horizontal="center"/>
    </xf>
    <xf numFmtId="0" fontId="24" fillId="0" borderId="35" xfId="2" applyFont="1" applyFill="1" applyBorder="1" applyAlignment="1">
      <alignment vertical="center"/>
    </xf>
    <xf numFmtId="0" fontId="24" fillId="0" borderId="34" xfId="2" applyFont="1" applyFill="1" applyBorder="1" applyAlignment="1">
      <alignment horizontal="left" vertical="center"/>
    </xf>
    <xf numFmtId="3" fontId="24" fillId="0" borderId="33" xfId="1" applyNumberFormat="1" applyFont="1" applyFill="1" applyBorder="1"/>
    <xf numFmtId="3" fontId="24" fillId="0" borderId="35" xfId="2" applyNumberFormat="1" applyFont="1" applyFill="1" applyBorder="1" applyAlignment="1">
      <alignment horizontal="right" vertical="center"/>
    </xf>
    <xf numFmtId="4" fontId="24" fillId="0" borderId="35" xfId="2" applyNumberFormat="1" applyFont="1" applyFill="1" applyBorder="1" applyAlignment="1">
      <alignment horizontal="right" vertical="center"/>
    </xf>
    <xf numFmtId="4" fontId="24" fillId="0" borderId="35" xfId="2" quotePrefix="1" applyNumberFormat="1" applyFont="1" applyFill="1" applyBorder="1" applyAlignment="1">
      <alignment horizontal="center" vertical="center"/>
    </xf>
    <xf numFmtId="41" fontId="24" fillId="0" borderId="35" xfId="2" applyNumberFormat="1" applyFont="1" applyFill="1" applyBorder="1" applyAlignment="1">
      <alignment horizontal="right" vertical="center"/>
    </xf>
    <xf numFmtId="4" fontId="33" fillId="0" borderId="35" xfId="2" applyNumberFormat="1" applyFont="1" applyFill="1" applyBorder="1" applyAlignment="1">
      <alignment horizontal="right" vertical="center"/>
    </xf>
    <xf numFmtId="0" fontId="24" fillId="0" borderId="1" xfId="1" applyFont="1" applyFill="1" applyBorder="1"/>
    <xf numFmtId="0" fontId="4" fillId="0" borderId="0" xfId="1" applyFont="1" applyFill="1" applyBorder="1" applyAlignment="1">
      <alignment horizontal="right" vertical="top"/>
    </xf>
    <xf numFmtId="0" fontId="4" fillId="0" borderId="0" xfId="1" applyFont="1" applyFill="1" applyBorder="1" applyAlignment="1">
      <alignment horizontal="center"/>
    </xf>
    <xf numFmtId="167" fontId="4" fillId="0" borderId="0" xfId="1" applyNumberFormat="1" applyFont="1" applyFill="1" applyBorder="1" applyAlignment="1" applyProtection="1">
      <alignment horizontal="left"/>
    </xf>
    <xf numFmtId="0" fontId="4" fillId="0" borderId="0" xfId="1" applyFont="1" applyFill="1" applyBorder="1"/>
    <xf numFmtId="0" fontId="4" fillId="0" borderId="0" xfId="1" applyFont="1" applyFill="1" applyBorder="1" applyAlignment="1"/>
    <xf numFmtId="3" fontId="4" fillId="0" borderId="36" xfId="1" applyNumberFormat="1" applyFont="1" applyFill="1" applyBorder="1"/>
    <xf numFmtId="3" fontId="27" fillId="0" borderId="36" xfId="1" quotePrefix="1" applyNumberFormat="1" applyFont="1" applyFill="1" applyBorder="1" applyAlignment="1">
      <alignment horizontal="right"/>
    </xf>
    <xf numFmtId="4" fontId="4" fillId="0" borderId="0" xfId="1" applyNumberFormat="1" applyFont="1" applyFill="1" applyBorder="1"/>
    <xf numFmtId="0" fontId="24" fillId="0" borderId="0" xfId="1" applyFont="1" applyFill="1" applyAlignment="1">
      <alignment vertical="top"/>
    </xf>
    <xf numFmtId="0" fontId="24" fillId="0" borderId="0" xfId="1" applyFont="1" applyFill="1"/>
    <xf numFmtId="0" fontId="4" fillId="0" borderId="0" xfId="1" applyFont="1" applyFill="1"/>
    <xf numFmtId="166" fontId="24" fillId="0" borderId="0" xfId="1" applyNumberFormat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24" fillId="0" borderId="0" xfId="1" applyFont="1" applyFill="1" applyBorder="1" applyAlignment="1"/>
    <xf numFmtId="0" fontId="24" fillId="0" borderId="0" xfId="1" applyFont="1" applyFill="1" applyBorder="1" applyAlignment="1">
      <alignment horizontal="center"/>
    </xf>
    <xf numFmtId="0" fontId="27" fillId="0" borderId="0" xfId="1" applyFont="1" applyFill="1" applyAlignment="1">
      <alignment horizontal="center"/>
    </xf>
    <xf numFmtId="0" fontId="24" fillId="0" borderId="0" xfId="1" applyFont="1" applyFill="1" applyAlignment="1"/>
    <xf numFmtId="166" fontId="24" fillId="0" borderId="0" xfId="1" applyNumberFormat="1" applyFont="1" applyFill="1" applyBorder="1" applyAlignment="1"/>
    <xf numFmtId="0" fontId="27" fillId="0" borderId="0" xfId="1" applyFont="1" applyFill="1"/>
    <xf numFmtId="0" fontId="24" fillId="0" borderId="0" xfId="1" applyFont="1" applyFill="1" applyBorder="1"/>
    <xf numFmtId="166" fontId="24" fillId="0" borderId="0" xfId="1" applyNumberFormat="1" applyFont="1" applyFill="1" applyBorder="1"/>
    <xf numFmtId="166" fontId="4" fillId="0" borderId="0" xfId="1" applyNumberFormat="1" applyFont="1" applyFill="1" applyBorder="1"/>
    <xf numFmtId="0" fontId="4" fillId="0" borderId="0" xfId="1" applyFont="1" applyFill="1" applyAlignment="1">
      <alignment horizontal="left" vertical="top"/>
    </xf>
    <xf numFmtId="0" fontId="34" fillId="0" borderId="0" xfId="1" applyFont="1" applyFill="1" applyBorder="1" applyAlignment="1">
      <alignment horizontal="center"/>
    </xf>
    <xf numFmtId="166" fontId="27" fillId="0" borderId="0" xfId="1" applyNumberFormat="1" applyFont="1" applyFill="1" applyBorder="1"/>
  </cellXfs>
  <cellStyles count="9">
    <cellStyle name="Comma [0] 2" xfId="6"/>
    <cellStyle name="Comma [0] 3" xfId="4"/>
    <cellStyle name="Comma 2" xfId="3"/>
    <cellStyle name="Comma 2 2" xfId="5"/>
    <cellStyle name="Normal" xfId="0" builtinId="0"/>
    <cellStyle name="Normal 2" xfId="1"/>
    <cellStyle name="Normal 2 2 2" xfId="7"/>
    <cellStyle name="Normal 2 2 2_LAPBULANAN STAMAR PAOTERE 2012 " xfId="2"/>
    <cellStyle name="Normal 3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29" workbookViewId="0">
      <selection activeCell="H16" sqref="H16"/>
    </sheetView>
  </sheetViews>
  <sheetFormatPr defaultRowHeight="15" x14ac:dyDescent="0.25"/>
  <cols>
    <col min="1" max="1" width="6.5703125" customWidth="1"/>
    <col min="2" max="2" width="33.5703125" customWidth="1"/>
    <col min="14" max="14" width="12.5703125" bestFit="1" customWidth="1"/>
    <col min="16" max="16" width="12.5703125" bestFit="1" customWidth="1"/>
  </cols>
  <sheetData>
    <row r="1" spans="1:16" ht="18.75" x14ac:dyDescent="0.3">
      <c r="A1" s="500" t="s">
        <v>0</v>
      </c>
      <c r="B1" s="500"/>
      <c r="C1" s="500"/>
      <c r="D1" s="500"/>
      <c r="E1" s="500"/>
      <c r="F1" s="500"/>
      <c r="G1" s="500"/>
      <c r="H1" s="500"/>
      <c r="I1" s="500"/>
      <c r="J1" s="500"/>
      <c r="K1" s="500"/>
      <c r="L1" s="500"/>
      <c r="M1" s="500"/>
      <c r="N1" s="500"/>
      <c r="O1" s="500"/>
      <c r="P1" s="500"/>
    </row>
    <row r="2" spans="1:16" ht="18.75" x14ac:dyDescent="0.3">
      <c r="A2" s="500" t="s">
        <v>1</v>
      </c>
      <c r="B2" s="500"/>
      <c r="C2" s="500"/>
      <c r="D2" s="500"/>
      <c r="E2" s="500"/>
      <c r="F2" s="500"/>
      <c r="G2" s="500"/>
      <c r="H2" s="500"/>
      <c r="I2" s="500"/>
      <c r="J2" s="500"/>
      <c r="K2" s="500"/>
      <c r="L2" s="500"/>
      <c r="M2" s="500"/>
      <c r="N2" s="500"/>
      <c r="O2" s="500"/>
      <c r="P2" s="500"/>
    </row>
    <row r="3" spans="1:16" ht="18.75" x14ac:dyDescent="0.3">
      <c r="A3" s="500" t="s">
        <v>2</v>
      </c>
      <c r="B3" s="500"/>
      <c r="C3" s="500"/>
      <c r="D3" s="500"/>
      <c r="E3" s="500"/>
      <c r="F3" s="500"/>
      <c r="G3" s="500"/>
      <c r="H3" s="500"/>
      <c r="I3" s="500"/>
      <c r="J3" s="500"/>
      <c r="K3" s="500"/>
      <c r="L3" s="500"/>
      <c r="M3" s="500"/>
      <c r="N3" s="500"/>
      <c r="O3" s="500"/>
      <c r="P3" s="500"/>
    </row>
    <row r="5" spans="1:16" ht="15" customHeight="1" x14ac:dyDescent="0.25">
      <c r="A5" s="499" t="s">
        <v>3</v>
      </c>
      <c r="B5" s="499" t="s">
        <v>4</v>
      </c>
      <c r="C5" s="501" t="s">
        <v>5</v>
      </c>
      <c r="D5" s="501"/>
      <c r="E5" s="499" t="s">
        <v>6</v>
      </c>
      <c r="F5" s="499"/>
      <c r="G5" s="499" t="s">
        <v>7</v>
      </c>
      <c r="H5" s="499"/>
      <c r="I5" s="499" t="s">
        <v>8</v>
      </c>
      <c r="J5" s="499"/>
      <c r="K5" s="499" t="s">
        <v>9</v>
      </c>
      <c r="L5" s="499"/>
      <c r="M5" s="499" t="s">
        <v>10</v>
      </c>
      <c r="N5" s="499"/>
      <c r="O5" s="499" t="s">
        <v>11</v>
      </c>
      <c r="P5" s="499"/>
    </row>
    <row r="6" spans="1:16" x14ac:dyDescent="0.25">
      <c r="A6" s="499"/>
      <c r="B6" s="499"/>
      <c r="C6" s="501"/>
      <c r="D6" s="501"/>
      <c r="E6" s="499"/>
      <c r="F6" s="499"/>
      <c r="G6" s="499"/>
      <c r="H6" s="499"/>
      <c r="I6" s="499"/>
      <c r="J6" s="499"/>
      <c r="K6" s="499"/>
      <c r="L6" s="499"/>
      <c r="M6" s="499"/>
      <c r="N6" s="499"/>
      <c r="O6" s="499"/>
      <c r="P6" s="499"/>
    </row>
    <row r="7" spans="1:16" x14ac:dyDescent="0.25">
      <c r="A7" s="499"/>
      <c r="B7" s="499"/>
      <c r="C7" s="501"/>
      <c r="D7" s="501"/>
      <c r="E7" s="499"/>
      <c r="F7" s="499"/>
      <c r="G7" s="499"/>
      <c r="H7" s="499"/>
      <c r="I7" s="499"/>
      <c r="J7" s="499"/>
      <c r="K7" s="499"/>
      <c r="L7" s="499"/>
      <c r="M7" s="499"/>
      <c r="N7" s="499"/>
      <c r="O7" s="499"/>
      <c r="P7" s="499"/>
    </row>
    <row r="8" spans="1:16" x14ac:dyDescent="0.25">
      <c r="A8" s="499"/>
      <c r="B8" s="499"/>
      <c r="C8" s="501"/>
      <c r="D8" s="501"/>
      <c r="E8" s="499"/>
      <c r="F8" s="499"/>
      <c r="G8" s="499"/>
      <c r="H8" s="499"/>
      <c r="I8" s="499"/>
      <c r="J8" s="499"/>
      <c r="K8" s="499"/>
      <c r="L8" s="499"/>
      <c r="M8" s="499"/>
      <c r="N8" s="499"/>
      <c r="O8" s="499"/>
      <c r="P8" s="499"/>
    </row>
    <row r="9" spans="1:16" x14ac:dyDescent="0.25">
      <c r="A9" s="499"/>
      <c r="B9" s="499"/>
      <c r="C9" s="499" t="s">
        <v>12</v>
      </c>
      <c r="D9" s="499" t="s">
        <v>13</v>
      </c>
      <c r="E9" s="499" t="s">
        <v>12</v>
      </c>
      <c r="F9" s="499" t="s">
        <v>13</v>
      </c>
      <c r="G9" s="499" t="s">
        <v>12</v>
      </c>
      <c r="H9" s="499" t="s">
        <v>13</v>
      </c>
      <c r="I9" s="499" t="s">
        <v>12</v>
      </c>
      <c r="J9" s="499" t="s">
        <v>13</v>
      </c>
      <c r="K9" s="499" t="s">
        <v>12</v>
      </c>
      <c r="L9" s="499" t="s">
        <v>13</v>
      </c>
      <c r="M9" s="499" t="s">
        <v>12</v>
      </c>
      <c r="N9" s="499" t="s">
        <v>13</v>
      </c>
      <c r="O9" s="499" t="s">
        <v>12</v>
      </c>
      <c r="P9" s="499" t="s">
        <v>13</v>
      </c>
    </row>
    <row r="10" spans="1:16" x14ac:dyDescent="0.25">
      <c r="A10" s="499"/>
      <c r="B10" s="499"/>
      <c r="C10" s="499"/>
      <c r="D10" s="499"/>
      <c r="E10" s="499"/>
      <c r="F10" s="499"/>
      <c r="G10" s="499"/>
      <c r="H10" s="499"/>
      <c r="I10" s="499"/>
      <c r="J10" s="499"/>
      <c r="K10" s="499"/>
      <c r="L10" s="499"/>
      <c r="M10" s="499"/>
      <c r="N10" s="499"/>
      <c r="O10" s="499"/>
      <c r="P10" s="499"/>
    </row>
    <row r="11" spans="1:16" x14ac:dyDescent="0.25">
      <c r="A11" s="4">
        <v>1</v>
      </c>
      <c r="B11" s="4">
        <v>2</v>
      </c>
      <c r="C11" s="4">
        <v>3</v>
      </c>
      <c r="D11" s="4">
        <v>4</v>
      </c>
      <c r="E11" s="4">
        <v>5</v>
      </c>
      <c r="F11" s="4">
        <v>6</v>
      </c>
      <c r="G11" s="4">
        <v>7</v>
      </c>
      <c r="H11" s="4">
        <v>8</v>
      </c>
      <c r="I11" s="4">
        <v>9</v>
      </c>
      <c r="J11" s="4">
        <v>10</v>
      </c>
      <c r="K11" s="4">
        <v>11</v>
      </c>
      <c r="L11" s="4">
        <v>12</v>
      </c>
      <c r="M11" s="4">
        <v>13</v>
      </c>
      <c r="N11" s="4">
        <v>14</v>
      </c>
      <c r="O11" s="4">
        <v>15</v>
      </c>
      <c r="P11" s="4">
        <v>16</v>
      </c>
    </row>
    <row r="12" spans="1:16" ht="22.5" customHeight="1" x14ac:dyDescent="0.25">
      <c r="A12" s="2" t="s">
        <v>14</v>
      </c>
      <c r="B12" s="1" t="s">
        <v>15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25">
      <c r="A13" s="2"/>
      <c r="B13" s="5" t="s">
        <v>16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25">
      <c r="A14" s="2"/>
      <c r="B14" s="5" t="s">
        <v>17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25">
      <c r="A15" s="2"/>
      <c r="B15" s="1" t="s">
        <v>18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22.5" customHeight="1" x14ac:dyDescent="0.25">
      <c r="A16" s="2" t="s">
        <v>19</v>
      </c>
      <c r="B16" s="1" t="s">
        <v>20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2"/>
      <c r="B17" s="5" t="s">
        <v>16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2"/>
      <c r="B18" s="5" t="s">
        <v>17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 s="2"/>
      <c r="B19" s="1" t="s">
        <v>18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22.5" customHeight="1" x14ac:dyDescent="0.25">
      <c r="A20" s="2" t="s">
        <v>21</v>
      </c>
      <c r="B20" s="1" t="s">
        <v>22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2"/>
      <c r="B21" s="5" t="s">
        <v>16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25">
      <c r="A22" s="2"/>
      <c r="B22" s="5" t="s">
        <v>17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25">
      <c r="A23" s="2"/>
      <c r="B23" s="1" t="s">
        <v>18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22.5" customHeight="1" x14ac:dyDescent="0.25">
      <c r="A24" s="2" t="s">
        <v>23</v>
      </c>
      <c r="B24" s="1" t="s">
        <v>24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25">
      <c r="A25" s="2"/>
      <c r="B25" s="5" t="s">
        <v>16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A26" s="2"/>
      <c r="B26" s="5" t="s">
        <v>17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A27" s="2"/>
      <c r="B27" s="1" t="s">
        <v>18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ht="22.5" customHeight="1" x14ac:dyDescent="0.25">
      <c r="A28" s="2" t="s">
        <v>25</v>
      </c>
      <c r="B28" s="1" t="s">
        <v>26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A29" s="2"/>
      <c r="B29" s="5" t="s">
        <v>16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A30" s="2"/>
      <c r="B30" s="5" t="s">
        <v>17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2"/>
      <c r="B31" s="1" t="s">
        <v>18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ht="22.5" customHeight="1" x14ac:dyDescent="0.25">
      <c r="A32" s="3" t="s">
        <v>27</v>
      </c>
      <c r="B32" s="10" t="s">
        <v>28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</row>
    <row r="33" spans="1:16" x14ac:dyDescent="0.25">
      <c r="A33" s="10"/>
      <c r="B33" s="11" t="s">
        <v>29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3" t="s">
        <v>30</v>
      </c>
      <c r="N33" s="9">
        <v>325000000</v>
      </c>
      <c r="O33" s="3" t="s">
        <v>30</v>
      </c>
      <c r="P33" s="12">
        <v>325000000</v>
      </c>
    </row>
    <row r="34" spans="1:16" x14ac:dyDescent="0.25">
      <c r="A34" s="10"/>
      <c r="B34" s="11" t="s">
        <v>17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3"/>
      <c r="N34" s="3"/>
      <c r="O34" s="3"/>
      <c r="P34" s="10"/>
    </row>
    <row r="35" spans="1:16" x14ac:dyDescent="0.25">
      <c r="A35" s="10"/>
      <c r="B35" s="10" t="s">
        <v>18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3" t="s">
        <v>30</v>
      </c>
      <c r="N35" s="9">
        <v>325000000</v>
      </c>
      <c r="O35" s="3" t="s">
        <v>30</v>
      </c>
      <c r="P35" s="12">
        <v>325000000</v>
      </c>
    </row>
    <row r="36" spans="1:16" ht="25.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7" t="s">
        <v>30</v>
      </c>
      <c r="N36" s="8">
        <v>325000000</v>
      </c>
      <c r="O36" s="7" t="s">
        <v>30</v>
      </c>
      <c r="P36" s="8">
        <v>325000000</v>
      </c>
    </row>
  </sheetData>
  <mergeCells count="26">
    <mergeCell ref="A5:A10"/>
    <mergeCell ref="B5:B10"/>
    <mergeCell ref="C5:D8"/>
    <mergeCell ref="C9:C10"/>
    <mergeCell ref="D9:D10"/>
    <mergeCell ref="E9:E10"/>
    <mergeCell ref="F9:F10"/>
    <mergeCell ref="G5:H8"/>
    <mergeCell ref="I5:J8"/>
    <mergeCell ref="K5:L8"/>
    <mergeCell ref="O9:O10"/>
    <mergeCell ref="P9:P10"/>
    <mergeCell ref="A1:P1"/>
    <mergeCell ref="A2:P2"/>
    <mergeCell ref="A3:P3"/>
    <mergeCell ref="M5:N8"/>
    <mergeCell ref="O5:P8"/>
    <mergeCell ref="G9:G10"/>
    <mergeCell ref="H9:H10"/>
    <mergeCell ref="I9:I10"/>
    <mergeCell ref="J9:J10"/>
    <mergeCell ref="K9:K10"/>
    <mergeCell ref="L9:L10"/>
    <mergeCell ref="M9:M10"/>
    <mergeCell ref="N9:N10"/>
    <mergeCell ref="E5:F8"/>
  </mergeCells>
  <pageMargins left="0.45" right="0.2" top="0.75" bottom="0.75" header="0.3" footer="0.3"/>
  <pageSetup scale="7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3"/>
  </sheetPr>
  <dimension ref="A1:AO194"/>
  <sheetViews>
    <sheetView view="pageBreakPreview" topLeftCell="C92" zoomScale="91" zoomScaleSheetLayoutView="91" workbookViewId="0">
      <selection activeCell="Y184" sqref="Y184"/>
    </sheetView>
  </sheetViews>
  <sheetFormatPr defaultRowHeight="18" customHeight="1" x14ac:dyDescent="0.35"/>
  <cols>
    <col min="1" max="1" width="12.28515625" style="275" customWidth="1"/>
    <col min="2" max="2" width="2.42578125" style="263" customWidth="1"/>
    <col min="3" max="3" width="3.42578125" style="263" customWidth="1"/>
    <col min="4" max="4" width="13.28515625" style="263" customWidth="1"/>
    <col min="5" max="5" width="3.140625" style="263" customWidth="1"/>
    <col min="6" max="6" width="5.140625" style="263" customWidth="1"/>
    <col min="7" max="7" width="16.42578125" style="13" customWidth="1"/>
    <col min="8" max="8" width="6.85546875" style="263" hidden="1" customWidth="1"/>
    <col min="9" max="9" width="5.28515625" style="263" hidden="1" customWidth="1"/>
    <col min="10" max="10" width="16.140625" style="276" hidden="1" customWidth="1"/>
    <col min="11" max="11" width="22.42578125" style="277" hidden="1" customWidth="1"/>
    <col min="12" max="14" width="9.140625" style="13" hidden="1" customWidth="1"/>
    <col min="15" max="15" width="4.140625" style="13" customWidth="1"/>
    <col min="16" max="16" width="5.7109375" style="13" customWidth="1"/>
    <col min="17" max="17" width="16.140625" style="13" hidden="1" customWidth="1"/>
    <col min="18" max="18" width="15.7109375" style="13" customWidth="1"/>
    <col min="19" max="19" width="7.7109375" style="260" customWidth="1"/>
    <col min="20" max="20" width="9.140625" style="13"/>
    <col min="21" max="21" width="10.85546875" style="13" customWidth="1"/>
    <col min="22" max="22" width="9.7109375" style="13" customWidth="1"/>
    <col min="23" max="23" width="8.85546875" style="13" customWidth="1"/>
    <col min="24" max="24" width="10.7109375" style="13" customWidth="1"/>
    <col min="25" max="25" width="16" style="13" customWidth="1"/>
    <col min="26" max="26" width="8.7109375" style="13" customWidth="1"/>
    <col min="27" max="27" width="6.5703125" style="13" bestFit="1" customWidth="1"/>
    <col min="28" max="28" width="8.7109375" style="13" customWidth="1"/>
    <col min="29" max="29" width="16" style="13" customWidth="1"/>
    <col min="30" max="30" width="16.140625" style="13" bestFit="1" customWidth="1"/>
    <col min="31" max="31" width="9.42578125" style="13" customWidth="1"/>
    <col min="32" max="256" width="9.140625" style="13"/>
    <col min="257" max="257" width="12.28515625" style="13" customWidth="1"/>
    <col min="258" max="258" width="2.42578125" style="13" customWidth="1"/>
    <col min="259" max="259" width="3.42578125" style="13" customWidth="1"/>
    <col min="260" max="260" width="13.28515625" style="13" customWidth="1"/>
    <col min="261" max="261" width="3.140625" style="13" customWidth="1"/>
    <col min="262" max="262" width="5.140625" style="13" customWidth="1"/>
    <col min="263" max="263" width="16.42578125" style="13" customWidth="1"/>
    <col min="264" max="270" width="0" style="13" hidden="1" customWidth="1"/>
    <col min="271" max="271" width="4.140625" style="13" customWidth="1"/>
    <col min="272" max="272" width="5.7109375" style="13" customWidth="1"/>
    <col min="273" max="273" width="0" style="13" hidden="1" customWidth="1"/>
    <col min="274" max="274" width="15.7109375" style="13" customWidth="1"/>
    <col min="275" max="275" width="7.7109375" style="13" customWidth="1"/>
    <col min="276" max="276" width="9.140625" style="13"/>
    <col min="277" max="277" width="10.85546875" style="13" customWidth="1"/>
    <col min="278" max="278" width="9.7109375" style="13" customWidth="1"/>
    <col min="279" max="279" width="8.85546875" style="13" customWidth="1"/>
    <col min="280" max="280" width="10.7109375" style="13" customWidth="1"/>
    <col min="281" max="281" width="16" style="13" customWidth="1"/>
    <col min="282" max="282" width="8.7109375" style="13" customWidth="1"/>
    <col min="283" max="283" width="6.5703125" style="13" bestFit="1" customWidth="1"/>
    <col min="284" max="284" width="8.7109375" style="13" customWidth="1"/>
    <col min="285" max="285" width="16" style="13" customWidth="1"/>
    <col min="286" max="286" width="15" style="13" customWidth="1"/>
    <col min="287" max="287" width="9.42578125" style="13" customWidth="1"/>
    <col min="288" max="512" width="9.140625" style="13"/>
    <col min="513" max="513" width="12.28515625" style="13" customWidth="1"/>
    <col min="514" max="514" width="2.42578125" style="13" customWidth="1"/>
    <col min="515" max="515" width="3.42578125" style="13" customWidth="1"/>
    <col min="516" max="516" width="13.28515625" style="13" customWidth="1"/>
    <col min="517" max="517" width="3.140625" style="13" customWidth="1"/>
    <col min="518" max="518" width="5.140625" style="13" customWidth="1"/>
    <col min="519" max="519" width="16.42578125" style="13" customWidth="1"/>
    <col min="520" max="526" width="0" style="13" hidden="1" customWidth="1"/>
    <col min="527" max="527" width="4.140625" style="13" customWidth="1"/>
    <col min="528" max="528" width="5.7109375" style="13" customWidth="1"/>
    <col min="529" max="529" width="0" style="13" hidden="1" customWidth="1"/>
    <col min="530" max="530" width="15.7109375" style="13" customWidth="1"/>
    <col min="531" max="531" width="7.7109375" style="13" customWidth="1"/>
    <col min="532" max="532" width="9.140625" style="13"/>
    <col min="533" max="533" width="10.85546875" style="13" customWidth="1"/>
    <col min="534" max="534" width="9.7109375" style="13" customWidth="1"/>
    <col min="535" max="535" width="8.85546875" style="13" customWidth="1"/>
    <col min="536" max="536" width="10.7109375" style="13" customWidth="1"/>
    <col min="537" max="537" width="16" style="13" customWidth="1"/>
    <col min="538" max="538" width="8.7109375" style="13" customWidth="1"/>
    <col min="539" max="539" width="6.5703125" style="13" bestFit="1" customWidth="1"/>
    <col min="540" max="540" width="8.7109375" style="13" customWidth="1"/>
    <col min="541" max="541" width="16" style="13" customWidth="1"/>
    <col min="542" max="542" width="15" style="13" customWidth="1"/>
    <col min="543" max="543" width="9.42578125" style="13" customWidth="1"/>
    <col min="544" max="768" width="9.140625" style="13"/>
    <col min="769" max="769" width="12.28515625" style="13" customWidth="1"/>
    <col min="770" max="770" width="2.42578125" style="13" customWidth="1"/>
    <col min="771" max="771" width="3.42578125" style="13" customWidth="1"/>
    <col min="772" max="772" width="13.28515625" style="13" customWidth="1"/>
    <col min="773" max="773" width="3.140625" style="13" customWidth="1"/>
    <col min="774" max="774" width="5.140625" style="13" customWidth="1"/>
    <col min="775" max="775" width="16.42578125" style="13" customWidth="1"/>
    <col min="776" max="782" width="0" style="13" hidden="1" customWidth="1"/>
    <col min="783" max="783" width="4.140625" style="13" customWidth="1"/>
    <col min="784" max="784" width="5.7109375" style="13" customWidth="1"/>
    <col min="785" max="785" width="0" style="13" hidden="1" customWidth="1"/>
    <col min="786" max="786" width="15.7109375" style="13" customWidth="1"/>
    <col min="787" max="787" width="7.7109375" style="13" customWidth="1"/>
    <col min="788" max="788" width="9.140625" style="13"/>
    <col min="789" max="789" width="10.85546875" style="13" customWidth="1"/>
    <col min="790" max="790" width="9.7109375" style="13" customWidth="1"/>
    <col min="791" max="791" width="8.85546875" style="13" customWidth="1"/>
    <col min="792" max="792" width="10.7109375" style="13" customWidth="1"/>
    <col min="793" max="793" width="16" style="13" customWidth="1"/>
    <col min="794" max="794" width="8.7109375" style="13" customWidth="1"/>
    <col min="795" max="795" width="6.5703125" style="13" bestFit="1" customWidth="1"/>
    <col min="796" max="796" width="8.7109375" style="13" customWidth="1"/>
    <col min="797" max="797" width="16" style="13" customWidth="1"/>
    <col min="798" max="798" width="15" style="13" customWidth="1"/>
    <col min="799" max="799" width="9.42578125" style="13" customWidth="1"/>
    <col min="800" max="1024" width="9.140625" style="13"/>
    <col min="1025" max="1025" width="12.28515625" style="13" customWidth="1"/>
    <col min="1026" max="1026" width="2.42578125" style="13" customWidth="1"/>
    <col min="1027" max="1027" width="3.42578125" style="13" customWidth="1"/>
    <col min="1028" max="1028" width="13.28515625" style="13" customWidth="1"/>
    <col min="1029" max="1029" width="3.140625" style="13" customWidth="1"/>
    <col min="1030" max="1030" width="5.140625" style="13" customWidth="1"/>
    <col min="1031" max="1031" width="16.42578125" style="13" customWidth="1"/>
    <col min="1032" max="1038" width="0" style="13" hidden="1" customWidth="1"/>
    <col min="1039" max="1039" width="4.140625" style="13" customWidth="1"/>
    <col min="1040" max="1040" width="5.7109375" style="13" customWidth="1"/>
    <col min="1041" max="1041" width="0" style="13" hidden="1" customWidth="1"/>
    <col min="1042" max="1042" width="15.7109375" style="13" customWidth="1"/>
    <col min="1043" max="1043" width="7.7109375" style="13" customWidth="1"/>
    <col min="1044" max="1044" width="9.140625" style="13"/>
    <col min="1045" max="1045" width="10.85546875" style="13" customWidth="1"/>
    <col min="1046" max="1046" width="9.7109375" style="13" customWidth="1"/>
    <col min="1047" max="1047" width="8.85546875" style="13" customWidth="1"/>
    <col min="1048" max="1048" width="10.7109375" style="13" customWidth="1"/>
    <col min="1049" max="1049" width="16" style="13" customWidth="1"/>
    <col min="1050" max="1050" width="8.7109375" style="13" customWidth="1"/>
    <col min="1051" max="1051" width="6.5703125" style="13" bestFit="1" customWidth="1"/>
    <col min="1052" max="1052" width="8.7109375" style="13" customWidth="1"/>
    <col min="1053" max="1053" width="16" style="13" customWidth="1"/>
    <col min="1054" max="1054" width="15" style="13" customWidth="1"/>
    <col min="1055" max="1055" width="9.42578125" style="13" customWidth="1"/>
    <col min="1056" max="1280" width="9.140625" style="13"/>
    <col min="1281" max="1281" width="12.28515625" style="13" customWidth="1"/>
    <col min="1282" max="1282" width="2.42578125" style="13" customWidth="1"/>
    <col min="1283" max="1283" width="3.42578125" style="13" customWidth="1"/>
    <col min="1284" max="1284" width="13.28515625" style="13" customWidth="1"/>
    <col min="1285" max="1285" width="3.140625" style="13" customWidth="1"/>
    <col min="1286" max="1286" width="5.140625" style="13" customWidth="1"/>
    <col min="1287" max="1287" width="16.42578125" style="13" customWidth="1"/>
    <col min="1288" max="1294" width="0" style="13" hidden="1" customWidth="1"/>
    <col min="1295" max="1295" width="4.140625" style="13" customWidth="1"/>
    <col min="1296" max="1296" width="5.7109375" style="13" customWidth="1"/>
    <col min="1297" max="1297" width="0" style="13" hidden="1" customWidth="1"/>
    <col min="1298" max="1298" width="15.7109375" style="13" customWidth="1"/>
    <col min="1299" max="1299" width="7.7109375" style="13" customWidth="1"/>
    <col min="1300" max="1300" width="9.140625" style="13"/>
    <col min="1301" max="1301" width="10.85546875" style="13" customWidth="1"/>
    <col min="1302" max="1302" width="9.7109375" style="13" customWidth="1"/>
    <col min="1303" max="1303" width="8.85546875" style="13" customWidth="1"/>
    <col min="1304" max="1304" width="10.7109375" style="13" customWidth="1"/>
    <col min="1305" max="1305" width="16" style="13" customWidth="1"/>
    <col min="1306" max="1306" width="8.7109375" style="13" customWidth="1"/>
    <col min="1307" max="1307" width="6.5703125" style="13" bestFit="1" customWidth="1"/>
    <col min="1308" max="1308" width="8.7109375" style="13" customWidth="1"/>
    <col min="1309" max="1309" width="16" style="13" customWidth="1"/>
    <col min="1310" max="1310" width="15" style="13" customWidth="1"/>
    <col min="1311" max="1311" width="9.42578125" style="13" customWidth="1"/>
    <col min="1312" max="1536" width="9.140625" style="13"/>
    <col min="1537" max="1537" width="12.28515625" style="13" customWidth="1"/>
    <col min="1538" max="1538" width="2.42578125" style="13" customWidth="1"/>
    <col min="1539" max="1539" width="3.42578125" style="13" customWidth="1"/>
    <col min="1540" max="1540" width="13.28515625" style="13" customWidth="1"/>
    <col min="1541" max="1541" width="3.140625" style="13" customWidth="1"/>
    <col min="1542" max="1542" width="5.140625" style="13" customWidth="1"/>
    <col min="1543" max="1543" width="16.42578125" style="13" customWidth="1"/>
    <col min="1544" max="1550" width="0" style="13" hidden="1" customWidth="1"/>
    <col min="1551" max="1551" width="4.140625" style="13" customWidth="1"/>
    <col min="1552" max="1552" width="5.7109375" style="13" customWidth="1"/>
    <col min="1553" max="1553" width="0" style="13" hidden="1" customWidth="1"/>
    <col min="1554" max="1554" width="15.7109375" style="13" customWidth="1"/>
    <col min="1555" max="1555" width="7.7109375" style="13" customWidth="1"/>
    <col min="1556" max="1556" width="9.140625" style="13"/>
    <col min="1557" max="1557" width="10.85546875" style="13" customWidth="1"/>
    <col min="1558" max="1558" width="9.7109375" style="13" customWidth="1"/>
    <col min="1559" max="1559" width="8.85546875" style="13" customWidth="1"/>
    <col min="1560" max="1560" width="10.7109375" style="13" customWidth="1"/>
    <col min="1561" max="1561" width="16" style="13" customWidth="1"/>
    <col min="1562" max="1562" width="8.7109375" style="13" customWidth="1"/>
    <col min="1563" max="1563" width="6.5703125" style="13" bestFit="1" customWidth="1"/>
    <col min="1564" max="1564" width="8.7109375" style="13" customWidth="1"/>
    <col min="1565" max="1565" width="16" style="13" customWidth="1"/>
    <col min="1566" max="1566" width="15" style="13" customWidth="1"/>
    <col min="1567" max="1567" width="9.42578125" style="13" customWidth="1"/>
    <col min="1568" max="1792" width="9.140625" style="13"/>
    <col min="1793" max="1793" width="12.28515625" style="13" customWidth="1"/>
    <col min="1794" max="1794" width="2.42578125" style="13" customWidth="1"/>
    <col min="1795" max="1795" width="3.42578125" style="13" customWidth="1"/>
    <col min="1796" max="1796" width="13.28515625" style="13" customWidth="1"/>
    <col min="1797" max="1797" width="3.140625" style="13" customWidth="1"/>
    <col min="1798" max="1798" width="5.140625" style="13" customWidth="1"/>
    <col min="1799" max="1799" width="16.42578125" style="13" customWidth="1"/>
    <col min="1800" max="1806" width="0" style="13" hidden="1" customWidth="1"/>
    <col min="1807" max="1807" width="4.140625" style="13" customWidth="1"/>
    <col min="1808" max="1808" width="5.7109375" style="13" customWidth="1"/>
    <col min="1809" max="1809" width="0" style="13" hidden="1" customWidth="1"/>
    <col min="1810" max="1810" width="15.7109375" style="13" customWidth="1"/>
    <col min="1811" max="1811" width="7.7109375" style="13" customWidth="1"/>
    <col min="1812" max="1812" width="9.140625" style="13"/>
    <col min="1813" max="1813" width="10.85546875" style="13" customWidth="1"/>
    <col min="1814" max="1814" width="9.7109375" style="13" customWidth="1"/>
    <col min="1815" max="1815" width="8.85546875" style="13" customWidth="1"/>
    <col min="1816" max="1816" width="10.7109375" style="13" customWidth="1"/>
    <col min="1817" max="1817" width="16" style="13" customWidth="1"/>
    <col min="1818" max="1818" width="8.7109375" style="13" customWidth="1"/>
    <col min="1819" max="1819" width="6.5703125" style="13" bestFit="1" customWidth="1"/>
    <col min="1820" max="1820" width="8.7109375" style="13" customWidth="1"/>
    <col min="1821" max="1821" width="16" style="13" customWidth="1"/>
    <col min="1822" max="1822" width="15" style="13" customWidth="1"/>
    <col min="1823" max="1823" width="9.42578125" style="13" customWidth="1"/>
    <col min="1824" max="2048" width="9.140625" style="13"/>
    <col min="2049" max="2049" width="12.28515625" style="13" customWidth="1"/>
    <col min="2050" max="2050" width="2.42578125" style="13" customWidth="1"/>
    <col min="2051" max="2051" width="3.42578125" style="13" customWidth="1"/>
    <col min="2052" max="2052" width="13.28515625" style="13" customWidth="1"/>
    <col min="2053" max="2053" width="3.140625" style="13" customWidth="1"/>
    <col min="2054" max="2054" width="5.140625" style="13" customWidth="1"/>
    <col min="2055" max="2055" width="16.42578125" style="13" customWidth="1"/>
    <col min="2056" max="2062" width="0" style="13" hidden="1" customWidth="1"/>
    <col min="2063" max="2063" width="4.140625" style="13" customWidth="1"/>
    <col min="2064" max="2064" width="5.7109375" style="13" customWidth="1"/>
    <col min="2065" max="2065" width="0" style="13" hidden="1" customWidth="1"/>
    <col min="2066" max="2066" width="15.7109375" style="13" customWidth="1"/>
    <col min="2067" max="2067" width="7.7109375" style="13" customWidth="1"/>
    <col min="2068" max="2068" width="9.140625" style="13"/>
    <col min="2069" max="2069" width="10.85546875" style="13" customWidth="1"/>
    <col min="2070" max="2070" width="9.7109375" style="13" customWidth="1"/>
    <col min="2071" max="2071" width="8.85546875" style="13" customWidth="1"/>
    <col min="2072" max="2072" width="10.7109375" style="13" customWidth="1"/>
    <col min="2073" max="2073" width="16" style="13" customWidth="1"/>
    <col min="2074" max="2074" width="8.7109375" style="13" customWidth="1"/>
    <col min="2075" max="2075" width="6.5703125" style="13" bestFit="1" customWidth="1"/>
    <col min="2076" max="2076" width="8.7109375" style="13" customWidth="1"/>
    <col min="2077" max="2077" width="16" style="13" customWidth="1"/>
    <col min="2078" max="2078" width="15" style="13" customWidth="1"/>
    <col min="2079" max="2079" width="9.42578125" style="13" customWidth="1"/>
    <col min="2080" max="2304" width="9.140625" style="13"/>
    <col min="2305" max="2305" width="12.28515625" style="13" customWidth="1"/>
    <col min="2306" max="2306" width="2.42578125" style="13" customWidth="1"/>
    <col min="2307" max="2307" width="3.42578125" style="13" customWidth="1"/>
    <col min="2308" max="2308" width="13.28515625" style="13" customWidth="1"/>
    <col min="2309" max="2309" width="3.140625" style="13" customWidth="1"/>
    <col min="2310" max="2310" width="5.140625" style="13" customWidth="1"/>
    <col min="2311" max="2311" width="16.42578125" style="13" customWidth="1"/>
    <col min="2312" max="2318" width="0" style="13" hidden="1" customWidth="1"/>
    <col min="2319" max="2319" width="4.140625" style="13" customWidth="1"/>
    <col min="2320" max="2320" width="5.7109375" style="13" customWidth="1"/>
    <col min="2321" max="2321" width="0" style="13" hidden="1" customWidth="1"/>
    <col min="2322" max="2322" width="15.7109375" style="13" customWidth="1"/>
    <col min="2323" max="2323" width="7.7109375" style="13" customWidth="1"/>
    <col min="2324" max="2324" width="9.140625" style="13"/>
    <col min="2325" max="2325" width="10.85546875" style="13" customWidth="1"/>
    <col min="2326" max="2326" width="9.7109375" style="13" customWidth="1"/>
    <col min="2327" max="2327" width="8.85546875" style="13" customWidth="1"/>
    <col min="2328" max="2328" width="10.7109375" style="13" customWidth="1"/>
    <col min="2329" max="2329" width="16" style="13" customWidth="1"/>
    <col min="2330" max="2330" width="8.7109375" style="13" customWidth="1"/>
    <col min="2331" max="2331" width="6.5703125" style="13" bestFit="1" customWidth="1"/>
    <col min="2332" max="2332" width="8.7109375" style="13" customWidth="1"/>
    <col min="2333" max="2333" width="16" style="13" customWidth="1"/>
    <col min="2334" max="2334" width="15" style="13" customWidth="1"/>
    <col min="2335" max="2335" width="9.42578125" style="13" customWidth="1"/>
    <col min="2336" max="2560" width="9.140625" style="13"/>
    <col min="2561" max="2561" width="12.28515625" style="13" customWidth="1"/>
    <col min="2562" max="2562" width="2.42578125" style="13" customWidth="1"/>
    <col min="2563" max="2563" width="3.42578125" style="13" customWidth="1"/>
    <col min="2564" max="2564" width="13.28515625" style="13" customWidth="1"/>
    <col min="2565" max="2565" width="3.140625" style="13" customWidth="1"/>
    <col min="2566" max="2566" width="5.140625" style="13" customWidth="1"/>
    <col min="2567" max="2567" width="16.42578125" style="13" customWidth="1"/>
    <col min="2568" max="2574" width="0" style="13" hidden="1" customWidth="1"/>
    <col min="2575" max="2575" width="4.140625" style="13" customWidth="1"/>
    <col min="2576" max="2576" width="5.7109375" style="13" customWidth="1"/>
    <col min="2577" max="2577" width="0" style="13" hidden="1" customWidth="1"/>
    <col min="2578" max="2578" width="15.7109375" style="13" customWidth="1"/>
    <col min="2579" max="2579" width="7.7109375" style="13" customWidth="1"/>
    <col min="2580" max="2580" width="9.140625" style="13"/>
    <col min="2581" max="2581" width="10.85546875" style="13" customWidth="1"/>
    <col min="2582" max="2582" width="9.7109375" style="13" customWidth="1"/>
    <col min="2583" max="2583" width="8.85546875" style="13" customWidth="1"/>
    <col min="2584" max="2584" width="10.7109375" style="13" customWidth="1"/>
    <col min="2585" max="2585" width="16" style="13" customWidth="1"/>
    <col min="2586" max="2586" width="8.7109375" style="13" customWidth="1"/>
    <col min="2587" max="2587" width="6.5703125" style="13" bestFit="1" customWidth="1"/>
    <col min="2588" max="2588" width="8.7109375" style="13" customWidth="1"/>
    <col min="2589" max="2589" width="16" style="13" customWidth="1"/>
    <col min="2590" max="2590" width="15" style="13" customWidth="1"/>
    <col min="2591" max="2591" width="9.42578125" style="13" customWidth="1"/>
    <col min="2592" max="2816" width="9.140625" style="13"/>
    <col min="2817" max="2817" width="12.28515625" style="13" customWidth="1"/>
    <col min="2818" max="2818" width="2.42578125" style="13" customWidth="1"/>
    <col min="2819" max="2819" width="3.42578125" style="13" customWidth="1"/>
    <col min="2820" max="2820" width="13.28515625" style="13" customWidth="1"/>
    <col min="2821" max="2821" width="3.140625" style="13" customWidth="1"/>
    <col min="2822" max="2822" width="5.140625" style="13" customWidth="1"/>
    <col min="2823" max="2823" width="16.42578125" style="13" customWidth="1"/>
    <col min="2824" max="2830" width="0" style="13" hidden="1" customWidth="1"/>
    <col min="2831" max="2831" width="4.140625" style="13" customWidth="1"/>
    <col min="2832" max="2832" width="5.7109375" style="13" customWidth="1"/>
    <col min="2833" max="2833" width="0" style="13" hidden="1" customWidth="1"/>
    <col min="2834" max="2834" width="15.7109375" style="13" customWidth="1"/>
    <col min="2835" max="2835" width="7.7109375" style="13" customWidth="1"/>
    <col min="2836" max="2836" width="9.140625" style="13"/>
    <col min="2837" max="2837" width="10.85546875" style="13" customWidth="1"/>
    <col min="2838" max="2838" width="9.7109375" style="13" customWidth="1"/>
    <col min="2839" max="2839" width="8.85546875" style="13" customWidth="1"/>
    <col min="2840" max="2840" width="10.7109375" style="13" customWidth="1"/>
    <col min="2841" max="2841" width="16" style="13" customWidth="1"/>
    <col min="2842" max="2842" width="8.7109375" style="13" customWidth="1"/>
    <col min="2843" max="2843" width="6.5703125" style="13" bestFit="1" customWidth="1"/>
    <col min="2844" max="2844" width="8.7109375" style="13" customWidth="1"/>
    <col min="2845" max="2845" width="16" style="13" customWidth="1"/>
    <col min="2846" max="2846" width="15" style="13" customWidth="1"/>
    <col min="2847" max="2847" width="9.42578125" style="13" customWidth="1"/>
    <col min="2848" max="3072" width="9.140625" style="13"/>
    <col min="3073" max="3073" width="12.28515625" style="13" customWidth="1"/>
    <col min="3074" max="3074" width="2.42578125" style="13" customWidth="1"/>
    <col min="3075" max="3075" width="3.42578125" style="13" customWidth="1"/>
    <col min="3076" max="3076" width="13.28515625" style="13" customWidth="1"/>
    <col min="3077" max="3077" width="3.140625" style="13" customWidth="1"/>
    <col min="3078" max="3078" width="5.140625" style="13" customWidth="1"/>
    <col min="3079" max="3079" width="16.42578125" style="13" customWidth="1"/>
    <col min="3080" max="3086" width="0" style="13" hidden="1" customWidth="1"/>
    <col min="3087" max="3087" width="4.140625" style="13" customWidth="1"/>
    <col min="3088" max="3088" width="5.7109375" style="13" customWidth="1"/>
    <col min="3089" max="3089" width="0" style="13" hidden="1" customWidth="1"/>
    <col min="3090" max="3090" width="15.7109375" style="13" customWidth="1"/>
    <col min="3091" max="3091" width="7.7109375" style="13" customWidth="1"/>
    <col min="3092" max="3092" width="9.140625" style="13"/>
    <col min="3093" max="3093" width="10.85546875" style="13" customWidth="1"/>
    <col min="3094" max="3094" width="9.7109375" style="13" customWidth="1"/>
    <col min="3095" max="3095" width="8.85546875" style="13" customWidth="1"/>
    <col min="3096" max="3096" width="10.7109375" style="13" customWidth="1"/>
    <col min="3097" max="3097" width="16" style="13" customWidth="1"/>
    <col min="3098" max="3098" width="8.7109375" style="13" customWidth="1"/>
    <col min="3099" max="3099" width="6.5703125" style="13" bestFit="1" customWidth="1"/>
    <col min="3100" max="3100" width="8.7109375" style="13" customWidth="1"/>
    <col min="3101" max="3101" width="16" style="13" customWidth="1"/>
    <col min="3102" max="3102" width="15" style="13" customWidth="1"/>
    <col min="3103" max="3103" width="9.42578125" style="13" customWidth="1"/>
    <col min="3104" max="3328" width="9.140625" style="13"/>
    <col min="3329" max="3329" width="12.28515625" style="13" customWidth="1"/>
    <col min="3330" max="3330" width="2.42578125" style="13" customWidth="1"/>
    <col min="3331" max="3331" width="3.42578125" style="13" customWidth="1"/>
    <col min="3332" max="3332" width="13.28515625" style="13" customWidth="1"/>
    <col min="3333" max="3333" width="3.140625" style="13" customWidth="1"/>
    <col min="3334" max="3334" width="5.140625" style="13" customWidth="1"/>
    <col min="3335" max="3335" width="16.42578125" style="13" customWidth="1"/>
    <col min="3336" max="3342" width="0" style="13" hidden="1" customWidth="1"/>
    <col min="3343" max="3343" width="4.140625" style="13" customWidth="1"/>
    <col min="3344" max="3344" width="5.7109375" style="13" customWidth="1"/>
    <col min="3345" max="3345" width="0" style="13" hidden="1" customWidth="1"/>
    <col min="3346" max="3346" width="15.7109375" style="13" customWidth="1"/>
    <col min="3347" max="3347" width="7.7109375" style="13" customWidth="1"/>
    <col min="3348" max="3348" width="9.140625" style="13"/>
    <col min="3349" max="3349" width="10.85546875" style="13" customWidth="1"/>
    <col min="3350" max="3350" width="9.7109375" style="13" customWidth="1"/>
    <col min="3351" max="3351" width="8.85546875" style="13" customWidth="1"/>
    <col min="3352" max="3352" width="10.7109375" style="13" customWidth="1"/>
    <col min="3353" max="3353" width="16" style="13" customWidth="1"/>
    <col min="3354" max="3354" width="8.7109375" style="13" customWidth="1"/>
    <col min="3355" max="3355" width="6.5703125" style="13" bestFit="1" customWidth="1"/>
    <col min="3356" max="3356" width="8.7109375" style="13" customWidth="1"/>
    <col min="3357" max="3357" width="16" style="13" customWidth="1"/>
    <col min="3358" max="3358" width="15" style="13" customWidth="1"/>
    <col min="3359" max="3359" width="9.42578125" style="13" customWidth="1"/>
    <col min="3360" max="3584" width="9.140625" style="13"/>
    <col min="3585" max="3585" width="12.28515625" style="13" customWidth="1"/>
    <col min="3586" max="3586" width="2.42578125" style="13" customWidth="1"/>
    <col min="3587" max="3587" width="3.42578125" style="13" customWidth="1"/>
    <col min="3588" max="3588" width="13.28515625" style="13" customWidth="1"/>
    <col min="3589" max="3589" width="3.140625" style="13" customWidth="1"/>
    <col min="3590" max="3590" width="5.140625" style="13" customWidth="1"/>
    <col min="3591" max="3591" width="16.42578125" style="13" customWidth="1"/>
    <col min="3592" max="3598" width="0" style="13" hidden="1" customWidth="1"/>
    <col min="3599" max="3599" width="4.140625" style="13" customWidth="1"/>
    <col min="3600" max="3600" width="5.7109375" style="13" customWidth="1"/>
    <col min="3601" max="3601" width="0" style="13" hidden="1" customWidth="1"/>
    <col min="3602" max="3602" width="15.7109375" style="13" customWidth="1"/>
    <col min="3603" max="3603" width="7.7109375" style="13" customWidth="1"/>
    <col min="3604" max="3604" width="9.140625" style="13"/>
    <col min="3605" max="3605" width="10.85546875" style="13" customWidth="1"/>
    <col min="3606" max="3606" width="9.7109375" style="13" customWidth="1"/>
    <col min="3607" max="3607" width="8.85546875" style="13" customWidth="1"/>
    <col min="3608" max="3608" width="10.7109375" style="13" customWidth="1"/>
    <col min="3609" max="3609" width="16" style="13" customWidth="1"/>
    <col min="3610" max="3610" width="8.7109375" style="13" customWidth="1"/>
    <col min="3611" max="3611" width="6.5703125" style="13" bestFit="1" customWidth="1"/>
    <col min="3612" max="3612" width="8.7109375" style="13" customWidth="1"/>
    <col min="3613" max="3613" width="16" style="13" customWidth="1"/>
    <col min="3614" max="3614" width="15" style="13" customWidth="1"/>
    <col min="3615" max="3615" width="9.42578125" style="13" customWidth="1"/>
    <col min="3616" max="3840" width="9.140625" style="13"/>
    <col min="3841" max="3841" width="12.28515625" style="13" customWidth="1"/>
    <col min="3842" max="3842" width="2.42578125" style="13" customWidth="1"/>
    <col min="3843" max="3843" width="3.42578125" style="13" customWidth="1"/>
    <col min="3844" max="3844" width="13.28515625" style="13" customWidth="1"/>
    <col min="3845" max="3845" width="3.140625" style="13" customWidth="1"/>
    <col min="3846" max="3846" width="5.140625" style="13" customWidth="1"/>
    <col min="3847" max="3847" width="16.42578125" style="13" customWidth="1"/>
    <col min="3848" max="3854" width="0" style="13" hidden="1" customWidth="1"/>
    <col min="3855" max="3855" width="4.140625" style="13" customWidth="1"/>
    <col min="3856" max="3856" width="5.7109375" style="13" customWidth="1"/>
    <col min="3857" max="3857" width="0" style="13" hidden="1" customWidth="1"/>
    <col min="3858" max="3858" width="15.7109375" style="13" customWidth="1"/>
    <col min="3859" max="3859" width="7.7109375" style="13" customWidth="1"/>
    <col min="3860" max="3860" width="9.140625" style="13"/>
    <col min="3861" max="3861" width="10.85546875" style="13" customWidth="1"/>
    <col min="3862" max="3862" width="9.7109375" style="13" customWidth="1"/>
    <col min="3863" max="3863" width="8.85546875" style="13" customWidth="1"/>
    <col min="3864" max="3864" width="10.7109375" style="13" customWidth="1"/>
    <col min="3865" max="3865" width="16" style="13" customWidth="1"/>
    <col min="3866" max="3866" width="8.7109375" style="13" customWidth="1"/>
    <col min="3867" max="3867" width="6.5703125" style="13" bestFit="1" customWidth="1"/>
    <col min="3868" max="3868" width="8.7109375" style="13" customWidth="1"/>
    <col min="3869" max="3869" width="16" style="13" customWidth="1"/>
    <col min="3870" max="3870" width="15" style="13" customWidth="1"/>
    <col min="3871" max="3871" width="9.42578125" style="13" customWidth="1"/>
    <col min="3872" max="4096" width="9.140625" style="13"/>
    <col min="4097" max="4097" width="12.28515625" style="13" customWidth="1"/>
    <col min="4098" max="4098" width="2.42578125" style="13" customWidth="1"/>
    <col min="4099" max="4099" width="3.42578125" style="13" customWidth="1"/>
    <col min="4100" max="4100" width="13.28515625" style="13" customWidth="1"/>
    <col min="4101" max="4101" width="3.140625" style="13" customWidth="1"/>
    <col min="4102" max="4102" width="5.140625" style="13" customWidth="1"/>
    <col min="4103" max="4103" width="16.42578125" style="13" customWidth="1"/>
    <col min="4104" max="4110" width="0" style="13" hidden="1" customWidth="1"/>
    <col min="4111" max="4111" width="4.140625" style="13" customWidth="1"/>
    <col min="4112" max="4112" width="5.7109375" style="13" customWidth="1"/>
    <col min="4113" max="4113" width="0" style="13" hidden="1" customWidth="1"/>
    <col min="4114" max="4114" width="15.7109375" style="13" customWidth="1"/>
    <col min="4115" max="4115" width="7.7109375" style="13" customWidth="1"/>
    <col min="4116" max="4116" width="9.140625" style="13"/>
    <col min="4117" max="4117" width="10.85546875" style="13" customWidth="1"/>
    <col min="4118" max="4118" width="9.7109375" style="13" customWidth="1"/>
    <col min="4119" max="4119" width="8.85546875" style="13" customWidth="1"/>
    <col min="4120" max="4120" width="10.7109375" style="13" customWidth="1"/>
    <col min="4121" max="4121" width="16" style="13" customWidth="1"/>
    <col min="4122" max="4122" width="8.7109375" style="13" customWidth="1"/>
    <col min="4123" max="4123" width="6.5703125" style="13" bestFit="1" customWidth="1"/>
    <col min="4124" max="4124" width="8.7109375" style="13" customWidth="1"/>
    <col min="4125" max="4125" width="16" style="13" customWidth="1"/>
    <col min="4126" max="4126" width="15" style="13" customWidth="1"/>
    <col min="4127" max="4127" width="9.42578125" style="13" customWidth="1"/>
    <col min="4128" max="4352" width="9.140625" style="13"/>
    <col min="4353" max="4353" width="12.28515625" style="13" customWidth="1"/>
    <col min="4354" max="4354" width="2.42578125" style="13" customWidth="1"/>
    <col min="4355" max="4355" width="3.42578125" style="13" customWidth="1"/>
    <col min="4356" max="4356" width="13.28515625" style="13" customWidth="1"/>
    <col min="4357" max="4357" width="3.140625" style="13" customWidth="1"/>
    <col min="4358" max="4358" width="5.140625" style="13" customWidth="1"/>
    <col min="4359" max="4359" width="16.42578125" style="13" customWidth="1"/>
    <col min="4360" max="4366" width="0" style="13" hidden="1" customWidth="1"/>
    <col min="4367" max="4367" width="4.140625" style="13" customWidth="1"/>
    <col min="4368" max="4368" width="5.7109375" style="13" customWidth="1"/>
    <col min="4369" max="4369" width="0" style="13" hidden="1" customWidth="1"/>
    <col min="4370" max="4370" width="15.7109375" style="13" customWidth="1"/>
    <col min="4371" max="4371" width="7.7109375" style="13" customWidth="1"/>
    <col min="4372" max="4372" width="9.140625" style="13"/>
    <col min="4373" max="4373" width="10.85546875" style="13" customWidth="1"/>
    <col min="4374" max="4374" width="9.7109375" style="13" customWidth="1"/>
    <col min="4375" max="4375" width="8.85546875" style="13" customWidth="1"/>
    <col min="4376" max="4376" width="10.7109375" style="13" customWidth="1"/>
    <col min="4377" max="4377" width="16" style="13" customWidth="1"/>
    <col min="4378" max="4378" width="8.7109375" style="13" customWidth="1"/>
    <col min="4379" max="4379" width="6.5703125" style="13" bestFit="1" customWidth="1"/>
    <col min="4380" max="4380" width="8.7109375" style="13" customWidth="1"/>
    <col min="4381" max="4381" width="16" style="13" customWidth="1"/>
    <col min="4382" max="4382" width="15" style="13" customWidth="1"/>
    <col min="4383" max="4383" width="9.42578125" style="13" customWidth="1"/>
    <col min="4384" max="4608" width="9.140625" style="13"/>
    <col min="4609" max="4609" width="12.28515625" style="13" customWidth="1"/>
    <col min="4610" max="4610" width="2.42578125" style="13" customWidth="1"/>
    <col min="4611" max="4611" width="3.42578125" style="13" customWidth="1"/>
    <col min="4612" max="4612" width="13.28515625" style="13" customWidth="1"/>
    <col min="4613" max="4613" width="3.140625" style="13" customWidth="1"/>
    <col min="4614" max="4614" width="5.140625" style="13" customWidth="1"/>
    <col min="4615" max="4615" width="16.42578125" style="13" customWidth="1"/>
    <col min="4616" max="4622" width="0" style="13" hidden="1" customWidth="1"/>
    <col min="4623" max="4623" width="4.140625" style="13" customWidth="1"/>
    <col min="4624" max="4624" width="5.7109375" style="13" customWidth="1"/>
    <col min="4625" max="4625" width="0" style="13" hidden="1" customWidth="1"/>
    <col min="4626" max="4626" width="15.7109375" style="13" customWidth="1"/>
    <col min="4627" max="4627" width="7.7109375" style="13" customWidth="1"/>
    <col min="4628" max="4628" width="9.140625" style="13"/>
    <col min="4629" max="4629" width="10.85546875" style="13" customWidth="1"/>
    <col min="4630" max="4630" width="9.7109375" style="13" customWidth="1"/>
    <col min="4631" max="4631" width="8.85546875" style="13" customWidth="1"/>
    <col min="4632" max="4632" width="10.7109375" style="13" customWidth="1"/>
    <col min="4633" max="4633" width="16" style="13" customWidth="1"/>
    <col min="4634" max="4634" width="8.7109375" style="13" customWidth="1"/>
    <col min="4635" max="4635" width="6.5703125" style="13" bestFit="1" customWidth="1"/>
    <col min="4636" max="4636" width="8.7109375" style="13" customWidth="1"/>
    <col min="4637" max="4637" width="16" style="13" customWidth="1"/>
    <col min="4638" max="4638" width="15" style="13" customWidth="1"/>
    <col min="4639" max="4639" width="9.42578125" style="13" customWidth="1"/>
    <col min="4640" max="4864" width="9.140625" style="13"/>
    <col min="4865" max="4865" width="12.28515625" style="13" customWidth="1"/>
    <col min="4866" max="4866" width="2.42578125" style="13" customWidth="1"/>
    <col min="4867" max="4867" width="3.42578125" style="13" customWidth="1"/>
    <col min="4868" max="4868" width="13.28515625" style="13" customWidth="1"/>
    <col min="4869" max="4869" width="3.140625" style="13" customWidth="1"/>
    <col min="4870" max="4870" width="5.140625" style="13" customWidth="1"/>
    <col min="4871" max="4871" width="16.42578125" style="13" customWidth="1"/>
    <col min="4872" max="4878" width="0" style="13" hidden="1" customWidth="1"/>
    <col min="4879" max="4879" width="4.140625" style="13" customWidth="1"/>
    <col min="4880" max="4880" width="5.7109375" style="13" customWidth="1"/>
    <col min="4881" max="4881" width="0" style="13" hidden="1" customWidth="1"/>
    <col min="4882" max="4882" width="15.7109375" style="13" customWidth="1"/>
    <col min="4883" max="4883" width="7.7109375" style="13" customWidth="1"/>
    <col min="4884" max="4884" width="9.140625" style="13"/>
    <col min="4885" max="4885" width="10.85546875" style="13" customWidth="1"/>
    <col min="4886" max="4886" width="9.7109375" style="13" customWidth="1"/>
    <col min="4887" max="4887" width="8.85546875" style="13" customWidth="1"/>
    <col min="4888" max="4888" width="10.7109375" style="13" customWidth="1"/>
    <col min="4889" max="4889" width="16" style="13" customWidth="1"/>
    <col min="4890" max="4890" width="8.7109375" style="13" customWidth="1"/>
    <col min="4891" max="4891" width="6.5703125" style="13" bestFit="1" customWidth="1"/>
    <col min="4892" max="4892" width="8.7109375" style="13" customWidth="1"/>
    <col min="4893" max="4893" width="16" style="13" customWidth="1"/>
    <col min="4894" max="4894" width="15" style="13" customWidth="1"/>
    <col min="4895" max="4895" width="9.42578125" style="13" customWidth="1"/>
    <col min="4896" max="5120" width="9.140625" style="13"/>
    <col min="5121" max="5121" width="12.28515625" style="13" customWidth="1"/>
    <col min="5122" max="5122" width="2.42578125" style="13" customWidth="1"/>
    <col min="5123" max="5123" width="3.42578125" style="13" customWidth="1"/>
    <col min="5124" max="5124" width="13.28515625" style="13" customWidth="1"/>
    <col min="5125" max="5125" width="3.140625" style="13" customWidth="1"/>
    <col min="5126" max="5126" width="5.140625" style="13" customWidth="1"/>
    <col min="5127" max="5127" width="16.42578125" style="13" customWidth="1"/>
    <col min="5128" max="5134" width="0" style="13" hidden="1" customWidth="1"/>
    <col min="5135" max="5135" width="4.140625" style="13" customWidth="1"/>
    <col min="5136" max="5136" width="5.7109375" style="13" customWidth="1"/>
    <col min="5137" max="5137" width="0" style="13" hidden="1" customWidth="1"/>
    <col min="5138" max="5138" width="15.7109375" style="13" customWidth="1"/>
    <col min="5139" max="5139" width="7.7109375" style="13" customWidth="1"/>
    <col min="5140" max="5140" width="9.140625" style="13"/>
    <col min="5141" max="5141" width="10.85546875" style="13" customWidth="1"/>
    <col min="5142" max="5142" width="9.7109375" style="13" customWidth="1"/>
    <col min="5143" max="5143" width="8.85546875" style="13" customWidth="1"/>
    <col min="5144" max="5144" width="10.7109375" style="13" customWidth="1"/>
    <col min="5145" max="5145" width="16" style="13" customWidth="1"/>
    <col min="5146" max="5146" width="8.7109375" style="13" customWidth="1"/>
    <col min="5147" max="5147" width="6.5703125" style="13" bestFit="1" customWidth="1"/>
    <col min="5148" max="5148" width="8.7109375" style="13" customWidth="1"/>
    <col min="5149" max="5149" width="16" style="13" customWidth="1"/>
    <col min="5150" max="5150" width="15" style="13" customWidth="1"/>
    <col min="5151" max="5151" width="9.42578125" style="13" customWidth="1"/>
    <col min="5152" max="5376" width="9.140625" style="13"/>
    <col min="5377" max="5377" width="12.28515625" style="13" customWidth="1"/>
    <col min="5378" max="5378" width="2.42578125" style="13" customWidth="1"/>
    <col min="5379" max="5379" width="3.42578125" style="13" customWidth="1"/>
    <col min="5380" max="5380" width="13.28515625" style="13" customWidth="1"/>
    <col min="5381" max="5381" width="3.140625" style="13" customWidth="1"/>
    <col min="5382" max="5382" width="5.140625" style="13" customWidth="1"/>
    <col min="5383" max="5383" width="16.42578125" style="13" customWidth="1"/>
    <col min="5384" max="5390" width="0" style="13" hidden="1" customWidth="1"/>
    <col min="5391" max="5391" width="4.140625" style="13" customWidth="1"/>
    <col min="5392" max="5392" width="5.7109375" style="13" customWidth="1"/>
    <col min="5393" max="5393" width="0" style="13" hidden="1" customWidth="1"/>
    <col min="5394" max="5394" width="15.7109375" style="13" customWidth="1"/>
    <col min="5395" max="5395" width="7.7109375" style="13" customWidth="1"/>
    <col min="5396" max="5396" width="9.140625" style="13"/>
    <col min="5397" max="5397" width="10.85546875" style="13" customWidth="1"/>
    <col min="5398" max="5398" width="9.7109375" style="13" customWidth="1"/>
    <col min="5399" max="5399" width="8.85546875" style="13" customWidth="1"/>
    <col min="5400" max="5400" width="10.7109375" style="13" customWidth="1"/>
    <col min="5401" max="5401" width="16" style="13" customWidth="1"/>
    <col min="5402" max="5402" width="8.7109375" style="13" customWidth="1"/>
    <col min="5403" max="5403" width="6.5703125" style="13" bestFit="1" customWidth="1"/>
    <col min="5404" max="5404" width="8.7109375" style="13" customWidth="1"/>
    <col min="5405" max="5405" width="16" style="13" customWidth="1"/>
    <col min="5406" max="5406" width="15" style="13" customWidth="1"/>
    <col min="5407" max="5407" width="9.42578125" style="13" customWidth="1"/>
    <col min="5408" max="5632" width="9.140625" style="13"/>
    <col min="5633" max="5633" width="12.28515625" style="13" customWidth="1"/>
    <col min="5634" max="5634" width="2.42578125" style="13" customWidth="1"/>
    <col min="5635" max="5635" width="3.42578125" style="13" customWidth="1"/>
    <col min="5636" max="5636" width="13.28515625" style="13" customWidth="1"/>
    <col min="5637" max="5637" width="3.140625" style="13" customWidth="1"/>
    <col min="5638" max="5638" width="5.140625" style="13" customWidth="1"/>
    <col min="5639" max="5639" width="16.42578125" style="13" customWidth="1"/>
    <col min="5640" max="5646" width="0" style="13" hidden="1" customWidth="1"/>
    <col min="5647" max="5647" width="4.140625" style="13" customWidth="1"/>
    <col min="5648" max="5648" width="5.7109375" style="13" customWidth="1"/>
    <col min="5649" max="5649" width="0" style="13" hidden="1" customWidth="1"/>
    <col min="5650" max="5650" width="15.7109375" style="13" customWidth="1"/>
    <col min="5651" max="5651" width="7.7109375" style="13" customWidth="1"/>
    <col min="5652" max="5652" width="9.140625" style="13"/>
    <col min="5653" max="5653" width="10.85546875" style="13" customWidth="1"/>
    <col min="5654" max="5654" width="9.7109375" style="13" customWidth="1"/>
    <col min="5655" max="5655" width="8.85546875" style="13" customWidth="1"/>
    <col min="5656" max="5656" width="10.7109375" style="13" customWidth="1"/>
    <col min="5657" max="5657" width="16" style="13" customWidth="1"/>
    <col min="5658" max="5658" width="8.7109375" style="13" customWidth="1"/>
    <col min="5659" max="5659" width="6.5703125" style="13" bestFit="1" customWidth="1"/>
    <col min="5660" max="5660" width="8.7109375" style="13" customWidth="1"/>
    <col min="5661" max="5661" width="16" style="13" customWidth="1"/>
    <col min="5662" max="5662" width="15" style="13" customWidth="1"/>
    <col min="5663" max="5663" width="9.42578125" style="13" customWidth="1"/>
    <col min="5664" max="5888" width="9.140625" style="13"/>
    <col min="5889" max="5889" width="12.28515625" style="13" customWidth="1"/>
    <col min="5890" max="5890" width="2.42578125" style="13" customWidth="1"/>
    <col min="5891" max="5891" width="3.42578125" style="13" customWidth="1"/>
    <col min="5892" max="5892" width="13.28515625" style="13" customWidth="1"/>
    <col min="5893" max="5893" width="3.140625" style="13" customWidth="1"/>
    <col min="5894" max="5894" width="5.140625" style="13" customWidth="1"/>
    <col min="5895" max="5895" width="16.42578125" style="13" customWidth="1"/>
    <col min="5896" max="5902" width="0" style="13" hidden="1" customWidth="1"/>
    <col min="5903" max="5903" width="4.140625" style="13" customWidth="1"/>
    <col min="5904" max="5904" width="5.7109375" style="13" customWidth="1"/>
    <col min="5905" max="5905" width="0" style="13" hidden="1" customWidth="1"/>
    <col min="5906" max="5906" width="15.7109375" style="13" customWidth="1"/>
    <col min="5907" max="5907" width="7.7109375" style="13" customWidth="1"/>
    <col min="5908" max="5908" width="9.140625" style="13"/>
    <col min="5909" max="5909" width="10.85546875" style="13" customWidth="1"/>
    <col min="5910" max="5910" width="9.7109375" style="13" customWidth="1"/>
    <col min="5911" max="5911" width="8.85546875" style="13" customWidth="1"/>
    <col min="5912" max="5912" width="10.7109375" style="13" customWidth="1"/>
    <col min="5913" max="5913" width="16" style="13" customWidth="1"/>
    <col min="5914" max="5914" width="8.7109375" style="13" customWidth="1"/>
    <col min="5915" max="5915" width="6.5703125" style="13" bestFit="1" customWidth="1"/>
    <col min="5916" max="5916" width="8.7109375" style="13" customWidth="1"/>
    <col min="5917" max="5917" width="16" style="13" customWidth="1"/>
    <col min="5918" max="5918" width="15" style="13" customWidth="1"/>
    <col min="5919" max="5919" width="9.42578125" style="13" customWidth="1"/>
    <col min="5920" max="6144" width="9.140625" style="13"/>
    <col min="6145" max="6145" width="12.28515625" style="13" customWidth="1"/>
    <col min="6146" max="6146" width="2.42578125" style="13" customWidth="1"/>
    <col min="6147" max="6147" width="3.42578125" style="13" customWidth="1"/>
    <col min="6148" max="6148" width="13.28515625" style="13" customWidth="1"/>
    <col min="6149" max="6149" width="3.140625" style="13" customWidth="1"/>
    <col min="6150" max="6150" width="5.140625" style="13" customWidth="1"/>
    <col min="6151" max="6151" width="16.42578125" style="13" customWidth="1"/>
    <col min="6152" max="6158" width="0" style="13" hidden="1" customWidth="1"/>
    <col min="6159" max="6159" width="4.140625" style="13" customWidth="1"/>
    <col min="6160" max="6160" width="5.7109375" style="13" customWidth="1"/>
    <col min="6161" max="6161" width="0" style="13" hidden="1" customWidth="1"/>
    <col min="6162" max="6162" width="15.7109375" style="13" customWidth="1"/>
    <col min="6163" max="6163" width="7.7109375" style="13" customWidth="1"/>
    <col min="6164" max="6164" width="9.140625" style="13"/>
    <col min="6165" max="6165" width="10.85546875" style="13" customWidth="1"/>
    <col min="6166" max="6166" width="9.7109375" style="13" customWidth="1"/>
    <col min="6167" max="6167" width="8.85546875" style="13" customWidth="1"/>
    <col min="6168" max="6168" width="10.7109375" style="13" customWidth="1"/>
    <col min="6169" max="6169" width="16" style="13" customWidth="1"/>
    <col min="6170" max="6170" width="8.7109375" style="13" customWidth="1"/>
    <col min="6171" max="6171" width="6.5703125" style="13" bestFit="1" customWidth="1"/>
    <col min="6172" max="6172" width="8.7109375" style="13" customWidth="1"/>
    <col min="6173" max="6173" width="16" style="13" customWidth="1"/>
    <col min="6174" max="6174" width="15" style="13" customWidth="1"/>
    <col min="6175" max="6175" width="9.42578125" style="13" customWidth="1"/>
    <col min="6176" max="6400" width="9.140625" style="13"/>
    <col min="6401" max="6401" width="12.28515625" style="13" customWidth="1"/>
    <col min="6402" max="6402" width="2.42578125" style="13" customWidth="1"/>
    <col min="6403" max="6403" width="3.42578125" style="13" customWidth="1"/>
    <col min="6404" max="6404" width="13.28515625" style="13" customWidth="1"/>
    <col min="6405" max="6405" width="3.140625" style="13" customWidth="1"/>
    <col min="6406" max="6406" width="5.140625" style="13" customWidth="1"/>
    <col min="6407" max="6407" width="16.42578125" style="13" customWidth="1"/>
    <col min="6408" max="6414" width="0" style="13" hidden="1" customWidth="1"/>
    <col min="6415" max="6415" width="4.140625" style="13" customWidth="1"/>
    <col min="6416" max="6416" width="5.7109375" style="13" customWidth="1"/>
    <col min="6417" max="6417" width="0" style="13" hidden="1" customWidth="1"/>
    <col min="6418" max="6418" width="15.7109375" style="13" customWidth="1"/>
    <col min="6419" max="6419" width="7.7109375" style="13" customWidth="1"/>
    <col min="6420" max="6420" width="9.140625" style="13"/>
    <col min="6421" max="6421" width="10.85546875" style="13" customWidth="1"/>
    <col min="6422" max="6422" width="9.7109375" style="13" customWidth="1"/>
    <col min="6423" max="6423" width="8.85546875" style="13" customWidth="1"/>
    <col min="6424" max="6424" width="10.7109375" style="13" customWidth="1"/>
    <col min="6425" max="6425" width="16" style="13" customWidth="1"/>
    <col min="6426" max="6426" width="8.7109375" style="13" customWidth="1"/>
    <col min="6427" max="6427" width="6.5703125" style="13" bestFit="1" customWidth="1"/>
    <col min="6428" max="6428" width="8.7109375" style="13" customWidth="1"/>
    <col min="6429" max="6429" width="16" style="13" customWidth="1"/>
    <col min="6430" max="6430" width="15" style="13" customWidth="1"/>
    <col min="6431" max="6431" width="9.42578125" style="13" customWidth="1"/>
    <col min="6432" max="6656" width="9.140625" style="13"/>
    <col min="6657" max="6657" width="12.28515625" style="13" customWidth="1"/>
    <col min="6658" max="6658" width="2.42578125" style="13" customWidth="1"/>
    <col min="6659" max="6659" width="3.42578125" style="13" customWidth="1"/>
    <col min="6660" max="6660" width="13.28515625" style="13" customWidth="1"/>
    <col min="6661" max="6661" width="3.140625" style="13" customWidth="1"/>
    <col min="6662" max="6662" width="5.140625" style="13" customWidth="1"/>
    <col min="6663" max="6663" width="16.42578125" style="13" customWidth="1"/>
    <col min="6664" max="6670" width="0" style="13" hidden="1" customWidth="1"/>
    <col min="6671" max="6671" width="4.140625" style="13" customWidth="1"/>
    <col min="6672" max="6672" width="5.7109375" style="13" customWidth="1"/>
    <col min="6673" max="6673" width="0" style="13" hidden="1" customWidth="1"/>
    <col min="6674" max="6674" width="15.7109375" style="13" customWidth="1"/>
    <col min="6675" max="6675" width="7.7109375" style="13" customWidth="1"/>
    <col min="6676" max="6676" width="9.140625" style="13"/>
    <col min="6677" max="6677" width="10.85546875" style="13" customWidth="1"/>
    <col min="6678" max="6678" width="9.7109375" style="13" customWidth="1"/>
    <col min="6679" max="6679" width="8.85546875" style="13" customWidth="1"/>
    <col min="6680" max="6680" width="10.7109375" style="13" customWidth="1"/>
    <col min="6681" max="6681" width="16" style="13" customWidth="1"/>
    <col min="6682" max="6682" width="8.7109375" style="13" customWidth="1"/>
    <col min="6683" max="6683" width="6.5703125" style="13" bestFit="1" customWidth="1"/>
    <col min="6684" max="6684" width="8.7109375" style="13" customWidth="1"/>
    <col min="6685" max="6685" width="16" style="13" customWidth="1"/>
    <col min="6686" max="6686" width="15" style="13" customWidth="1"/>
    <col min="6687" max="6687" width="9.42578125" style="13" customWidth="1"/>
    <col min="6688" max="6912" width="9.140625" style="13"/>
    <col min="6913" max="6913" width="12.28515625" style="13" customWidth="1"/>
    <col min="6914" max="6914" width="2.42578125" style="13" customWidth="1"/>
    <col min="6915" max="6915" width="3.42578125" style="13" customWidth="1"/>
    <col min="6916" max="6916" width="13.28515625" style="13" customWidth="1"/>
    <col min="6917" max="6917" width="3.140625" style="13" customWidth="1"/>
    <col min="6918" max="6918" width="5.140625" style="13" customWidth="1"/>
    <col min="6919" max="6919" width="16.42578125" style="13" customWidth="1"/>
    <col min="6920" max="6926" width="0" style="13" hidden="1" customWidth="1"/>
    <col min="6927" max="6927" width="4.140625" style="13" customWidth="1"/>
    <col min="6928" max="6928" width="5.7109375" style="13" customWidth="1"/>
    <col min="6929" max="6929" width="0" style="13" hidden="1" customWidth="1"/>
    <col min="6930" max="6930" width="15.7109375" style="13" customWidth="1"/>
    <col min="6931" max="6931" width="7.7109375" style="13" customWidth="1"/>
    <col min="6932" max="6932" width="9.140625" style="13"/>
    <col min="6933" max="6933" width="10.85546875" style="13" customWidth="1"/>
    <col min="6934" max="6934" width="9.7109375" style="13" customWidth="1"/>
    <col min="6935" max="6935" width="8.85546875" style="13" customWidth="1"/>
    <col min="6936" max="6936" width="10.7109375" style="13" customWidth="1"/>
    <col min="6937" max="6937" width="16" style="13" customWidth="1"/>
    <col min="6938" max="6938" width="8.7109375" style="13" customWidth="1"/>
    <col min="6939" max="6939" width="6.5703125" style="13" bestFit="1" customWidth="1"/>
    <col min="6940" max="6940" width="8.7109375" style="13" customWidth="1"/>
    <col min="6941" max="6941" width="16" style="13" customWidth="1"/>
    <col min="6942" max="6942" width="15" style="13" customWidth="1"/>
    <col min="6943" max="6943" width="9.42578125" style="13" customWidth="1"/>
    <col min="6944" max="7168" width="9.140625" style="13"/>
    <col min="7169" max="7169" width="12.28515625" style="13" customWidth="1"/>
    <col min="7170" max="7170" width="2.42578125" style="13" customWidth="1"/>
    <col min="7171" max="7171" width="3.42578125" style="13" customWidth="1"/>
    <col min="7172" max="7172" width="13.28515625" style="13" customWidth="1"/>
    <col min="7173" max="7173" width="3.140625" style="13" customWidth="1"/>
    <col min="7174" max="7174" width="5.140625" style="13" customWidth="1"/>
    <col min="7175" max="7175" width="16.42578125" style="13" customWidth="1"/>
    <col min="7176" max="7182" width="0" style="13" hidden="1" customWidth="1"/>
    <col min="7183" max="7183" width="4.140625" style="13" customWidth="1"/>
    <col min="7184" max="7184" width="5.7109375" style="13" customWidth="1"/>
    <col min="7185" max="7185" width="0" style="13" hidden="1" customWidth="1"/>
    <col min="7186" max="7186" width="15.7109375" style="13" customWidth="1"/>
    <col min="7187" max="7187" width="7.7109375" style="13" customWidth="1"/>
    <col min="7188" max="7188" width="9.140625" style="13"/>
    <col min="7189" max="7189" width="10.85546875" style="13" customWidth="1"/>
    <col min="7190" max="7190" width="9.7109375" style="13" customWidth="1"/>
    <col min="7191" max="7191" width="8.85546875" style="13" customWidth="1"/>
    <col min="7192" max="7192" width="10.7109375" style="13" customWidth="1"/>
    <col min="7193" max="7193" width="16" style="13" customWidth="1"/>
    <col min="7194" max="7194" width="8.7109375" style="13" customWidth="1"/>
    <col min="7195" max="7195" width="6.5703125" style="13" bestFit="1" customWidth="1"/>
    <col min="7196" max="7196" width="8.7109375" style="13" customWidth="1"/>
    <col min="7197" max="7197" width="16" style="13" customWidth="1"/>
    <col min="7198" max="7198" width="15" style="13" customWidth="1"/>
    <col min="7199" max="7199" width="9.42578125" style="13" customWidth="1"/>
    <col min="7200" max="7424" width="9.140625" style="13"/>
    <col min="7425" max="7425" width="12.28515625" style="13" customWidth="1"/>
    <col min="7426" max="7426" width="2.42578125" style="13" customWidth="1"/>
    <col min="7427" max="7427" width="3.42578125" style="13" customWidth="1"/>
    <col min="7428" max="7428" width="13.28515625" style="13" customWidth="1"/>
    <col min="7429" max="7429" width="3.140625" style="13" customWidth="1"/>
    <col min="7430" max="7430" width="5.140625" style="13" customWidth="1"/>
    <col min="7431" max="7431" width="16.42578125" style="13" customWidth="1"/>
    <col min="7432" max="7438" width="0" style="13" hidden="1" customWidth="1"/>
    <col min="7439" max="7439" width="4.140625" style="13" customWidth="1"/>
    <col min="7440" max="7440" width="5.7109375" style="13" customWidth="1"/>
    <col min="7441" max="7441" width="0" style="13" hidden="1" customWidth="1"/>
    <col min="7442" max="7442" width="15.7109375" style="13" customWidth="1"/>
    <col min="7443" max="7443" width="7.7109375" style="13" customWidth="1"/>
    <col min="7444" max="7444" width="9.140625" style="13"/>
    <col min="7445" max="7445" width="10.85546875" style="13" customWidth="1"/>
    <col min="7446" max="7446" width="9.7109375" style="13" customWidth="1"/>
    <col min="7447" max="7447" width="8.85546875" style="13" customWidth="1"/>
    <col min="7448" max="7448" width="10.7109375" style="13" customWidth="1"/>
    <col min="7449" max="7449" width="16" style="13" customWidth="1"/>
    <col min="7450" max="7450" width="8.7109375" style="13" customWidth="1"/>
    <col min="7451" max="7451" width="6.5703125" style="13" bestFit="1" customWidth="1"/>
    <col min="7452" max="7452" width="8.7109375" style="13" customWidth="1"/>
    <col min="7453" max="7453" width="16" style="13" customWidth="1"/>
    <col min="7454" max="7454" width="15" style="13" customWidth="1"/>
    <col min="7455" max="7455" width="9.42578125" style="13" customWidth="1"/>
    <col min="7456" max="7680" width="9.140625" style="13"/>
    <col min="7681" max="7681" width="12.28515625" style="13" customWidth="1"/>
    <col min="7682" max="7682" width="2.42578125" style="13" customWidth="1"/>
    <col min="7683" max="7683" width="3.42578125" style="13" customWidth="1"/>
    <col min="7684" max="7684" width="13.28515625" style="13" customWidth="1"/>
    <col min="7685" max="7685" width="3.140625" style="13" customWidth="1"/>
    <col min="7686" max="7686" width="5.140625" style="13" customWidth="1"/>
    <col min="7687" max="7687" width="16.42578125" style="13" customWidth="1"/>
    <col min="7688" max="7694" width="0" style="13" hidden="1" customWidth="1"/>
    <col min="7695" max="7695" width="4.140625" style="13" customWidth="1"/>
    <col min="7696" max="7696" width="5.7109375" style="13" customWidth="1"/>
    <col min="7697" max="7697" width="0" style="13" hidden="1" customWidth="1"/>
    <col min="7698" max="7698" width="15.7109375" style="13" customWidth="1"/>
    <col min="7699" max="7699" width="7.7109375" style="13" customWidth="1"/>
    <col min="7700" max="7700" width="9.140625" style="13"/>
    <col min="7701" max="7701" width="10.85546875" style="13" customWidth="1"/>
    <col min="7702" max="7702" width="9.7109375" style="13" customWidth="1"/>
    <col min="7703" max="7703" width="8.85546875" style="13" customWidth="1"/>
    <col min="7704" max="7704" width="10.7109375" style="13" customWidth="1"/>
    <col min="7705" max="7705" width="16" style="13" customWidth="1"/>
    <col min="7706" max="7706" width="8.7109375" style="13" customWidth="1"/>
    <col min="7707" max="7707" width="6.5703125" style="13" bestFit="1" customWidth="1"/>
    <col min="7708" max="7708" width="8.7109375" style="13" customWidth="1"/>
    <col min="7709" max="7709" width="16" style="13" customWidth="1"/>
    <col min="7710" max="7710" width="15" style="13" customWidth="1"/>
    <col min="7711" max="7711" width="9.42578125" style="13" customWidth="1"/>
    <col min="7712" max="7936" width="9.140625" style="13"/>
    <col min="7937" max="7937" width="12.28515625" style="13" customWidth="1"/>
    <col min="7938" max="7938" width="2.42578125" style="13" customWidth="1"/>
    <col min="7939" max="7939" width="3.42578125" style="13" customWidth="1"/>
    <col min="7940" max="7940" width="13.28515625" style="13" customWidth="1"/>
    <col min="7941" max="7941" width="3.140625" style="13" customWidth="1"/>
    <col min="7942" max="7942" width="5.140625" style="13" customWidth="1"/>
    <col min="7943" max="7943" width="16.42578125" style="13" customWidth="1"/>
    <col min="7944" max="7950" width="0" style="13" hidden="1" customWidth="1"/>
    <col min="7951" max="7951" width="4.140625" style="13" customWidth="1"/>
    <col min="7952" max="7952" width="5.7109375" style="13" customWidth="1"/>
    <col min="7953" max="7953" width="0" style="13" hidden="1" customWidth="1"/>
    <col min="7954" max="7954" width="15.7109375" style="13" customWidth="1"/>
    <col min="7955" max="7955" width="7.7109375" style="13" customWidth="1"/>
    <col min="7956" max="7956" width="9.140625" style="13"/>
    <col min="7957" max="7957" width="10.85546875" style="13" customWidth="1"/>
    <col min="7958" max="7958" width="9.7109375" style="13" customWidth="1"/>
    <col min="7959" max="7959" width="8.85546875" style="13" customWidth="1"/>
    <col min="7960" max="7960" width="10.7109375" style="13" customWidth="1"/>
    <col min="7961" max="7961" width="16" style="13" customWidth="1"/>
    <col min="7962" max="7962" width="8.7109375" style="13" customWidth="1"/>
    <col min="7963" max="7963" width="6.5703125" style="13" bestFit="1" customWidth="1"/>
    <col min="7964" max="7964" width="8.7109375" style="13" customWidth="1"/>
    <col min="7965" max="7965" width="16" style="13" customWidth="1"/>
    <col min="7966" max="7966" width="15" style="13" customWidth="1"/>
    <col min="7967" max="7967" width="9.42578125" style="13" customWidth="1"/>
    <col min="7968" max="8192" width="9.140625" style="13"/>
    <col min="8193" max="8193" width="12.28515625" style="13" customWidth="1"/>
    <col min="8194" max="8194" width="2.42578125" style="13" customWidth="1"/>
    <col min="8195" max="8195" width="3.42578125" style="13" customWidth="1"/>
    <col min="8196" max="8196" width="13.28515625" style="13" customWidth="1"/>
    <col min="8197" max="8197" width="3.140625" style="13" customWidth="1"/>
    <col min="8198" max="8198" width="5.140625" style="13" customWidth="1"/>
    <col min="8199" max="8199" width="16.42578125" style="13" customWidth="1"/>
    <col min="8200" max="8206" width="0" style="13" hidden="1" customWidth="1"/>
    <col min="8207" max="8207" width="4.140625" style="13" customWidth="1"/>
    <col min="8208" max="8208" width="5.7109375" style="13" customWidth="1"/>
    <col min="8209" max="8209" width="0" style="13" hidden="1" customWidth="1"/>
    <col min="8210" max="8210" width="15.7109375" style="13" customWidth="1"/>
    <col min="8211" max="8211" width="7.7109375" style="13" customWidth="1"/>
    <col min="8212" max="8212" width="9.140625" style="13"/>
    <col min="8213" max="8213" width="10.85546875" style="13" customWidth="1"/>
    <col min="8214" max="8214" width="9.7109375" style="13" customWidth="1"/>
    <col min="8215" max="8215" width="8.85546875" style="13" customWidth="1"/>
    <col min="8216" max="8216" width="10.7109375" style="13" customWidth="1"/>
    <col min="8217" max="8217" width="16" style="13" customWidth="1"/>
    <col min="8218" max="8218" width="8.7109375" style="13" customWidth="1"/>
    <col min="8219" max="8219" width="6.5703125" style="13" bestFit="1" customWidth="1"/>
    <col min="8220" max="8220" width="8.7109375" style="13" customWidth="1"/>
    <col min="8221" max="8221" width="16" style="13" customWidth="1"/>
    <col min="8222" max="8222" width="15" style="13" customWidth="1"/>
    <col min="8223" max="8223" width="9.42578125" style="13" customWidth="1"/>
    <col min="8224" max="8448" width="9.140625" style="13"/>
    <col min="8449" max="8449" width="12.28515625" style="13" customWidth="1"/>
    <col min="8450" max="8450" width="2.42578125" style="13" customWidth="1"/>
    <col min="8451" max="8451" width="3.42578125" style="13" customWidth="1"/>
    <col min="8452" max="8452" width="13.28515625" style="13" customWidth="1"/>
    <col min="8453" max="8453" width="3.140625" style="13" customWidth="1"/>
    <col min="8454" max="8454" width="5.140625" style="13" customWidth="1"/>
    <col min="8455" max="8455" width="16.42578125" style="13" customWidth="1"/>
    <col min="8456" max="8462" width="0" style="13" hidden="1" customWidth="1"/>
    <col min="8463" max="8463" width="4.140625" style="13" customWidth="1"/>
    <col min="8464" max="8464" width="5.7109375" style="13" customWidth="1"/>
    <col min="8465" max="8465" width="0" style="13" hidden="1" customWidth="1"/>
    <col min="8466" max="8466" width="15.7109375" style="13" customWidth="1"/>
    <col min="8467" max="8467" width="7.7109375" style="13" customWidth="1"/>
    <col min="8468" max="8468" width="9.140625" style="13"/>
    <col min="8469" max="8469" width="10.85546875" style="13" customWidth="1"/>
    <col min="8470" max="8470" width="9.7109375" style="13" customWidth="1"/>
    <col min="8471" max="8471" width="8.85546875" style="13" customWidth="1"/>
    <col min="8472" max="8472" width="10.7109375" style="13" customWidth="1"/>
    <col min="8473" max="8473" width="16" style="13" customWidth="1"/>
    <col min="8474" max="8474" width="8.7109375" style="13" customWidth="1"/>
    <col min="8475" max="8475" width="6.5703125" style="13" bestFit="1" customWidth="1"/>
    <col min="8476" max="8476" width="8.7109375" style="13" customWidth="1"/>
    <col min="8477" max="8477" width="16" style="13" customWidth="1"/>
    <col min="8478" max="8478" width="15" style="13" customWidth="1"/>
    <col min="8479" max="8479" width="9.42578125" style="13" customWidth="1"/>
    <col min="8480" max="8704" width="9.140625" style="13"/>
    <col min="8705" max="8705" width="12.28515625" style="13" customWidth="1"/>
    <col min="8706" max="8706" width="2.42578125" style="13" customWidth="1"/>
    <col min="8707" max="8707" width="3.42578125" style="13" customWidth="1"/>
    <col min="8708" max="8708" width="13.28515625" style="13" customWidth="1"/>
    <col min="8709" max="8709" width="3.140625" style="13" customWidth="1"/>
    <col min="8710" max="8710" width="5.140625" style="13" customWidth="1"/>
    <col min="8711" max="8711" width="16.42578125" style="13" customWidth="1"/>
    <col min="8712" max="8718" width="0" style="13" hidden="1" customWidth="1"/>
    <col min="8719" max="8719" width="4.140625" style="13" customWidth="1"/>
    <col min="8720" max="8720" width="5.7109375" style="13" customWidth="1"/>
    <col min="8721" max="8721" width="0" style="13" hidden="1" customWidth="1"/>
    <col min="8722" max="8722" width="15.7109375" style="13" customWidth="1"/>
    <col min="8723" max="8723" width="7.7109375" style="13" customWidth="1"/>
    <col min="8724" max="8724" width="9.140625" style="13"/>
    <col min="8725" max="8725" width="10.85546875" style="13" customWidth="1"/>
    <col min="8726" max="8726" width="9.7109375" style="13" customWidth="1"/>
    <col min="8727" max="8727" width="8.85546875" style="13" customWidth="1"/>
    <col min="8728" max="8728" width="10.7109375" style="13" customWidth="1"/>
    <col min="8729" max="8729" width="16" style="13" customWidth="1"/>
    <col min="8730" max="8730" width="8.7109375" style="13" customWidth="1"/>
    <col min="8731" max="8731" width="6.5703125" style="13" bestFit="1" customWidth="1"/>
    <col min="8732" max="8732" width="8.7109375" style="13" customWidth="1"/>
    <col min="8733" max="8733" width="16" style="13" customWidth="1"/>
    <col min="8734" max="8734" width="15" style="13" customWidth="1"/>
    <col min="8735" max="8735" width="9.42578125" style="13" customWidth="1"/>
    <col min="8736" max="8960" width="9.140625" style="13"/>
    <col min="8961" max="8961" width="12.28515625" style="13" customWidth="1"/>
    <col min="8962" max="8962" width="2.42578125" style="13" customWidth="1"/>
    <col min="8963" max="8963" width="3.42578125" style="13" customWidth="1"/>
    <col min="8964" max="8964" width="13.28515625" style="13" customWidth="1"/>
    <col min="8965" max="8965" width="3.140625" style="13" customWidth="1"/>
    <col min="8966" max="8966" width="5.140625" style="13" customWidth="1"/>
    <col min="8967" max="8967" width="16.42578125" style="13" customWidth="1"/>
    <col min="8968" max="8974" width="0" style="13" hidden="1" customWidth="1"/>
    <col min="8975" max="8975" width="4.140625" style="13" customWidth="1"/>
    <col min="8976" max="8976" width="5.7109375" style="13" customWidth="1"/>
    <col min="8977" max="8977" width="0" style="13" hidden="1" customWidth="1"/>
    <col min="8978" max="8978" width="15.7109375" style="13" customWidth="1"/>
    <col min="8979" max="8979" width="7.7109375" style="13" customWidth="1"/>
    <col min="8980" max="8980" width="9.140625" style="13"/>
    <col min="8981" max="8981" width="10.85546875" style="13" customWidth="1"/>
    <col min="8982" max="8982" width="9.7109375" style="13" customWidth="1"/>
    <col min="8983" max="8983" width="8.85546875" style="13" customWidth="1"/>
    <col min="8984" max="8984" width="10.7109375" style="13" customWidth="1"/>
    <col min="8985" max="8985" width="16" style="13" customWidth="1"/>
    <col min="8986" max="8986" width="8.7109375" style="13" customWidth="1"/>
    <col min="8987" max="8987" width="6.5703125" style="13" bestFit="1" customWidth="1"/>
    <col min="8988" max="8988" width="8.7109375" style="13" customWidth="1"/>
    <col min="8989" max="8989" width="16" style="13" customWidth="1"/>
    <col min="8990" max="8990" width="15" style="13" customWidth="1"/>
    <col min="8991" max="8991" width="9.42578125" style="13" customWidth="1"/>
    <col min="8992" max="9216" width="9.140625" style="13"/>
    <col min="9217" max="9217" width="12.28515625" style="13" customWidth="1"/>
    <col min="9218" max="9218" width="2.42578125" style="13" customWidth="1"/>
    <col min="9219" max="9219" width="3.42578125" style="13" customWidth="1"/>
    <col min="9220" max="9220" width="13.28515625" style="13" customWidth="1"/>
    <col min="9221" max="9221" width="3.140625" style="13" customWidth="1"/>
    <col min="9222" max="9222" width="5.140625" style="13" customWidth="1"/>
    <col min="9223" max="9223" width="16.42578125" style="13" customWidth="1"/>
    <col min="9224" max="9230" width="0" style="13" hidden="1" customWidth="1"/>
    <col min="9231" max="9231" width="4.140625" style="13" customWidth="1"/>
    <col min="9232" max="9232" width="5.7109375" style="13" customWidth="1"/>
    <col min="9233" max="9233" width="0" style="13" hidden="1" customWidth="1"/>
    <col min="9234" max="9234" width="15.7109375" style="13" customWidth="1"/>
    <col min="9235" max="9235" width="7.7109375" style="13" customWidth="1"/>
    <col min="9236" max="9236" width="9.140625" style="13"/>
    <col min="9237" max="9237" width="10.85546875" style="13" customWidth="1"/>
    <col min="9238" max="9238" width="9.7109375" style="13" customWidth="1"/>
    <col min="9239" max="9239" width="8.85546875" style="13" customWidth="1"/>
    <col min="9240" max="9240" width="10.7109375" style="13" customWidth="1"/>
    <col min="9241" max="9241" width="16" style="13" customWidth="1"/>
    <col min="9242" max="9242" width="8.7109375" style="13" customWidth="1"/>
    <col min="9243" max="9243" width="6.5703125" style="13" bestFit="1" customWidth="1"/>
    <col min="9244" max="9244" width="8.7109375" style="13" customWidth="1"/>
    <col min="9245" max="9245" width="16" style="13" customWidth="1"/>
    <col min="9246" max="9246" width="15" style="13" customWidth="1"/>
    <col min="9247" max="9247" width="9.42578125" style="13" customWidth="1"/>
    <col min="9248" max="9472" width="9.140625" style="13"/>
    <col min="9473" max="9473" width="12.28515625" style="13" customWidth="1"/>
    <col min="9474" max="9474" width="2.42578125" style="13" customWidth="1"/>
    <col min="9475" max="9475" width="3.42578125" style="13" customWidth="1"/>
    <col min="9476" max="9476" width="13.28515625" style="13" customWidth="1"/>
    <col min="9477" max="9477" width="3.140625" style="13" customWidth="1"/>
    <col min="9478" max="9478" width="5.140625" style="13" customWidth="1"/>
    <col min="9479" max="9479" width="16.42578125" style="13" customWidth="1"/>
    <col min="9480" max="9486" width="0" style="13" hidden="1" customWidth="1"/>
    <col min="9487" max="9487" width="4.140625" style="13" customWidth="1"/>
    <col min="9488" max="9488" width="5.7109375" style="13" customWidth="1"/>
    <col min="9489" max="9489" width="0" style="13" hidden="1" customWidth="1"/>
    <col min="9490" max="9490" width="15.7109375" style="13" customWidth="1"/>
    <col min="9491" max="9491" width="7.7109375" style="13" customWidth="1"/>
    <col min="9492" max="9492" width="9.140625" style="13"/>
    <col min="9493" max="9493" width="10.85546875" style="13" customWidth="1"/>
    <col min="9494" max="9494" width="9.7109375" style="13" customWidth="1"/>
    <col min="9495" max="9495" width="8.85546875" style="13" customWidth="1"/>
    <col min="9496" max="9496" width="10.7109375" style="13" customWidth="1"/>
    <col min="9497" max="9497" width="16" style="13" customWidth="1"/>
    <col min="9498" max="9498" width="8.7109375" style="13" customWidth="1"/>
    <col min="9499" max="9499" width="6.5703125" style="13" bestFit="1" customWidth="1"/>
    <col min="9500" max="9500" width="8.7109375" style="13" customWidth="1"/>
    <col min="9501" max="9501" width="16" style="13" customWidth="1"/>
    <col min="9502" max="9502" width="15" style="13" customWidth="1"/>
    <col min="9503" max="9503" width="9.42578125" style="13" customWidth="1"/>
    <col min="9504" max="9728" width="9.140625" style="13"/>
    <col min="9729" max="9729" width="12.28515625" style="13" customWidth="1"/>
    <col min="9730" max="9730" width="2.42578125" style="13" customWidth="1"/>
    <col min="9731" max="9731" width="3.42578125" style="13" customWidth="1"/>
    <col min="9732" max="9732" width="13.28515625" style="13" customWidth="1"/>
    <col min="9733" max="9733" width="3.140625" style="13" customWidth="1"/>
    <col min="9734" max="9734" width="5.140625" style="13" customWidth="1"/>
    <col min="9735" max="9735" width="16.42578125" style="13" customWidth="1"/>
    <col min="9736" max="9742" width="0" style="13" hidden="1" customWidth="1"/>
    <col min="9743" max="9743" width="4.140625" style="13" customWidth="1"/>
    <col min="9744" max="9744" width="5.7109375" style="13" customWidth="1"/>
    <col min="9745" max="9745" width="0" style="13" hidden="1" customWidth="1"/>
    <col min="9746" max="9746" width="15.7109375" style="13" customWidth="1"/>
    <col min="9747" max="9747" width="7.7109375" style="13" customWidth="1"/>
    <col min="9748" max="9748" width="9.140625" style="13"/>
    <col min="9749" max="9749" width="10.85546875" style="13" customWidth="1"/>
    <col min="9750" max="9750" width="9.7109375" style="13" customWidth="1"/>
    <col min="9751" max="9751" width="8.85546875" style="13" customWidth="1"/>
    <col min="9752" max="9752" width="10.7109375" style="13" customWidth="1"/>
    <col min="9753" max="9753" width="16" style="13" customWidth="1"/>
    <col min="9754" max="9754" width="8.7109375" style="13" customWidth="1"/>
    <col min="9755" max="9755" width="6.5703125" style="13" bestFit="1" customWidth="1"/>
    <col min="9756" max="9756" width="8.7109375" style="13" customWidth="1"/>
    <col min="9757" max="9757" width="16" style="13" customWidth="1"/>
    <col min="9758" max="9758" width="15" style="13" customWidth="1"/>
    <col min="9759" max="9759" width="9.42578125" style="13" customWidth="1"/>
    <col min="9760" max="9984" width="9.140625" style="13"/>
    <col min="9985" max="9985" width="12.28515625" style="13" customWidth="1"/>
    <col min="9986" max="9986" width="2.42578125" style="13" customWidth="1"/>
    <col min="9987" max="9987" width="3.42578125" style="13" customWidth="1"/>
    <col min="9988" max="9988" width="13.28515625" style="13" customWidth="1"/>
    <col min="9989" max="9989" width="3.140625" style="13" customWidth="1"/>
    <col min="9990" max="9990" width="5.140625" style="13" customWidth="1"/>
    <col min="9991" max="9991" width="16.42578125" style="13" customWidth="1"/>
    <col min="9992" max="9998" width="0" style="13" hidden="1" customWidth="1"/>
    <col min="9999" max="9999" width="4.140625" style="13" customWidth="1"/>
    <col min="10000" max="10000" width="5.7109375" style="13" customWidth="1"/>
    <col min="10001" max="10001" width="0" style="13" hidden="1" customWidth="1"/>
    <col min="10002" max="10002" width="15.7109375" style="13" customWidth="1"/>
    <col min="10003" max="10003" width="7.7109375" style="13" customWidth="1"/>
    <col min="10004" max="10004" width="9.140625" style="13"/>
    <col min="10005" max="10005" width="10.85546875" style="13" customWidth="1"/>
    <col min="10006" max="10006" width="9.7109375" style="13" customWidth="1"/>
    <col min="10007" max="10007" width="8.85546875" style="13" customWidth="1"/>
    <col min="10008" max="10008" width="10.7109375" style="13" customWidth="1"/>
    <col min="10009" max="10009" width="16" style="13" customWidth="1"/>
    <col min="10010" max="10010" width="8.7109375" style="13" customWidth="1"/>
    <col min="10011" max="10011" width="6.5703125" style="13" bestFit="1" customWidth="1"/>
    <col min="10012" max="10012" width="8.7109375" style="13" customWidth="1"/>
    <col min="10013" max="10013" width="16" style="13" customWidth="1"/>
    <col min="10014" max="10014" width="15" style="13" customWidth="1"/>
    <col min="10015" max="10015" width="9.42578125" style="13" customWidth="1"/>
    <col min="10016" max="10240" width="9.140625" style="13"/>
    <col min="10241" max="10241" width="12.28515625" style="13" customWidth="1"/>
    <col min="10242" max="10242" width="2.42578125" style="13" customWidth="1"/>
    <col min="10243" max="10243" width="3.42578125" style="13" customWidth="1"/>
    <col min="10244" max="10244" width="13.28515625" style="13" customWidth="1"/>
    <col min="10245" max="10245" width="3.140625" style="13" customWidth="1"/>
    <col min="10246" max="10246" width="5.140625" style="13" customWidth="1"/>
    <col min="10247" max="10247" width="16.42578125" style="13" customWidth="1"/>
    <col min="10248" max="10254" width="0" style="13" hidden="1" customWidth="1"/>
    <col min="10255" max="10255" width="4.140625" style="13" customWidth="1"/>
    <col min="10256" max="10256" width="5.7109375" style="13" customWidth="1"/>
    <col min="10257" max="10257" width="0" style="13" hidden="1" customWidth="1"/>
    <col min="10258" max="10258" width="15.7109375" style="13" customWidth="1"/>
    <col min="10259" max="10259" width="7.7109375" style="13" customWidth="1"/>
    <col min="10260" max="10260" width="9.140625" style="13"/>
    <col min="10261" max="10261" width="10.85546875" style="13" customWidth="1"/>
    <col min="10262" max="10262" width="9.7109375" style="13" customWidth="1"/>
    <col min="10263" max="10263" width="8.85546875" style="13" customWidth="1"/>
    <col min="10264" max="10264" width="10.7109375" style="13" customWidth="1"/>
    <col min="10265" max="10265" width="16" style="13" customWidth="1"/>
    <col min="10266" max="10266" width="8.7109375" style="13" customWidth="1"/>
    <col min="10267" max="10267" width="6.5703125" style="13" bestFit="1" customWidth="1"/>
    <col min="10268" max="10268" width="8.7109375" style="13" customWidth="1"/>
    <col min="10269" max="10269" width="16" style="13" customWidth="1"/>
    <col min="10270" max="10270" width="15" style="13" customWidth="1"/>
    <col min="10271" max="10271" width="9.42578125" style="13" customWidth="1"/>
    <col min="10272" max="10496" width="9.140625" style="13"/>
    <col min="10497" max="10497" width="12.28515625" style="13" customWidth="1"/>
    <col min="10498" max="10498" width="2.42578125" style="13" customWidth="1"/>
    <col min="10499" max="10499" width="3.42578125" style="13" customWidth="1"/>
    <col min="10500" max="10500" width="13.28515625" style="13" customWidth="1"/>
    <col min="10501" max="10501" width="3.140625" style="13" customWidth="1"/>
    <col min="10502" max="10502" width="5.140625" style="13" customWidth="1"/>
    <col min="10503" max="10503" width="16.42578125" style="13" customWidth="1"/>
    <col min="10504" max="10510" width="0" style="13" hidden="1" customWidth="1"/>
    <col min="10511" max="10511" width="4.140625" style="13" customWidth="1"/>
    <col min="10512" max="10512" width="5.7109375" style="13" customWidth="1"/>
    <col min="10513" max="10513" width="0" style="13" hidden="1" customWidth="1"/>
    <col min="10514" max="10514" width="15.7109375" style="13" customWidth="1"/>
    <col min="10515" max="10515" width="7.7109375" style="13" customWidth="1"/>
    <col min="10516" max="10516" width="9.140625" style="13"/>
    <col min="10517" max="10517" width="10.85546875" style="13" customWidth="1"/>
    <col min="10518" max="10518" width="9.7109375" style="13" customWidth="1"/>
    <col min="10519" max="10519" width="8.85546875" style="13" customWidth="1"/>
    <col min="10520" max="10520" width="10.7109375" style="13" customWidth="1"/>
    <col min="10521" max="10521" width="16" style="13" customWidth="1"/>
    <col min="10522" max="10522" width="8.7109375" style="13" customWidth="1"/>
    <col min="10523" max="10523" width="6.5703125" style="13" bestFit="1" customWidth="1"/>
    <col min="10524" max="10524" width="8.7109375" style="13" customWidth="1"/>
    <col min="10525" max="10525" width="16" style="13" customWidth="1"/>
    <col min="10526" max="10526" width="15" style="13" customWidth="1"/>
    <col min="10527" max="10527" width="9.42578125" style="13" customWidth="1"/>
    <col min="10528" max="10752" width="9.140625" style="13"/>
    <col min="10753" max="10753" width="12.28515625" style="13" customWidth="1"/>
    <col min="10754" max="10754" width="2.42578125" style="13" customWidth="1"/>
    <col min="10755" max="10755" width="3.42578125" style="13" customWidth="1"/>
    <col min="10756" max="10756" width="13.28515625" style="13" customWidth="1"/>
    <col min="10757" max="10757" width="3.140625" style="13" customWidth="1"/>
    <col min="10758" max="10758" width="5.140625" style="13" customWidth="1"/>
    <col min="10759" max="10759" width="16.42578125" style="13" customWidth="1"/>
    <col min="10760" max="10766" width="0" style="13" hidden="1" customWidth="1"/>
    <col min="10767" max="10767" width="4.140625" style="13" customWidth="1"/>
    <col min="10768" max="10768" width="5.7109375" style="13" customWidth="1"/>
    <col min="10769" max="10769" width="0" style="13" hidden="1" customWidth="1"/>
    <col min="10770" max="10770" width="15.7109375" style="13" customWidth="1"/>
    <col min="10771" max="10771" width="7.7109375" style="13" customWidth="1"/>
    <col min="10772" max="10772" width="9.140625" style="13"/>
    <col min="10773" max="10773" width="10.85546875" style="13" customWidth="1"/>
    <col min="10774" max="10774" width="9.7109375" style="13" customWidth="1"/>
    <col min="10775" max="10775" width="8.85546875" style="13" customWidth="1"/>
    <col min="10776" max="10776" width="10.7109375" style="13" customWidth="1"/>
    <col min="10777" max="10777" width="16" style="13" customWidth="1"/>
    <col min="10778" max="10778" width="8.7109375" style="13" customWidth="1"/>
    <col min="10779" max="10779" width="6.5703125" style="13" bestFit="1" customWidth="1"/>
    <col min="10780" max="10780" width="8.7109375" style="13" customWidth="1"/>
    <col min="10781" max="10781" width="16" style="13" customWidth="1"/>
    <col min="10782" max="10782" width="15" style="13" customWidth="1"/>
    <col min="10783" max="10783" width="9.42578125" style="13" customWidth="1"/>
    <col min="10784" max="11008" width="9.140625" style="13"/>
    <col min="11009" max="11009" width="12.28515625" style="13" customWidth="1"/>
    <col min="11010" max="11010" width="2.42578125" style="13" customWidth="1"/>
    <col min="11011" max="11011" width="3.42578125" style="13" customWidth="1"/>
    <col min="11012" max="11012" width="13.28515625" style="13" customWidth="1"/>
    <col min="11013" max="11013" width="3.140625" style="13" customWidth="1"/>
    <col min="11014" max="11014" width="5.140625" style="13" customWidth="1"/>
    <col min="11015" max="11015" width="16.42578125" style="13" customWidth="1"/>
    <col min="11016" max="11022" width="0" style="13" hidden="1" customWidth="1"/>
    <col min="11023" max="11023" width="4.140625" style="13" customWidth="1"/>
    <col min="11024" max="11024" width="5.7109375" style="13" customWidth="1"/>
    <col min="11025" max="11025" width="0" style="13" hidden="1" customWidth="1"/>
    <col min="11026" max="11026" width="15.7109375" style="13" customWidth="1"/>
    <col min="11027" max="11027" width="7.7109375" style="13" customWidth="1"/>
    <col min="11028" max="11028" width="9.140625" style="13"/>
    <col min="11029" max="11029" width="10.85546875" style="13" customWidth="1"/>
    <col min="11030" max="11030" width="9.7109375" style="13" customWidth="1"/>
    <col min="11031" max="11031" width="8.85546875" style="13" customWidth="1"/>
    <col min="11032" max="11032" width="10.7109375" style="13" customWidth="1"/>
    <col min="11033" max="11033" width="16" style="13" customWidth="1"/>
    <col min="11034" max="11034" width="8.7109375" style="13" customWidth="1"/>
    <col min="11035" max="11035" width="6.5703125" style="13" bestFit="1" customWidth="1"/>
    <col min="11036" max="11036" width="8.7109375" style="13" customWidth="1"/>
    <col min="11037" max="11037" width="16" style="13" customWidth="1"/>
    <col min="11038" max="11038" width="15" style="13" customWidth="1"/>
    <col min="11039" max="11039" width="9.42578125" style="13" customWidth="1"/>
    <col min="11040" max="11264" width="9.140625" style="13"/>
    <col min="11265" max="11265" width="12.28515625" style="13" customWidth="1"/>
    <col min="11266" max="11266" width="2.42578125" style="13" customWidth="1"/>
    <col min="11267" max="11267" width="3.42578125" style="13" customWidth="1"/>
    <col min="11268" max="11268" width="13.28515625" style="13" customWidth="1"/>
    <col min="11269" max="11269" width="3.140625" style="13" customWidth="1"/>
    <col min="11270" max="11270" width="5.140625" style="13" customWidth="1"/>
    <col min="11271" max="11271" width="16.42578125" style="13" customWidth="1"/>
    <col min="11272" max="11278" width="0" style="13" hidden="1" customWidth="1"/>
    <col min="11279" max="11279" width="4.140625" style="13" customWidth="1"/>
    <col min="11280" max="11280" width="5.7109375" style="13" customWidth="1"/>
    <col min="11281" max="11281" width="0" style="13" hidden="1" customWidth="1"/>
    <col min="11282" max="11282" width="15.7109375" style="13" customWidth="1"/>
    <col min="11283" max="11283" width="7.7109375" style="13" customWidth="1"/>
    <col min="11284" max="11284" width="9.140625" style="13"/>
    <col min="11285" max="11285" width="10.85546875" style="13" customWidth="1"/>
    <col min="11286" max="11286" width="9.7109375" style="13" customWidth="1"/>
    <col min="11287" max="11287" width="8.85546875" style="13" customWidth="1"/>
    <col min="11288" max="11288" width="10.7109375" style="13" customWidth="1"/>
    <col min="11289" max="11289" width="16" style="13" customWidth="1"/>
    <col min="11290" max="11290" width="8.7109375" style="13" customWidth="1"/>
    <col min="11291" max="11291" width="6.5703125" style="13" bestFit="1" customWidth="1"/>
    <col min="11292" max="11292" width="8.7109375" style="13" customWidth="1"/>
    <col min="11293" max="11293" width="16" style="13" customWidth="1"/>
    <col min="11294" max="11294" width="15" style="13" customWidth="1"/>
    <col min="11295" max="11295" width="9.42578125" style="13" customWidth="1"/>
    <col min="11296" max="11520" width="9.140625" style="13"/>
    <col min="11521" max="11521" width="12.28515625" style="13" customWidth="1"/>
    <col min="11522" max="11522" width="2.42578125" style="13" customWidth="1"/>
    <col min="11523" max="11523" width="3.42578125" style="13" customWidth="1"/>
    <col min="11524" max="11524" width="13.28515625" style="13" customWidth="1"/>
    <col min="11525" max="11525" width="3.140625" style="13" customWidth="1"/>
    <col min="11526" max="11526" width="5.140625" style="13" customWidth="1"/>
    <col min="11527" max="11527" width="16.42578125" style="13" customWidth="1"/>
    <col min="11528" max="11534" width="0" style="13" hidden="1" customWidth="1"/>
    <col min="11535" max="11535" width="4.140625" style="13" customWidth="1"/>
    <col min="11536" max="11536" width="5.7109375" style="13" customWidth="1"/>
    <col min="11537" max="11537" width="0" style="13" hidden="1" customWidth="1"/>
    <col min="11538" max="11538" width="15.7109375" style="13" customWidth="1"/>
    <col min="11539" max="11539" width="7.7109375" style="13" customWidth="1"/>
    <col min="11540" max="11540" width="9.140625" style="13"/>
    <col min="11541" max="11541" width="10.85546875" style="13" customWidth="1"/>
    <col min="11542" max="11542" width="9.7109375" style="13" customWidth="1"/>
    <col min="11543" max="11543" width="8.85546875" style="13" customWidth="1"/>
    <col min="11544" max="11544" width="10.7109375" style="13" customWidth="1"/>
    <col min="11545" max="11545" width="16" style="13" customWidth="1"/>
    <col min="11546" max="11546" width="8.7109375" style="13" customWidth="1"/>
    <col min="11547" max="11547" width="6.5703125" style="13" bestFit="1" customWidth="1"/>
    <col min="11548" max="11548" width="8.7109375" style="13" customWidth="1"/>
    <col min="11549" max="11549" width="16" style="13" customWidth="1"/>
    <col min="11550" max="11550" width="15" style="13" customWidth="1"/>
    <col min="11551" max="11551" width="9.42578125" style="13" customWidth="1"/>
    <col min="11552" max="11776" width="9.140625" style="13"/>
    <col min="11777" max="11777" width="12.28515625" style="13" customWidth="1"/>
    <col min="11778" max="11778" width="2.42578125" style="13" customWidth="1"/>
    <col min="11779" max="11779" width="3.42578125" style="13" customWidth="1"/>
    <col min="11780" max="11780" width="13.28515625" style="13" customWidth="1"/>
    <col min="11781" max="11781" width="3.140625" style="13" customWidth="1"/>
    <col min="11782" max="11782" width="5.140625" style="13" customWidth="1"/>
    <col min="11783" max="11783" width="16.42578125" style="13" customWidth="1"/>
    <col min="11784" max="11790" width="0" style="13" hidden="1" customWidth="1"/>
    <col min="11791" max="11791" width="4.140625" style="13" customWidth="1"/>
    <col min="11792" max="11792" width="5.7109375" style="13" customWidth="1"/>
    <col min="11793" max="11793" width="0" style="13" hidden="1" customWidth="1"/>
    <col min="11794" max="11794" width="15.7109375" style="13" customWidth="1"/>
    <col min="11795" max="11795" width="7.7109375" style="13" customWidth="1"/>
    <col min="11796" max="11796" width="9.140625" style="13"/>
    <col min="11797" max="11797" width="10.85546875" style="13" customWidth="1"/>
    <col min="11798" max="11798" width="9.7109375" style="13" customWidth="1"/>
    <col min="11799" max="11799" width="8.85546875" style="13" customWidth="1"/>
    <col min="11800" max="11800" width="10.7109375" style="13" customWidth="1"/>
    <col min="11801" max="11801" width="16" style="13" customWidth="1"/>
    <col min="11802" max="11802" width="8.7109375" style="13" customWidth="1"/>
    <col min="11803" max="11803" width="6.5703125" style="13" bestFit="1" customWidth="1"/>
    <col min="11804" max="11804" width="8.7109375" style="13" customWidth="1"/>
    <col min="11805" max="11805" width="16" style="13" customWidth="1"/>
    <col min="11806" max="11806" width="15" style="13" customWidth="1"/>
    <col min="11807" max="11807" width="9.42578125" style="13" customWidth="1"/>
    <col min="11808" max="12032" width="9.140625" style="13"/>
    <col min="12033" max="12033" width="12.28515625" style="13" customWidth="1"/>
    <col min="12034" max="12034" width="2.42578125" style="13" customWidth="1"/>
    <col min="12035" max="12035" width="3.42578125" style="13" customWidth="1"/>
    <col min="12036" max="12036" width="13.28515625" style="13" customWidth="1"/>
    <col min="12037" max="12037" width="3.140625" style="13" customWidth="1"/>
    <col min="12038" max="12038" width="5.140625" style="13" customWidth="1"/>
    <col min="12039" max="12039" width="16.42578125" style="13" customWidth="1"/>
    <col min="12040" max="12046" width="0" style="13" hidden="1" customWidth="1"/>
    <col min="12047" max="12047" width="4.140625" style="13" customWidth="1"/>
    <col min="12048" max="12048" width="5.7109375" style="13" customWidth="1"/>
    <col min="12049" max="12049" width="0" style="13" hidden="1" customWidth="1"/>
    <col min="12050" max="12050" width="15.7109375" style="13" customWidth="1"/>
    <col min="12051" max="12051" width="7.7109375" style="13" customWidth="1"/>
    <col min="12052" max="12052" width="9.140625" style="13"/>
    <col min="12053" max="12053" width="10.85546875" style="13" customWidth="1"/>
    <col min="12054" max="12054" width="9.7109375" style="13" customWidth="1"/>
    <col min="12055" max="12055" width="8.85546875" style="13" customWidth="1"/>
    <col min="12056" max="12056" width="10.7109375" style="13" customWidth="1"/>
    <col min="12057" max="12057" width="16" style="13" customWidth="1"/>
    <col min="12058" max="12058" width="8.7109375" style="13" customWidth="1"/>
    <col min="12059" max="12059" width="6.5703125" style="13" bestFit="1" customWidth="1"/>
    <col min="12060" max="12060" width="8.7109375" style="13" customWidth="1"/>
    <col min="12061" max="12061" width="16" style="13" customWidth="1"/>
    <col min="12062" max="12062" width="15" style="13" customWidth="1"/>
    <col min="12063" max="12063" width="9.42578125" style="13" customWidth="1"/>
    <col min="12064" max="12288" width="9.140625" style="13"/>
    <col min="12289" max="12289" width="12.28515625" style="13" customWidth="1"/>
    <col min="12290" max="12290" width="2.42578125" style="13" customWidth="1"/>
    <col min="12291" max="12291" width="3.42578125" style="13" customWidth="1"/>
    <col min="12292" max="12292" width="13.28515625" style="13" customWidth="1"/>
    <col min="12293" max="12293" width="3.140625" style="13" customWidth="1"/>
    <col min="12294" max="12294" width="5.140625" style="13" customWidth="1"/>
    <col min="12295" max="12295" width="16.42578125" style="13" customWidth="1"/>
    <col min="12296" max="12302" width="0" style="13" hidden="1" customWidth="1"/>
    <col min="12303" max="12303" width="4.140625" style="13" customWidth="1"/>
    <col min="12304" max="12304" width="5.7109375" style="13" customWidth="1"/>
    <col min="12305" max="12305" width="0" style="13" hidden="1" customWidth="1"/>
    <col min="12306" max="12306" width="15.7109375" style="13" customWidth="1"/>
    <col min="12307" max="12307" width="7.7109375" style="13" customWidth="1"/>
    <col min="12308" max="12308" width="9.140625" style="13"/>
    <col min="12309" max="12309" width="10.85546875" style="13" customWidth="1"/>
    <col min="12310" max="12310" width="9.7109375" style="13" customWidth="1"/>
    <col min="12311" max="12311" width="8.85546875" style="13" customWidth="1"/>
    <col min="12312" max="12312" width="10.7109375" style="13" customWidth="1"/>
    <col min="12313" max="12313" width="16" style="13" customWidth="1"/>
    <col min="12314" max="12314" width="8.7109375" style="13" customWidth="1"/>
    <col min="12315" max="12315" width="6.5703125" style="13" bestFit="1" customWidth="1"/>
    <col min="12316" max="12316" width="8.7109375" style="13" customWidth="1"/>
    <col min="12317" max="12317" width="16" style="13" customWidth="1"/>
    <col min="12318" max="12318" width="15" style="13" customWidth="1"/>
    <col min="12319" max="12319" width="9.42578125" style="13" customWidth="1"/>
    <col min="12320" max="12544" width="9.140625" style="13"/>
    <col min="12545" max="12545" width="12.28515625" style="13" customWidth="1"/>
    <col min="12546" max="12546" width="2.42578125" style="13" customWidth="1"/>
    <col min="12547" max="12547" width="3.42578125" style="13" customWidth="1"/>
    <col min="12548" max="12548" width="13.28515625" style="13" customWidth="1"/>
    <col min="12549" max="12549" width="3.140625" style="13" customWidth="1"/>
    <col min="12550" max="12550" width="5.140625" style="13" customWidth="1"/>
    <col min="12551" max="12551" width="16.42578125" style="13" customWidth="1"/>
    <col min="12552" max="12558" width="0" style="13" hidden="1" customWidth="1"/>
    <col min="12559" max="12559" width="4.140625" style="13" customWidth="1"/>
    <col min="12560" max="12560" width="5.7109375" style="13" customWidth="1"/>
    <col min="12561" max="12561" width="0" style="13" hidden="1" customWidth="1"/>
    <col min="12562" max="12562" width="15.7109375" style="13" customWidth="1"/>
    <col min="12563" max="12563" width="7.7109375" style="13" customWidth="1"/>
    <col min="12564" max="12564" width="9.140625" style="13"/>
    <col min="12565" max="12565" width="10.85546875" style="13" customWidth="1"/>
    <col min="12566" max="12566" width="9.7109375" style="13" customWidth="1"/>
    <col min="12567" max="12567" width="8.85546875" style="13" customWidth="1"/>
    <col min="12568" max="12568" width="10.7109375" style="13" customWidth="1"/>
    <col min="12569" max="12569" width="16" style="13" customWidth="1"/>
    <col min="12570" max="12570" width="8.7109375" style="13" customWidth="1"/>
    <col min="12571" max="12571" width="6.5703125" style="13" bestFit="1" customWidth="1"/>
    <col min="12572" max="12572" width="8.7109375" style="13" customWidth="1"/>
    <col min="12573" max="12573" width="16" style="13" customWidth="1"/>
    <col min="12574" max="12574" width="15" style="13" customWidth="1"/>
    <col min="12575" max="12575" width="9.42578125" style="13" customWidth="1"/>
    <col min="12576" max="12800" width="9.140625" style="13"/>
    <col min="12801" max="12801" width="12.28515625" style="13" customWidth="1"/>
    <col min="12802" max="12802" width="2.42578125" style="13" customWidth="1"/>
    <col min="12803" max="12803" width="3.42578125" style="13" customWidth="1"/>
    <col min="12804" max="12804" width="13.28515625" style="13" customWidth="1"/>
    <col min="12805" max="12805" width="3.140625" style="13" customWidth="1"/>
    <col min="12806" max="12806" width="5.140625" style="13" customWidth="1"/>
    <col min="12807" max="12807" width="16.42578125" style="13" customWidth="1"/>
    <col min="12808" max="12814" width="0" style="13" hidden="1" customWidth="1"/>
    <col min="12815" max="12815" width="4.140625" style="13" customWidth="1"/>
    <col min="12816" max="12816" width="5.7109375" style="13" customWidth="1"/>
    <col min="12817" max="12817" width="0" style="13" hidden="1" customWidth="1"/>
    <col min="12818" max="12818" width="15.7109375" style="13" customWidth="1"/>
    <col min="12819" max="12819" width="7.7109375" style="13" customWidth="1"/>
    <col min="12820" max="12820" width="9.140625" style="13"/>
    <col min="12821" max="12821" width="10.85546875" style="13" customWidth="1"/>
    <col min="12822" max="12822" width="9.7109375" style="13" customWidth="1"/>
    <col min="12823" max="12823" width="8.85546875" style="13" customWidth="1"/>
    <col min="12824" max="12824" width="10.7109375" style="13" customWidth="1"/>
    <col min="12825" max="12825" width="16" style="13" customWidth="1"/>
    <col min="12826" max="12826" width="8.7109375" style="13" customWidth="1"/>
    <col min="12827" max="12827" width="6.5703125" style="13" bestFit="1" customWidth="1"/>
    <col min="12828" max="12828" width="8.7109375" style="13" customWidth="1"/>
    <col min="12829" max="12829" width="16" style="13" customWidth="1"/>
    <col min="12830" max="12830" width="15" style="13" customWidth="1"/>
    <col min="12831" max="12831" width="9.42578125" style="13" customWidth="1"/>
    <col min="12832" max="13056" width="9.140625" style="13"/>
    <col min="13057" max="13057" width="12.28515625" style="13" customWidth="1"/>
    <col min="13058" max="13058" width="2.42578125" style="13" customWidth="1"/>
    <col min="13059" max="13059" width="3.42578125" style="13" customWidth="1"/>
    <col min="13060" max="13060" width="13.28515625" style="13" customWidth="1"/>
    <col min="13061" max="13061" width="3.140625" style="13" customWidth="1"/>
    <col min="13062" max="13062" width="5.140625" style="13" customWidth="1"/>
    <col min="13063" max="13063" width="16.42578125" style="13" customWidth="1"/>
    <col min="13064" max="13070" width="0" style="13" hidden="1" customWidth="1"/>
    <col min="13071" max="13071" width="4.140625" style="13" customWidth="1"/>
    <col min="13072" max="13072" width="5.7109375" style="13" customWidth="1"/>
    <col min="13073" max="13073" width="0" style="13" hidden="1" customWidth="1"/>
    <col min="13074" max="13074" width="15.7109375" style="13" customWidth="1"/>
    <col min="13075" max="13075" width="7.7109375" style="13" customWidth="1"/>
    <col min="13076" max="13076" width="9.140625" style="13"/>
    <col min="13077" max="13077" width="10.85546875" style="13" customWidth="1"/>
    <col min="13078" max="13078" width="9.7109375" style="13" customWidth="1"/>
    <col min="13079" max="13079" width="8.85546875" style="13" customWidth="1"/>
    <col min="13080" max="13080" width="10.7109375" style="13" customWidth="1"/>
    <col min="13081" max="13081" width="16" style="13" customWidth="1"/>
    <col min="13082" max="13082" width="8.7109375" style="13" customWidth="1"/>
    <col min="13083" max="13083" width="6.5703125" style="13" bestFit="1" customWidth="1"/>
    <col min="13084" max="13084" width="8.7109375" style="13" customWidth="1"/>
    <col min="13085" max="13085" width="16" style="13" customWidth="1"/>
    <col min="13086" max="13086" width="15" style="13" customWidth="1"/>
    <col min="13087" max="13087" width="9.42578125" style="13" customWidth="1"/>
    <col min="13088" max="13312" width="9.140625" style="13"/>
    <col min="13313" max="13313" width="12.28515625" style="13" customWidth="1"/>
    <col min="13314" max="13314" width="2.42578125" style="13" customWidth="1"/>
    <col min="13315" max="13315" width="3.42578125" style="13" customWidth="1"/>
    <col min="13316" max="13316" width="13.28515625" style="13" customWidth="1"/>
    <col min="13317" max="13317" width="3.140625" style="13" customWidth="1"/>
    <col min="13318" max="13318" width="5.140625" style="13" customWidth="1"/>
    <col min="13319" max="13319" width="16.42578125" style="13" customWidth="1"/>
    <col min="13320" max="13326" width="0" style="13" hidden="1" customWidth="1"/>
    <col min="13327" max="13327" width="4.140625" style="13" customWidth="1"/>
    <col min="13328" max="13328" width="5.7109375" style="13" customWidth="1"/>
    <col min="13329" max="13329" width="0" style="13" hidden="1" customWidth="1"/>
    <col min="13330" max="13330" width="15.7109375" style="13" customWidth="1"/>
    <col min="13331" max="13331" width="7.7109375" style="13" customWidth="1"/>
    <col min="13332" max="13332" width="9.140625" style="13"/>
    <col min="13333" max="13333" width="10.85546875" style="13" customWidth="1"/>
    <col min="13334" max="13334" width="9.7109375" style="13" customWidth="1"/>
    <col min="13335" max="13335" width="8.85546875" style="13" customWidth="1"/>
    <col min="13336" max="13336" width="10.7109375" style="13" customWidth="1"/>
    <col min="13337" max="13337" width="16" style="13" customWidth="1"/>
    <col min="13338" max="13338" width="8.7109375" style="13" customWidth="1"/>
    <col min="13339" max="13339" width="6.5703125" style="13" bestFit="1" customWidth="1"/>
    <col min="13340" max="13340" width="8.7109375" style="13" customWidth="1"/>
    <col min="13341" max="13341" width="16" style="13" customWidth="1"/>
    <col min="13342" max="13342" width="15" style="13" customWidth="1"/>
    <col min="13343" max="13343" width="9.42578125" style="13" customWidth="1"/>
    <col min="13344" max="13568" width="9.140625" style="13"/>
    <col min="13569" max="13569" width="12.28515625" style="13" customWidth="1"/>
    <col min="13570" max="13570" width="2.42578125" style="13" customWidth="1"/>
    <col min="13571" max="13571" width="3.42578125" style="13" customWidth="1"/>
    <col min="13572" max="13572" width="13.28515625" style="13" customWidth="1"/>
    <col min="13573" max="13573" width="3.140625" style="13" customWidth="1"/>
    <col min="13574" max="13574" width="5.140625" style="13" customWidth="1"/>
    <col min="13575" max="13575" width="16.42578125" style="13" customWidth="1"/>
    <col min="13576" max="13582" width="0" style="13" hidden="1" customWidth="1"/>
    <col min="13583" max="13583" width="4.140625" style="13" customWidth="1"/>
    <col min="13584" max="13584" width="5.7109375" style="13" customWidth="1"/>
    <col min="13585" max="13585" width="0" style="13" hidden="1" customWidth="1"/>
    <col min="13586" max="13586" width="15.7109375" style="13" customWidth="1"/>
    <col min="13587" max="13587" width="7.7109375" style="13" customWidth="1"/>
    <col min="13588" max="13588" width="9.140625" style="13"/>
    <col min="13589" max="13589" width="10.85546875" style="13" customWidth="1"/>
    <col min="13590" max="13590" width="9.7109375" style="13" customWidth="1"/>
    <col min="13591" max="13591" width="8.85546875" style="13" customWidth="1"/>
    <col min="13592" max="13592" width="10.7109375" style="13" customWidth="1"/>
    <col min="13593" max="13593" width="16" style="13" customWidth="1"/>
    <col min="13594" max="13594" width="8.7109375" style="13" customWidth="1"/>
    <col min="13595" max="13595" width="6.5703125" style="13" bestFit="1" customWidth="1"/>
    <col min="13596" max="13596" width="8.7109375" style="13" customWidth="1"/>
    <col min="13597" max="13597" width="16" style="13" customWidth="1"/>
    <col min="13598" max="13598" width="15" style="13" customWidth="1"/>
    <col min="13599" max="13599" width="9.42578125" style="13" customWidth="1"/>
    <col min="13600" max="13824" width="9.140625" style="13"/>
    <col min="13825" max="13825" width="12.28515625" style="13" customWidth="1"/>
    <col min="13826" max="13826" width="2.42578125" style="13" customWidth="1"/>
    <col min="13827" max="13827" width="3.42578125" style="13" customWidth="1"/>
    <col min="13828" max="13828" width="13.28515625" style="13" customWidth="1"/>
    <col min="13829" max="13829" width="3.140625" style="13" customWidth="1"/>
    <col min="13830" max="13830" width="5.140625" style="13" customWidth="1"/>
    <col min="13831" max="13831" width="16.42578125" style="13" customWidth="1"/>
    <col min="13832" max="13838" width="0" style="13" hidden="1" customWidth="1"/>
    <col min="13839" max="13839" width="4.140625" style="13" customWidth="1"/>
    <col min="13840" max="13840" width="5.7109375" style="13" customWidth="1"/>
    <col min="13841" max="13841" width="0" style="13" hidden="1" customWidth="1"/>
    <col min="13842" max="13842" width="15.7109375" style="13" customWidth="1"/>
    <col min="13843" max="13843" width="7.7109375" style="13" customWidth="1"/>
    <col min="13844" max="13844" width="9.140625" style="13"/>
    <col min="13845" max="13845" width="10.85546875" style="13" customWidth="1"/>
    <col min="13846" max="13846" width="9.7109375" style="13" customWidth="1"/>
    <col min="13847" max="13847" width="8.85546875" style="13" customWidth="1"/>
    <col min="13848" max="13848" width="10.7109375" style="13" customWidth="1"/>
    <col min="13849" max="13849" width="16" style="13" customWidth="1"/>
    <col min="13850" max="13850" width="8.7109375" style="13" customWidth="1"/>
    <col min="13851" max="13851" width="6.5703125" style="13" bestFit="1" customWidth="1"/>
    <col min="13852" max="13852" width="8.7109375" style="13" customWidth="1"/>
    <col min="13853" max="13853" width="16" style="13" customWidth="1"/>
    <col min="13854" max="13854" width="15" style="13" customWidth="1"/>
    <col min="13855" max="13855" width="9.42578125" style="13" customWidth="1"/>
    <col min="13856" max="14080" width="9.140625" style="13"/>
    <col min="14081" max="14081" width="12.28515625" style="13" customWidth="1"/>
    <col min="14082" max="14082" width="2.42578125" style="13" customWidth="1"/>
    <col min="14083" max="14083" width="3.42578125" style="13" customWidth="1"/>
    <col min="14084" max="14084" width="13.28515625" style="13" customWidth="1"/>
    <col min="14085" max="14085" width="3.140625" style="13" customWidth="1"/>
    <col min="14086" max="14086" width="5.140625" style="13" customWidth="1"/>
    <col min="14087" max="14087" width="16.42578125" style="13" customWidth="1"/>
    <col min="14088" max="14094" width="0" style="13" hidden="1" customWidth="1"/>
    <col min="14095" max="14095" width="4.140625" style="13" customWidth="1"/>
    <col min="14096" max="14096" width="5.7109375" style="13" customWidth="1"/>
    <col min="14097" max="14097" width="0" style="13" hidden="1" customWidth="1"/>
    <col min="14098" max="14098" width="15.7109375" style="13" customWidth="1"/>
    <col min="14099" max="14099" width="7.7109375" style="13" customWidth="1"/>
    <col min="14100" max="14100" width="9.140625" style="13"/>
    <col min="14101" max="14101" width="10.85546875" style="13" customWidth="1"/>
    <col min="14102" max="14102" width="9.7109375" style="13" customWidth="1"/>
    <col min="14103" max="14103" width="8.85546875" style="13" customWidth="1"/>
    <col min="14104" max="14104" width="10.7109375" style="13" customWidth="1"/>
    <col min="14105" max="14105" width="16" style="13" customWidth="1"/>
    <col min="14106" max="14106" width="8.7109375" style="13" customWidth="1"/>
    <col min="14107" max="14107" width="6.5703125" style="13" bestFit="1" customWidth="1"/>
    <col min="14108" max="14108" width="8.7109375" style="13" customWidth="1"/>
    <col min="14109" max="14109" width="16" style="13" customWidth="1"/>
    <col min="14110" max="14110" width="15" style="13" customWidth="1"/>
    <col min="14111" max="14111" width="9.42578125" style="13" customWidth="1"/>
    <col min="14112" max="14336" width="9.140625" style="13"/>
    <col min="14337" max="14337" width="12.28515625" style="13" customWidth="1"/>
    <col min="14338" max="14338" width="2.42578125" style="13" customWidth="1"/>
    <col min="14339" max="14339" width="3.42578125" style="13" customWidth="1"/>
    <col min="14340" max="14340" width="13.28515625" style="13" customWidth="1"/>
    <col min="14341" max="14341" width="3.140625" style="13" customWidth="1"/>
    <col min="14342" max="14342" width="5.140625" style="13" customWidth="1"/>
    <col min="14343" max="14343" width="16.42578125" style="13" customWidth="1"/>
    <col min="14344" max="14350" width="0" style="13" hidden="1" customWidth="1"/>
    <col min="14351" max="14351" width="4.140625" style="13" customWidth="1"/>
    <col min="14352" max="14352" width="5.7109375" style="13" customWidth="1"/>
    <col min="14353" max="14353" width="0" style="13" hidden="1" customWidth="1"/>
    <col min="14354" max="14354" width="15.7109375" style="13" customWidth="1"/>
    <col min="14355" max="14355" width="7.7109375" style="13" customWidth="1"/>
    <col min="14356" max="14356" width="9.140625" style="13"/>
    <col min="14357" max="14357" width="10.85546875" style="13" customWidth="1"/>
    <col min="14358" max="14358" width="9.7109375" style="13" customWidth="1"/>
    <col min="14359" max="14359" width="8.85546875" style="13" customWidth="1"/>
    <col min="14360" max="14360" width="10.7109375" style="13" customWidth="1"/>
    <col min="14361" max="14361" width="16" style="13" customWidth="1"/>
    <col min="14362" max="14362" width="8.7109375" style="13" customWidth="1"/>
    <col min="14363" max="14363" width="6.5703125" style="13" bestFit="1" customWidth="1"/>
    <col min="14364" max="14364" width="8.7109375" style="13" customWidth="1"/>
    <col min="14365" max="14365" width="16" style="13" customWidth="1"/>
    <col min="14366" max="14366" width="15" style="13" customWidth="1"/>
    <col min="14367" max="14367" width="9.42578125" style="13" customWidth="1"/>
    <col min="14368" max="14592" width="9.140625" style="13"/>
    <col min="14593" max="14593" width="12.28515625" style="13" customWidth="1"/>
    <col min="14594" max="14594" width="2.42578125" style="13" customWidth="1"/>
    <col min="14595" max="14595" width="3.42578125" style="13" customWidth="1"/>
    <col min="14596" max="14596" width="13.28515625" style="13" customWidth="1"/>
    <col min="14597" max="14597" width="3.140625" style="13" customWidth="1"/>
    <col min="14598" max="14598" width="5.140625" style="13" customWidth="1"/>
    <col min="14599" max="14599" width="16.42578125" style="13" customWidth="1"/>
    <col min="14600" max="14606" width="0" style="13" hidden="1" customWidth="1"/>
    <col min="14607" max="14607" width="4.140625" style="13" customWidth="1"/>
    <col min="14608" max="14608" width="5.7109375" style="13" customWidth="1"/>
    <col min="14609" max="14609" width="0" style="13" hidden="1" customWidth="1"/>
    <col min="14610" max="14610" width="15.7109375" style="13" customWidth="1"/>
    <col min="14611" max="14611" width="7.7109375" style="13" customWidth="1"/>
    <col min="14612" max="14612" width="9.140625" style="13"/>
    <col min="14613" max="14613" width="10.85546875" style="13" customWidth="1"/>
    <col min="14614" max="14614" width="9.7109375" style="13" customWidth="1"/>
    <col min="14615" max="14615" width="8.85546875" style="13" customWidth="1"/>
    <col min="14616" max="14616" width="10.7109375" style="13" customWidth="1"/>
    <col min="14617" max="14617" width="16" style="13" customWidth="1"/>
    <col min="14618" max="14618" width="8.7109375" style="13" customWidth="1"/>
    <col min="14619" max="14619" width="6.5703125" style="13" bestFit="1" customWidth="1"/>
    <col min="14620" max="14620" width="8.7109375" style="13" customWidth="1"/>
    <col min="14621" max="14621" width="16" style="13" customWidth="1"/>
    <col min="14622" max="14622" width="15" style="13" customWidth="1"/>
    <col min="14623" max="14623" width="9.42578125" style="13" customWidth="1"/>
    <col min="14624" max="14848" width="9.140625" style="13"/>
    <col min="14849" max="14849" width="12.28515625" style="13" customWidth="1"/>
    <col min="14850" max="14850" width="2.42578125" style="13" customWidth="1"/>
    <col min="14851" max="14851" width="3.42578125" style="13" customWidth="1"/>
    <col min="14852" max="14852" width="13.28515625" style="13" customWidth="1"/>
    <col min="14853" max="14853" width="3.140625" style="13" customWidth="1"/>
    <col min="14854" max="14854" width="5.140625" style="13" customWidth="1"/>
    <col min="14855" max="14855" width="16.42578125" style="13" customWidth="1"/>
    <col min="14856" max="14862" width="0" style="13" hidden="1" customWidth="1"/>
    <col min="14863" max="14863" width="4.140625" style="13" customWidth="1"/>
    <col min="14864" max="14864" width="5.7109375" style="13" customWidth="1"/>
    <col min="14865" max="14865" width="0" style="13" hidden="1" customWidth="1"/>
    <col min="14866" max="14866" width="15.7109375" style="13" customWidth="1"/>
    <col min="14867" max="14867" width="7.7109375" style="13" customWidth="1"/>
    <col min="14868" max="14868" width="9.140625" style="13"/>
    <col min="14869" max="14869" width="10.85546875" style="13" customWidth="1"/>
    <col min="14870" max="14870" width="9.7109375" style="13" customWidth="1"/>
    <col min="14871" max="14871" width="8.85546875" style="13" customWidth="1"/>
    <col min="14872" max="14872" width="10.7109375" style="13" customWidth="1"/>
    <col min="14873" max="14873" width="16" style="13" customWidth="1"/>
    <col min="14874" max="14874" width="8.7109375" style="13" customWidth="1"/>
    <col min="14875" max="14875" width="6.5703125" style="13" bestFit="1" customWidth="1"/>
    <col min="14876" max="14876" width="8.7109375" style="13" customWidth="1"/>
    <col min="14877" max="14877" width="16" style="13" customWidth="1"/>
    <col min="14878" max="14878" width="15" style="13" customWidth="1"/>
    <col min="14879" max="14879" width="9.42578125" style="13" customWidth="1"/>
    <col min="14880" max="15104" width="9.140625" style="13"/>
    <col min="15105" max="15105" width="12.28515625" style="13" customWidth="1"/>
    <col min="15106" max="15106" width="2.42578125" style="13" customWidth="1"/>
    <col min="15107" max="15107" width="3.42578125" style="13" customWidth="1"/>
    <col min="15108" max="15108" width="13.28515625" style="13" customWidth="1"/>
    <col min="15109" max="15109" width="3.140625" style="13" customWidth="1"/>
    <col min="15110" max="15110" width="5.140625" style="13" customWidth="1"/>
    <col min="15111" max="15111" width="16.42578125" style="13" customWidth="1"/>
    <col min="15112" max="15118" width="0" style="13" hidden="1" customWidth="1"/>
    <col min="15119" max="15119" width="4.140625" style="13" customWidth="1"/>
    <col min="15120" max="15120" width="5.7109375" style="13" customWidth="1"/>
    <col min="15121" max="15121" width="0" style="13" hidden="1" customWidth="1"/>
    <col min="15122" max="15122" width="15.7109375" style="13" customWidth="1"/>
    <col min="15123" max="15123" width="7.7109375" style="13" customWidth="1"/>
    <col min="15124" max="15124" width="9.140625" style="13"/>
    <col min="15125" max="15125" width="10.85546875" style="13" customWidth="1"/>
    <col min="15126" max="15126" width="9.7109375" style="13" customWidth="1"/>
    <col min="15127" max="15127" width="8.85546875" style="13" customWidth="1"/>
    <col min="15128" max="15128" width="10.7109375" style="13" customWidth="1"/>
    <col min="15129" max="15129" width="16" style="13" customWidth="1"/>
    <col min="15130" max="15130" width="8.7109375" style="13" customWidth="1"/>
    <col min="15131" max="15131" width="6.5703125" style="13" bestFit="1" customWidth="1"/>
    <col min="15132" max="15132" width="8.7109375" style="13" customWidth="1"/>
    <col min="15133" max="15133" width="16" style="13" customWidth="1"/>
    <col min="15134" max="15134" width="15" style="13" customWidth="1"/>
    <col min="15135" max="15135" width="9.42578125" style="13" customWidth="1"/>
    <col min="15136" max="15360" width="9.140625" style="13"/>
    <col min="15361" max="15361" width="12.28515625" style="13" customWidth="1"/>
    <col min="15362" max="15362" width="2.42578125" style="13" customWidth="1"/>
    <col min="15363" max="15363" width="3.42578125" style="13" customWidth="1"/>
    <col min="15364" max="15364" width="13.28515625" style="13" customWidth="1"/>
    <col min="15365" max="15365" width="3.140625" style="13" customWidth="1"/>
    <col min="15366" max="15366" width="5.140625" style="13" customWidth="1"/>
    <col min="15367" max="15367" width="16.42578125" style="13" customWidth="1"/>
    <col min="15368" max="15374" width="0" style="13" hidden="1" customWidth="1"/>
    <col min="15375" max="15375" width="4.140625" style="13" customWidth="1"/>
    <col min="15376" max="15376" width="5.7109375" style="13" customWidth="1"/>
    <col min="15377" max="15377" width="0" style="13" hidden="1" customWidth="1"/>
    <col min="15378" max="15378" width="15.7109375" style="13" customWidth="1"/>
    <col min="15379" max="15379" width="7.7109375" style="13" customWidth="1"/>
    <col min="15380" max="15380" width="9.140625" style="13"/>
    <col min="15381" max="15381" width="10.85546875" style="13" customWidth="1"/>
    <col min="15382" max="15382" width="9.7109375" style="13" customWidth="1"/>
    <col min="15383" max="15383" width="8.85546875" style="13" customWidth="1"/>
    <col min="15384" max="15384" width="10.7109375" style="13" customWidth="1"/>
    <col min="15385" max="15385" width="16" style="13" customWidth="1"/>
    <col min="15386" max="15386" width="8.7109375" style="13" customWidth="1"/>
    <col min="15387" max="15387" width="6.5703125" style="13" bestFit="1" customWidth="1"/>
    <col min="15388" max="15388" width="8.7109375" style="13" customWidth="1"/>
    <col min="15389" max="15389" width="16" style="13" customWidth="1"/>
    <col min="15390" max="15390" width="15" style="13" customWidth="1"/>
    <col min="15391" max="15391" width="9.42578125" style="13" customWidth="1"/>
    <col min="15392" max="15616" width="9.140625" style="13"/>
    <col min="15617" max="15617" width="12.28515625" style="13" customWidth="1"/>
    <col min="15618" max="15618" width="2.42578125" style="13" customWidth="1"/>
    <col min="15619" max="15619" width="3.42578125" style="13" customWidth="1"/>
    <col min="15620" max="15620" width="13.28515625" style="13" customWidth="1"/>
    <col min="15621" max="15621" width="3.140625" style="13" customWidth="1"/>
    <col min="15622" max="15622" width="5.140625" style="13" customWidth="1"/>
    <col min="15623" max="15623" width="16.42578125" style="13" customWidth="1"/>
    <col min="15624" max="15630" width="0" style="13" hidden="1" customWidth="1"/>
    <col min="15631" max="15631" width="4.140625" style="13" customWidth="1"/>
    <col min="15632" max="15632" width="5.7109375" style="13" customWidth="1"/>
    <col min="15633" max="15633" width="0" style="13" hidden="1" customWidth="1"/>
    <col min="15634" max="15634" width="15.7109375" style="13" customWidth="1"/>
    <col min="15635" max="15635" width="7.7109375" style="13" customWidth="1"/>
    <col min="15636" max="15636" width="9.140625" style="13"/>
    <col min="15637" max="15637" width="10.85546875" style="13" customWidth="1"/>
    <col min="15638" max="15638" width="9.7109375" style="13" customWidth="1"/>
    <col min="15639" max="15639" width="8.85546875" style="13" customWidth="1"/>
    <col min="15640" max="15640" width="10.7109375" style="13" customWidth="1"/>
    <col min="15641" max="15641" width="16" style="13" customWidth="1"/>
    <col min="15642" max="15642" width="8.7109375" style="13" customWidth="1"/>
    <col min="15643" max="15643" width="6.5703125" style="13" bestFit="1" customWidth="1"/>
    <col min="15644" max="15644" width="8.7109375" style="13" customWidth="1"/>
    <col min="15645" max="15645" width="16" style="13" customWidth="1"/>
    <col min="15646" max="15646" width="15" style="13" customWidth="1"/>
    <col min="15647" max="15647" width="9.42578125" style="13" customWidth="1"/>
    <col min="15648" max="15872" width="9.140625" style="13"/>
    <col min="15873" max="15873" width="12.28515625" style="13" customWidth="1"/>
    <col min="15874" max="15874" width="2.42578125" style="13" customWidth="1"/>
    <col min="15875" max="15875" width="3.42578125" style="13" customWidth="1"/>
    <col min="15876" max="15876" width="13.28515625" style="13" customWidth="1"/>
    <col min="15877" max="15877" width="3.140625" style="13" customWidth="1"/>
    <col min="15878" max="15878" width="5.140625" style="13" customWidth="1"/>
    <col min="15879" max="15879" width="16.42578125" style="13" customWidth="1"/>
    <col min="15880" max="15886" width="0" style="13" hidden="1" customWidth="1"/>
    <col min="15887" max="15887" width="4.140625" style="13" customWidth="1"/>
    <col min="15888" max="15888" width="5.7109375" style="13" customWidth="1"/>
    <col min="15889" max="15889" width="0" style="13" hidden="1" customWidth="1"/>
    <col min="15890" max="15890" width="15.7109375" style="13" customWidth="1"/>
    <col min="15891" max="15891" width="7.7109375" style="13" customWidth="1"/>
    <col min="15892" max="15892" width="9.140625" style="13"/>
    <col min="15893" max="15893" width="10.85546875" style="13" customWidth="1"/>
    <col min="15894" max="15894" width="9.7109375" style="13" customWidth="1"/>
    <col min="15895" max="15895" width="8.85546875" style="13" customWidth="1"/>
    <col min="15896" max="15896" width="10.7109375" style="13" customWidth="1"/>
    <col min="15897" max="15897" width="16" style="13" customWidth="1"/>
    <col min="15898" max="15898" width="8.7109375" style="13" customWidth="1"/>
    <col min="15899" max="15899" width="6.5703125" style="13" bestFit="1" customWidth="1"/>
    <col min="15900" max="15900" width="8.7109375" style="13" customWidth="1"/>
    <col min="15901" max="15901" width="16" style="13" customWidth="1"/>
    <col min="15902" max="15902" width="15" style="13" customWidth="1"/>
    <col min="15903" max="15903" width="9.42578125" style="13" customWidth="1"/>
    <col min="15904" max="16128" width="9.140625" style="13"/>
    <col min="16129" max="16129" width="12.28515625" style="13" customWidth="1"/>
    <col min="16130" max="16130" width="2.42578125" style="13" customWidth="1"/>
    <col min="16131" max="16131" width="3.42578125" style="13" customWidth="1"/>
    <col min="16132" max="16132" width="13.28515625" style="13" customWidth="1"/>
    <col min="16133" max="16133" width="3.140625" style="13" customWidth="1"/>
    <col min="16134" max="16134" width="5.140625" style="13" customWidth="1"/>
    <col min="16135" max="16135" width="16.42578125" style="13" customWidth="1"/>
    <col min="16136" max="16142" width="0" style="13" hidden="1" customWidth="1"/>
    <col min="16143" max="16143" width="4.140625" style="13" customWidth="1"/>
    <col min="16144" max="16144" width="5.7109375" style="13" customWidth="1"/>
    <col min="16145" max="16145" width="0" style="13" hidden="1" customWidth="1"/>
    <col min="16146" max="16146" width="15.7109375" style="13" customWidth="1"/>
    <col min="16147" max="16147" width="7.7109375" style="13" customWidth="1"/>
    <col min="16148" max="16148" width="9.140625" style="13"/>
    <col min="16149" max="16149" width="10.85546875" style="13" customWidth="1"/>
    <col min="16150" max="16150" width="9.7109375" style="13" customWidth="1"/>
    <col min="16151" max="16151" width="8.85546875" style="13" customWidth="1"/>
    <col min="16152" max="16152" width="10.7109375" style="13" customWidth="1"/>
    <col min="16153" max="16153" width="16" style="13" customWidth="1"/>
    <col min="16154" max="16154" width="8.7109375" style="13" customWidth="1"/>
    <col min="16155" max="16155" width="6.5703125" style="13" bestFit="1" customWidth="1"/>
    <col min="16156" max="16156" width="8.7109375" style="13" customWidth="1"/>
    <col min="16157" max="16157" width="16" style="13" customWidth="1"/>
    <col min="16158" max="16158" width="15" style="13" customWidth="1"/>
    <col min="16159" max="16159" width="9.42578125" style="13" customWidth="1"/>
    <col min="16160" max="16384" width="9.140625" style="13"/>
  </cols>
  <sheetData>
    <row r="1" spans="1:31" ht="12.95" customHeight="1" x14ac:dyDescent="0.35">
      <c r="A1" s="533"/>
      <c r="B1" s="533"/>
      <c r="C1" s="533"/>
      <c r="D1" s="533"/>
      <c r="E1" s="533"/>
      <c r="F1" s="533"/>
      <c r="G1" s="533"/>
      <c r="H1" s="533"/>
      <c r="I1" s="533"/>
      <c r="J1" s="533"/>
      <c r="K1" s="533"/>
      <c r="L1" s="533"/>
      <c r="M1" s="533"/>
      <c r="N1" s="533"/>
      <c r="O1" s="533"/>
      <c r="P1" s="533"/>
      <c r="Q1" s="533"/>
      <c r="R1" s="533"/>
      <c r="S1" s="533"/>
    </row>
    <row r="2" spans="1:31" s="14" customFormat="1" ht="15" customHeight="1" x14ac:dyDescent="0.35">
      <c r="A2" s="533" t="s">
        <v>31</v>
      </c>
      <c r="B2" s="533"/>
      <c r="C2" s="533"/>
      <c r="D2" s="533"/>
      <c r="E2" s="533"/>
      <c r="F2" s="533"/>
      <c r="G2" s="533"/>
      <c r="H2" s="533"/>
      <c r="I2" s="533"/>
      <c r="J2" s="533"/>
      <c r="K2" s="533"/>
      <c r="L2" s="533"/>
      <c r="M2" s="533"/>
      <c r="N2" s="533"/>
      <c r="O2" s="533"/>
      <c r="P2" s="533"/>
      <c r="Q2" s="533"/>
      <c r="R2" s="533"/>
      <c r="S2" s="533"/>
      <c r="T2" s="533"/>
      <c r="U2" s="533"/>
      <c r="V2" s="533"/>
      <c r="W2" s="533"/>
      <c r="X2" s="533"/>
      <c r="Y2" s="533"/>
      <c r="Z2" s="533"/>
      <c r="AA2" s="533"/>
      <c r="AB2" s="533"/>
      <c r="AC2" s="533"/>
      <c r="AD2" s="533"/>
      <c r="AE2" s="533"/>
    </row>
    <row r="3" spans="1:31" s="14" customFormat="1" ht="15" customHeight="1" x14ac:dyDescent="0.35">
      <c r="A3" s="534" t="s">
        <v>264</v>
      </c>
      <c r="B3" s="533"/>
      <c r="C3" s="533"/>
      <c r="D3" s="533"/>
      <c r="E3" s="533"/>
      <c r="F3" s="533"/>
      <c r="G3" s="533"/>
      <c r="H3" s="533"/>
      <c r="I3" s="533"/>
      <c r="J3" s="533"/>
      <c r="K3" s="533"/>
      <c r="L3" s="533"/>
      <c r="M3" s="533"/>
      <c r="N3" s="533"/>
      <c r="O3" s="533"/>
      <c r="P3" s="533"/>
      <c r="Q3" s="533"/>
      <c r="R3" s="533"/>
      <c r="S3" s="533"/>
      <c r="T3" s="533"/>
      <c r="U3" s="533"/>
      <c r="V3" s="533"/>
      <c r="W3" s="533"/>
      <c r="X3" s="533"/>
      <c r="Y3" s="533"/>
      <c r="Z3" s="533"/>
      <c r="AA3" s="533"/>
      <c r="AB3" s="533"/>
      <c r="AC3" s="533"/>
      <c r="AD3" s="533"/>
      <c r="AE3" s="533"/>
    </row>
    <row r="4" spans="1:31" s="14" customFormat="1" ht="12.95" customHeight="1" x14ac:dyDescent="0.3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</row>
    <row r="5" spans="1:31" s="14" customFormat="1" ht="12.95" customHeight="1" x14ac:dyDescent="0.35">
      <c r="A5" s="16" t="s">
        <v>32</v>
      </c>
      <c r="B5" s="15"/>
      <c r="C5" s="15"/>
      <c r="D5" s="15"/>
      <c r="E5" s="15" t="s">
        <v>33</v>
      </c>
      <c r="F5" s="16" t="s">
        <v>34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1:31" s="14" customFormat="1" ht="12.95" customHeight="1" x14ac:dyDescent="0.35">
      <c r="A6" s="16" t="s">
        <v>35</v>
      </c>
      <c r="B6" s="15"/>
      <c r="C6" s="15"/>
      <c r="D6" s="15"/>
      <c r="E6" s="15" t="s">
        <v>33</v>
      </c>
      <c r="F6" s="16" t="s">
        <v>179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</row>
    <row r="7" spans="1:31" s="14" customFormat="1" ht="12.95" customHeight="1" x14ac:dyDescent="0.35">
      <c r="A7" s="16" t="s">
        <v>36</v>
      </c>
      <c r="B7" s="15"/>
      <c r="C7" s="15"/>
      <c r="D7" s="15"/>
      <c r="E7" s="15" t="s">
        <v>33</v>
      </c>
      <c r="F7" s="535">
        <v>2239183000</v>
      </c>
      <c r="G7" s="535"/>
      <c r="H7" s="17"/>
      <c r="I7" s="17"/>
      <c r="J7" s="17"/>
      <c r="K7" s="17"/>
      <c r="L7" s="17"/>
      <c r="M7" s="17"/>
      <c r="N7" s="17"/>
      <c r="O7" s="17"/>
      <c r="P7" s="17"/>
      <c r="Q7" s="15"/>
      <c r="R7" s="15"/>
      <c r="S7" s="15"/>
    </row>
    <row r="8" spans="1:31" s="14" customFormat="1" ht="12.95" customHeight="1" x14ac:dyDescent="0.35">
      <c r="A8" s="16" t="s">
        <v>37</v>
      </c>
      <c r="B8" s="15"/>
      <c r="C8" s="15"/>
      <c r="D8" s="15"/>
      <c r="E8" s="15" t="s">
        <v>33</v>
      </c>
      <c r="F8" s="16" t="s">
        <v>38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</row>
    <row r="9" spans="1:31" s="14" customFormat="1" ht="12.95" customHeight="1" x14ac:dyDescent="0.35">
      <c r="A9" s="16" t="s">
        <v>39</v>
      </c>
      <c r="B9" s="15"/>
      <c r="C9" s="15"/>
      <c r="D9" s="15"/>
      <c r="E9" s="15" t="s">
        <v>33</v>
      </c>
      <c r="F9" s="16" t="s">
        <v>40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</row>
    <row r="10" spans="1:31" ht="12.95" customHeight="1" x14ac:dyDescent="0.35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</row>
    <row r="11" spans="1:31" ht="12.95" customHeight="1" x14ac:dyDescent="0.35">
      <c r="A11" s="19"/>
      <c r="B11" s="20"/>
      <c r="C11" s="21"/>
      <c r="D11" s="21"/>
      <c r="E11" s="21"/>
      <c r="F11" s="21"/>
      <c r="G11" s="22"/>
      <c r="H11" s="23"/>
      <c r="I11" s="23"/>
      <c r="J11" s="24"/>
      <c r="K11" s="25"/>
      <c r="L11" s="23"/>
      <c r="M11" s="23"/>
      <c r="N11" s="23"/>
      <c r="O11" s="20"/>
      <c r="P11" s="22"/>
      <c r="Q11" s="23"/>
      <c r="R11" s="23"/>
      <c r="S11" s="26"/>
      <c r="T11" s="21"/>
      <c r="U11" s="22"/>
      <c r="V11" s="22"/>
      <c r="W11" s="536" t="s">
        <v>41</v>
      </c>
      <c r="X11" s="537"/>
      <c r="Y11" s="540" t="s">
        <v>42</v>
      </c>
      <c r="Z11" s="541"/>
      <c r="AA11" s="542" t="s">
        <v>43</v>
      </c>
      <c r="AB11" s="543"/>
      <c r="AC11" s="536" t="s">
        <v>44</v>
      </c>
      <c r="AD11" s="544"/>
      <c r="AE11" s="546" t="s">
        <v>45</v>
      </c>
    </row>
    <row r="12" spans="1:31" s="28" customFormat="1" ht="12.95" customHeight="1" x14ac:dyDescent="0.35">
      <c r="A12" s="549" t="s">
        <v>46</v>
      </c>
      <c r="B12" s="551" t="s">
        <v>47</v>
      </c>
      <c r="C12" s="551"/>
      <c r="D12" s="551"/>
      <c r="E12" s="551"/>
      <c r="F12" s="551"/>
      <c r="G12" s="551"/>
      <c r="H12" s="518" t="s">
        <v>48</v>
      </c>
      <c r="I12" s="519"/>
      <c r="J12" s="519"/>
      <c r="K12" s="553"/>
      <c r="O12" s="554" t="s">
        <v>49</v>
      </c>
      <c r="P12" s="551"/>
      <c r="Q12" s="556" t="s">
        <v>50</v>
      </c>
      <c r="R12" s="558" t="s">
        <v>51</v>
      </c>
      <c r="S12" s="531" t="s">
        <v>52</v>
      </c>
      <c r="T12" s="518" t="s">
        <v>53</v>
      </c>
      <c r="U12" s="553"/>
      <c r="V12" s="29" t="s">
        <v>54</v>
      </c>
      <c r="W12" s="538"/>
      <c r="X12" s="539"/>
      <c r="Y12" s="518" t="s">
        <v>55</v>
      </c>
      <c r="Z12" s="519"/>
      <c r="AA12" s="520" t="s">
        <v>56</v>
      </c>
      <c r="AB12" s="521"/>
      <c r="AC12" s="538"/>
      <c r="AD12" s="545"/>
      <c r="AE12" s="547"/>
    </row>
    <row r="13" spans="1:31" s="30" customFormat="1" ht="12.95" customHeight="1" x14ac:dyDescent="0.35">
      <c r="A13" s="549"/>
      <c r="B13" s="551"/>
      <c r="C13" s="551"/>
      <c r="D13" s="551"/>
      <c r="E13" s="551"/>
      <c r="F13" s="551"/>
      <c r="G13" s="551"/>
      <c r="H13" s="522" t="s">
        <v>49</v>
      </c>
      <c r="I13" s="522"/>
      <c r="J13" s="525" t="s">
        <v>50</v>
      </c>
      <c r="K13" s="528" t="s">
        <v>57</v>
      </c>
      <c r="O13" s="554"/>
      <c r="P13" s="551"/>
      <c r="Q13" s="556"/>
      <c r="R13" s="558"/>
      <c r="S13" s="531"/>
      <c r="T13" s="31" t="s">
        <v>58</v>
      </c>
      <c r="U13" s="31" t="s">
        <v>59</v>
      </c>
      <c r="V13" s="32"/>
      <c r="W13" s="32"/>
      <c r="X13" s="32" t="s">
        <v>60</v>
      </c>
      <c r="Y13" s="32"/>
      <c r="Z13" s="32" t="s">
        <v>61</v>
      </c>
      <c r="AA13" s="32" t="s">
        <v>62</v>
      </c>
      <c r="AB13" s="32" t="s">
        <v>63</v>
      </c>
      <c r="AC13" s="32" t="s">
        <v>64</v>
      </c>
      <c r="AD13" s="33" t="s">
        <v>65</v>
      </c>
      <c r="AE13" s="547"/>
    </row>
    <row r="14" spans="1:31" s="30" customFormat="1" ht="12.95" customHeight="1" x14ac:dyDescent="0.35">
      <c r="A14" s="549"/>
      <c r="B14" s="551"/>
      <c r="C14" s="551"/>
      <c r="D14" s="551"/>
      <c r="E14" s="551"/>
      <c r="F14" s="551"/>
      <c r="G14" s="551"/>
      <c r="H14" s="523"/>
      <c r="I14" s="523"/>
      <c r="J14" s="526"/>
      <c r="K14" s="529"/>
      <c r="O14" s="554"/>
      <c r="P14" s="551"/>
      <c r="Q14" s="556"/>
      <c r="R14" s="558"/>
      <c r="S14" s="531"/>
      <c r="T14" s="31" t="s">
        <v>66</v>
      </c>
      <c r="U14" s="31" t="s">
        <v>67</v>
      </c>
      <c r="V14" s="31" t="s">
        <v>68</v>
      </c>
      <c r="W14" s="32" t="s">
        <v>69</v>
      </c>
      <c r="X14" s="32" t="s">
        <v>60</v>
      </c>
      <c r="Y14" s="32" t="s">
        <v>70</v>
      </c>
      <c r="Z14" s="32" t="s">
        <v>71</v>
      </c>
      <c r="AA14" s="32" t="s">
        <v>72</v>
      </c>
      <c r="AB14" s="32" t="s">
        <v>73</v>
      </c>
      <c r="AC14" s="32" t="s">
        <v>74</v>
      </c>
      <c r="AD14" s="33" t="s">
        <v>75</v>
      </c>
      <c r="AE14" s="547"/>
    </row>
    <row r="15" spans="1:31" s="30" customFormat="1" ht="12.95" customHeight="1" thickBot="1" x14ac:dyDescent="0.4">
      <c r="A15" s="550"/>
      <c r="B15" s="552"/>
      <c r="C15" s="552"/>
      <c r="D15" s="552"/>
      <c r="E15" s="552"/>
      <c r="F15" s="552"/>
      <c r="G15" s="552"/>
      <c r="H15" s="524"/>
      <c r="I15" s="524"/>
      <c r="J15" s="527"/>
      <c r="K15" s="530"/>
      <c r="O15" s="555"/>
      <c r="P15" s="552"/>
      <c r="Q15" s="557"/>
      <c r="R15" s="559"/>
      <c r="S15" s="532"/>
      <c r="T15" s="34" t="s">
        <v>76</v>
      </c>
      <c r="U15" s="34"/>
      <c r="V15" s="35"/>
      <c r="W15" s="35"/>
      <c r="X15" s="35"/>
      <c r="Y15" s="35"/>
      <c r="Z15" s="35"/>
      <c r="AA15" s="35"/>
      <c r="AB15" s="35"/>
      <c r="AC15" s="35" t="s">
        <v>77</v>
      </c>
      <c r="AD15" s="36" t="s">
        <v>78</v>
      </c>
      <c r="AE15" s="548"/>
    </row>
    <row r="16" spans="1:31" s="40" customFormat="1" ht="12.95" customHeight="1" thickTop="1" x14ac:dyDescent="0.35">
      <c r="A16" s="37">
        <v>1</v>
      </c>
      <c r="B16" s="503">
        <v>2</v>
      </c>
      <c r="C16" s="504"/>
      <c r="D16" s="504"/>
      <c r="E16" s="504"/>
      <c r="F16" s="504"/>
      <c r="G16" s="505"/>
      <c r="H16" s="503">
        <v>3</v>
      </c>
      <c r="I16" s="505"/>
      <c r="J16" s="38">
        <v>4</v>
      </c>
      <c r="K16" s="39">
        <v>5</v>
      </c>
      <c r="O16" s="503">
        <v>3</v>
      </c>
      <c r="P16" s="505"/>
      <c r="Q16" s="38">
        <v>4</v>
      </c>
      <c r="R16" s="41">
        <v>4</v>
      </c>
      <c r="S16" s="42">
        <v>5</v>
      </c>
      <c r="T16" s="43">
        <v>6</v>
      </c>
      <c r="U16" s="43">
        <v>7</v>
      </c>
      <c r="V16" s="43">
        <v>8</v>
      </c>
      <c r="W16" s="43">
        <v>9</v>
      </c>
      <c r="X16" s="43">
        <v>10</v>
      </c>
      <c r="Y16" s="43">
        <v>11</v>
      </c>
      <c r="Z16" s="43">
        <v>12</v>
      </c>
      <c r="AA16" s="43">
        <v>13</v>
      </c>
      <c r="AB16" s="43">
        <v>14</v>
      </c>
      <c r="AC16" s="43">
        <v>15</v>
      </c>
      <c r="AD16" s="43">
        <v>16</v>
      </c>
      <c r="AE16" s="43">
        <v>17</v>
      </c>
    </row>
    <row r="17" spans="1:37" ht="12" customHeight="1" x14ac:dyDescent="0.35">
      <c r="A17" s="44"/>
      <c r="B17" s="45"/>
      <c r="C17" s="45"/>
      <c r="D17" s="45"/>
      <c r="E17" s="45"/>
      <c r="F17" s="45"/>
      <c r="G17" s="46"/>
      <c r="H17" s="47"/>
      <c r="I17" s="46"/>
      <c r="J17" s="48"/>
      <c r="K17" s="49"/>
      <c r="L17" s="50"/>
      <c r="M17" s="50"/>
      <c r="N17" s="50"/>
      <c r="O17" s="51"/>
      <c r="P17" s="52"/>
      <c r="Q17" s="53"/>
      <c r="R17" s="54"/>
      <c r="S17" s="55"/>
      <c r="T17" s="56"/>
      <c r="U17" s="57"/>
      <c r="V17" s="57"/>
      <c r="W17" s="57"/>
      <c r="X17" s="57"/>
      <c r="Y17" s="58"/>
      <c r="Z17" s="56"/>
      <c r="AA17" s="56"/>
      <c r="AB17" s="56"/>
      <c r="AC17" s="58"/>
      <c r="AD17" s="58"/>
      <c r="AE17" s="56"/>
    </row>
    <row r="18" spans="1:37" ht="12" customHeight="1" x14ac:dyDescent="0.35">
      <c r="A18" s="59" t="s">
        <v>79</v>
      </c>
      <c r="B18" s="60" t="s">
        <v>80</v>
      </c>
      <c r="C18" s="60"/>
      <c r="D18" s="60"/>
      <c r="E18" s="60"/>
      <c r="F18" s="60"/>
      <c r="G18" s="61"/>
      <c r="H18" s="62"/>
      <c r="I18" s="63"/>
      <c r="J18" s="64"/>
      <c r="K18" s="65"/>
      <c r="L18" s="66"/>
      <c r="M18" s="66"/>
      <c r="N18" s="66"/>
      <c r="O18" s="67"/>
      <c r="P18" s="60"/>
      <c r="Q18" s="68"/>
      <c r="R18" s="69"/>
      <c r="S18" s="70"/>
      <c r="T18" s="71"/>
      <c r="U18" s="72"/>
      <c r="V18" s="72"/>
      <c r="W18" s="72"/>
      <c r="X18" s="72"/>
      <c r="Y18" s="73"/>
      <c r="Z18" s="71"/>
      <c r="AA18" s="71"/>
      <c r="AB18" s="71"/>
      <c r="AC18" s="73"/>
      <c r="AD18" s="73"/>
      <c r="AE18" s="71"/>
    </row>
    <row r="19" spans="1:37" ht="12" customHeight="1" x14ac:dyDescent="0.35">
      <c r="A19" s="74"/>
      <c r="B19" s="75"/>
      <c r="C19" s="75"/>
      <c r="D19" s="75"/>
      <c r="E19" s="75"/>
      <c r="F19" s="75"/>
      <c r="G19" s="76"/>
      <c r="H19" s="77"/>
      <c r="I19" s="78"/>
      <c r="J19" s="79"/>
      <c r="K19" s="80"/>
      <c r="L19" s="81"/>
      <c r="M19" s="81"/>
      <c r="N19" s="81"/>
      <c r="O19" s="82"/>
      <c r="P19" s="75"/>
      <c r="Q19" s="83"/>
      <c r="R19" s="84"/>
      <c r="S19" s="85"/>
      <c r="T19" s="86"/>
      <c r="U19" s="87"/>
      <c r="V19" s="87"/>
      <c r="W19" s="87"/>
      <c r="X19" s="87"/>
      <c r="Y19" s="88"/>
      <c r="Z19" s="86"/>
      <c r="AA19" s="86"/>
      <c r="AB19" s="86"/>
      <c r="AC19" s="88"/>
      <c r="AD19" s="88"/>
      <c r="AE19" s="86"/>
    </row>
    <row r="20" spans="1:37" ht="12" customHeight="1" x14ac:dyDescent="0.35">
      <c r="A20" s="89" t="s">
        <v>180</v>
      </c>
      <c r="B20" s="60" t="s">
        <v>181</v>
      </c>
      <c r="C20" s="60"/>
      <c r="D20" s="60"/>
      <c r="E20" s="60"/>
      <c r="F20" s="60"/>
      <c r="G20" s="61"/>
      <c r="H20" s="62"/>
      <c r="I20" s="63"/>
      <c r="J20" s="64"/>
      <c r="K20" s="65"/>
      <c r="L20" s="66"/>
      <c r="M20" s="66"/>
      <c r="N20" s="66"/>
      <c r="O20" s="67"/>
      <c r="P20" s="60"/>
      <c r="Q20" s="68"/>
      <c r="R20" s="69"/>
      <c r="S20" s="70"/>
      <c r="T20" s="71"/>
      <c r="U20" s="72"/>
      <c r="V20" s="72"/>
      <c r="W20" s="72"/>
      <c r="X20" s="72"/>
      <c r="Y20" s="73"/>
      <c r="Z20" s="71"/>
      <c r="AA20" s="71"/>
      <c r="AB20" s="71"/>
      <c r="AC20" s="73"/>
      <c r="AD20" s="73"/>
      <c r="AE20" s="71"/>
      <c r="AF20" s="90"/>
      <c r="AG20" s="90"/>
      <c r="AH20" s="90"/>
      <c r="AI20" s="90"/>
      <c r="AJ20" s="90"/>
      <c r="AK20" s="90"/>
    </row>
    <row r="21" spans="1:37" ht="12" customHeight="1" x14ac:dyDescent="0.35">
      <c r="A21" s="74"/>
      <c r="B21" s="75"/>
      <c r="C21" s="75"/>
      <c r="D21" s="75"/>
      <c r="E21" s="75"/>
      <c r="F21" s="75"/>
      <c r="G21" s="76"/>
      <c r="H21" s="77"/>
      <c r="I21" s="78"/>
      <c r="J21" s="79"/>
      <c r="K21" s="80"/>
      <c r="L21" s="81"/>
      <c r="M21" s="81"/>
      <c r="N21" s="81"/>
      <c r="O21" s="82"/>
      <c r="P21" s="75"/>
      <c r="Q21" s="83"/>
      <c r="R21" s="84"/>
      <c r="S21" s="85"/>
      <c r="T21" s="86"/>
      <c r="U21" s="87"/>
      <c r="V21" s="87"/>
      <c r="W21" s="87"/>
      <c r="X21" s="87"/>
      <c r="Y21" s="88"/>
      <c r="Z21" s="86"/>
      <c r="AA21" s="86"/>
      <c r="AB21" s="86"/>
      <c r="AC21" s="88"/>
      <c r="AD21" s="88"/>
      <c r="AE21" s="86"/>
    </row>
    <row r="22" spans="1:37" ht="12" customHeight="1" x14ac:dyDescent="0.35">
      <c r="A22" s="91" t="s">
        <v>182</v>
      </c>
      <c r="B22" s="75" t="s">
        <v>183</v>
      </c>
      <c r="C22" s="75"/>
      <c r="D22" s="75"/>
      <c r="E22" s="75"/>
      <c r="F22" s="75"/>
      <c r="G22" s="76"/>
      <c r="H22" s="77"/>
      <c r="I22" s="78"/>
      <c r="J22" s="79"/>
      <c r="K22" s="80"/>
      <c r="L22" s="81"/>
      <c r="M22" s="81"/>
      <c r="N22" s="81"/>
      <c r="O22" s="82"/>
      <c r="P22" s="75"/>
      <c r="Q22" s="83"/>
      <c r="R22" s="84"/>
      <c r="S22" s="85"/>
      <c r="T22" s="86"/>
      <c r="U22" s="87"/>
      <c r="V22" s="87"/>
      <c r="W22" s="87"/>
      <c r="X22" s="87"/>
      <c r="Y22" s="88"/>
      <c r="Z22" s="86"/>
      <c r="AA22" s="86"/>
      <c r="AB22" s="86"/>
      <c r="AC22" s="88"/>
      <c r="AD22" s="88"/>
      <c r="AE22" s="86"/>
    </row>
    <row r="23" spans="1:37" ht="12" customHeight="1" x14ac:dyDescent="0.35">
      <c r="A23" s="74"/>
      <c r="B23" s="75"/>
      <c r="C23" s="75"/>
      <c r="D23" s="75"/>
      <c r="E23" s="75"/>
      <c r="F23" s="75"/>
      <c r="G23" s="76"/>
      <c r="H23" s="77"/>
      <c r="I23" s="78"/>
      <c r="J23" s="79"/>
      <c r="K23" s="80"/>
      <c r="L23" s="81"/>
      <c r="M23" s="81"/>
      <c r="N23" s="81"/>
      <c r="O23" s="82"/>
      <c r="P23" s="75"/>
      <c r="Q23" s="83"/>
      <c r="R23" s="84"/>
      <c r="S23" s="85"/>
      <c r="T23" s="86"/>
      <c r="U23" s="87"/>
      <c r="V23" s="87"/>
      <c r="W23" s="87"/>
      <c r="X23" s="87"/>
      <c r="Y23" s="88"/>
      <c r="Z23" s="86"/>
      <c r="AA23" s="86"/>
      <c r="AB23" s="86"/>
      <c r="AC23" s="88"/>
      <c r="AD23" s="88"/>
      <c r="AE23" s="86"/>
    </row>
    <row r="24" spans="1:37" ht="12" customHeight="1" x14ac:dyDescent="0.35">
      <c r="A24" s="92" t="s">
        <v>184</v>
      </c>
      <c r="B24" s="75" t="s">
        <v>185</v>
      </c>
      <c r="C24" s="75"/>
      <c r="D24" s="75"/>
      <c r="E24" s="75"/>
      <c r="F24" s="75"/>
      <c r="G24" s="76"/>
      <c r="H24" s="77"/>
      <c r="I24" s="78"/>
      <c r="J24" s="79"/>
      <c r="K24" s="80"/>
      <c r="L24" s="81"/>
      <c r="M24" s="81"/>
      <c r="N24" s="81"/>
      <c r="O24" s="82"/>
      <c r="P24" s="75"/>
      <c r="Q24" s="83"/>
      <c r="R24" s="84"/>
      <c r="S24" s="85"/>
      <c r="T24" s="86"/>
      <c r="U24" s="87"/>
      <c r="V24" s="87"/>
      <c r="W24" s="87"/>
      <c r="X24" s="87"/>
      <c r="Y24" s="88"/>
      <c r="Z24" s="86"/>
      <c r="AA24" s="86"/>
      <c r="AB24" s="86"/>
      <c r="AC24" s="88"/>
      <c r="AD24" s="88"/>
      <c r="AE24" s="86"/>
    </row>
    <row r="25" spans="1:37" ht="12" customHeight="1" x14ac:dyDescent="0.35">
      <c r="A25" s="284">
        <v>521211</v>
      </c>
      <c r="B25" s="285" t="s">
        <v>186</v>
      </c>
      <c r="C25" s="94"/>
      <c r="D25" s="94"/>
      <c r="E25" s="94"/>
      <c r="F25" s="94"/>
      <c r="G25" s="95"/>
      <c r="H25" s="77"/>
      <c r="I25" s="78"/>
      <c r="J25" s="79"/>
      <c r="K25" s="80"/>
      <c r="L25" s="81"/>
      <c r="M25" s="81"/>
      <c r="N25" s="81"/>
      <c r="O25" s="82"/>
      <c r="P25" s="75"/>
      <c r="Q25" s="83"/>
      <c r="R25" s="84"/>
      <c r="S25" s="85"/>
      <c r="T25" s="86"/>
      <c r="U25" s="87"/>
      <c r="V25" s="87"/>
      <c r="W25" s="87"/>
      <c r="X25" s="87"/>
      <c r="Y25" s="88"/>
      <c r="Z25" s="86"/>
      <c r="AA25" s="86"/>
      <c r="AB25" s="86"/>
      <c r="AC25" s="88"/>
      <c r="AD25" s="88"/>
      <c r="AE25" s="86"/>
    </row>
    <row r="26" spans="1:37" ht="12" customHeight="1" x14ac:dyDescent="0.35">
      <c r="A26" s="93"/>
      <c r="B26" s="102" t="s">
        <v>82</v>
      </c>
      <c r="C26" s="94" t="s">
        <v>189</v>
      </c>
      <c r="D26" s="94"/>
      <c r="E26" s="94"/>
      <c r="F26" s="94"/>
      <c r="G26" s="95"/>
      <c r="H26" s="77"/>
      <c r="I26" s="78"/>
      <c r="J26" s="79"/>
      <c r="K26" s="80"/>
      <c r="L26" s="81"/>
      <c r="M26" s="81"/>
      <c r="N26" s="81"/>
      <c r="O26" s="96">
        <v>1</v>
      </c>
      <c r="P26" s="94" t="s">
        <v>83</v>
      </c>
      <c r="Q26" s="97"/>
      <c r="R26" s="98">
        <f>O26*2730000</f>
        <v>2730000</v>
      </c>
      <c r="S26" s="85">
        <f>+R26/$R$184*100</f>
        <v>0.12191946794880097</v>
      </c>
      <c r="T26" s="99">
        <v>0</v>
      </c>
      <c r="U26" s="87"/>
      <c r="V26" s="87"/>
      <c r="W26" s="87"/>
      <c r="X26" s="87"/>
      <c r="Y26" s="88">
        <v>0</v>
      </c>
      <c r="Z26" s="99">
        <f>+Y26/R26*100</f>
        <v>0</v>
      </c>
      <c r="AA26" s="100">
        <f>Z26</f>
        <v>0</v>
      </c>
      <c r="AB26" s="99">
        <f>AA26*S26/100</f>
        <v>0</v>
      </c>
      <c r="AC26" s="88"/>
      <c r="AD26" s="88">
        <f>+R26-Y26</f>
        <v>2730000</v>
      </c>
      <c r="AE26" s="86"/>
    </row>
    <row r="27" spans="1:37" ht="12" customHeight="1" x14ac:dyDescent="0.35">
      <c r="A27" s="93"/>
      <c r="B27" s="102" t="s">
        <v>82</v>
      </c>
      <c r="C27" s="94" t="s">
        <v>187</v>
      </c>
      <c r="D27" s="94"/>
      <c r="E27" s="94"/>
      <c r="F27" s="94"/>
      <c r="G27" s="95"/>
      <c r="H27" s="77"/>
      <c r="I27" s="78"/>
      <c r="J27" s="79"/>
      <c r="K27" s="80"/>
      <c r="L27" s="81"/>
      <c r="M27" s="81"/>
      <c r="N27" s="81"/>
      <c r="O27" s="96">
        <v>1</v>
      </c>
      <c r="P27" s="94" t="s">
        <v>83</v>
      </c>
      <c r="Q27" s="97"/>
      <c r="R27" s="98">
        <f>O27*2810000</f>
        <v>2810000</v>
      </c>
      <c r="S27" s="85">
        <f>+R27/$R$184*100</f>
        <v>0.12549219961030428</v>
      </c>
      <c r="T27" s="99"/>
      <c r="U27" s="87"/>
      <c r="V27" s="87"/>
      <c r="W27" s="87"/>
      <c r="X27" s="87"/>
      <c r="Y27" s="88">
        <v>0</v>
      </c>
      <c r="Z27" s="99">
        <f t="shared" ref="Z27:Z30" si="0">+Y27/R27*100</f>
        <v>0</v>
      </c>
      <c r="AA27" s="100">
        <f t="shared" ref="AA27:AA61" si="1">Z27</f>
        <v>0</v>
      </c>
      <c r="AB27" s="99">
        <f t="shared" ref="AB27:AB30" si="2">AA27*S27/100</f>
        <v>0</v>
      </c>
      <c r="AC27" s="88"/>
      <c r="AD27" s="88">
        <f t="shared" ref="AD27:AD34" si="3">+R27-Y27</f>
        <v>2810000</v>
      </c>
      <c r="AE27" s="86"/>
    </row>
    <row r="28" spans="1:37" ht="12" customHeight="1" x14ac:dyDescent="0.35">
      <c r="A28" s="93"/>
      <c r="B28" s="102" t="s">
        <v>82</v>
      </c>
      <c r="C28" s="94" t="s">
        <v>190</v>
      </c>
      <c r="D28" s="94"/>
      <c r="E28" s="94"/>
      <c r="F28" s="94"/>
      <c r="G28" s="95"/>
      <c r="H28" s="77"/>
      <c r="I28" s="78"/>
      <c r="J28" s="79"/>
      <c r="K28" s="80"/>
      <c r="L28" s="81"/>
      <c r="M28" s="81"/>
      <c r="N28" s="81"/>
      <c r="O28" s="96">
        <v>1</v>
      </c>
      <c r="P28" s="94" t="s">
        <v>83</v>
      </c>
      <c r="Q28" s="97"/>
      <c r="R28" s="98">
        <f>O28*8490000</f>
        <v>8490000</v>
      </c>
      <c r="S28" s="85">
        <f>+R28/$R$184*100</f>
        <v>0.37915614757704036</v>
      </c>
      <c r="T28" s="99"/>
      <c r="U28" s="87"/>
      <c r="V28" s="87"/>
      <c r="W28" s="87"/>
      <c r="X28" s="87"/>
      <c r="Y28" s="88">
        <v>0</v>
      </c>
      <c r="Z28" s="99">
        <f t="shared" si="0"/>
        <v>0</v>
      </c>
      <c r="AA28" s="100">
        <f t="shared" si="1"/>
        <v>0</v>
      </c>
      <c r="AB28" s="99">
        <f t="shared" si="2"/>
        <v>0</v>
      </c>
      <c r="AC28" s="88"/>
      <c r="AD28" s="88">
        <f t="shared" si="3"/>
        <v>8490000</v>
      </c>
      <c r="AE28" s="86"/>
    </row>
    <row r="29" spans="1:37" ht="12" customHeight="1" x14ac:dyDescent="0.35">
      <c r="A29" s="93"/>
      <c r="B29" s="102" t="s">
        <v>82</v>
      </c>
      <c r="C29" s="94" t="s">
        <v>188</v>
      </c>
      <c r="D29" s="94"/>
      <c r="E29" s="94"/>
      <c r="F29" s="94"/>
      <c r="G29" s="95"/>
      <c r="H29" s="77"/>
      <c r="I29" s="78"/>
      <c r="J29" s="79"/>
      <c r="K29" s="80"/>
      <c r="L29" s="81"/>
      <c r="M29" s="81"/>
      <c r="N29" s="81"/>
      <c r="O29" s="96">
        <v>1</v>
      </c>
      <c r="P29" s="94" t="s">
        <v>83</v>
      </c>
      <c r="Q29" s="97"/>
      <c r="R29" s="98">
        <f>O29*9990000</f>
        <v>9990000</v>
      </c>
      <c r="S29" s="85">
        <f>+R29/$R$184*100</f>
        <v>0.4461448662302277</v>
      </c>
      <c r="T29" s="99"/>
      <c r="U29" s="87"/>
      <c r="V29" s="87"/>
      <c r="W29" s="87"/>
      <c r="X29" s="87"/>
      <c r="Y29" s="88">
        <v>0</v>
      </c>
      <c r="Z29" s="99">
        <f t="shared" si="0"/>
        <v>0</v>
      </c>
      <c r="AA29" s="100">
        <f t="shared" si="1"/>
        <v>0</v>
      </c>
      <c r="AB29" s="99">
        <f t="shared" si="2"/>
        <v>0</v>
      </c>
      <c r="AC29" s="88"/>
      <c r="AD29" s="88">
        <f t="shared" si="3"/>
        <v>9990000</v>
      </c>
      <c r="AE29" s="86"/>
    </row>
    <row r="30" spans="1:37" ht="12" customHeight="1" x14ac:dyDescent="0.35">
      <c r="A30" s="93"/>
      <c r="B30" s="102" t="s">
        <v>191</v>
      </c>
      <c r="C30" s="94" t="s">
        <v>192</v>
      </c>
      <c r="D30" s="94"/>
      <c r="E30" s="94"/>
      <c r="F30" s="94"/>
      <c r="G30" s="95"/>
      <c r="H30" s="77"/>
      <c r="I30" s="78"/>
      <c r="J30" s="79"/>
      <c r="K30" s="80"/>
      <c r="L30" s="81"/>
      <c r="M30" s="81"/>
      <c r="N30" s="81"/>
      <c r="O30" s="96">
        <v>1</v>
      </c>
      <c r="P30" s="94" t="s">
        <v>83</v>
      </c>
      <c r="Q30" s="97"/>
      <c r="R30" s="98">
        <f>O30*2480000</f>
        <v>2480000</v>
      </c>
      <c r="S30" s="85">
        <f>+R30/$R$184*100</f>
        <v>0.11075468150660307</v>
      </c>
      <c r="T30" s="99"/>
      <c r="U30" s="87"/>
      <c r="V30" s="87"/>
      <c r="W30" s="87"/>
      <c r="X30" s="87"/>
      <c r="Y30" s="88">
        <v>0</v>
      </c>
      <c r="Z30" s="99">
        <f t="shared" si="0"/>
        <v>0</v>
      </c>
      <c r="AA30" s="100">
        <f t="shared" si="1"/>
        <v>0</v>
      </c>
      <c r="AB30" s="99">
        <f t="shared" si="2"/>
        <v>0</v>
      </c>
      <c r="AC30" s="88"/>
      <c r="AD30" s="88">
        <f t="shared" si="3"/>
        <v>2480000</v>
      </c>
      <c r="AE30" s="86"/>
    </row>
    <row r="31" spans="1:37" ht="12" customHeight="1" x14ac:dyDescent="0.35">
      <c r="A31" s="284">
        <v>521213</v>
      </c>
      <c r="B31" s="285" t="s">
        <v>193</v>
      </c>
      <c r="C31" s="94"/>
      <c r="D31" s="94"/>
      <c r="E31" s="94"/>
      <c r="F31" s="94"/>
      <c r="G31" s="95"/>
      <c r="H31" s="77"/>
      <c r="I31" s="78"/>
      <c r="J31" s="79"/>
      <c r="K31" s="80"/>
      <c r="L31" s="81"/>
      <c r="M31" s="81"/>
      <c r="N31" s="81"/>
      <c r="O31" s="96"/>
      <c r="P31" s="94"/>
      <c r="Q31" s="97"/>
      <c r="R31" s="98"/>
      <c r="S31" s="85"/>
      <c r="T31" s="99"/>
      <c r="U31" s="87"/>
      <c r="V31" s="87"/>
      <c r="W31" s="87"/>
      <c r="X31" s="87"/>
      <c r="Y31" s="88"/>
      <c r="Z31" s="99"/>
      <c r="AA31" s="100"/>
      <c r="AB31" s="99"/>
      <c r="AC31" s="88"/>
      <c r="AD31" s="88"/>
      <c r="AE31" s="86"/>
    </row>
    <row r="32" spans="1:37" ht="12" customHeight="1" x14ac:dyDescent="0.35">
      <c r="A32" s="93"/>
      <c r="B32" s="102" t="s">
        <v>82</v>
      </c>
      <c r="C32" s="94" t="s">
        <v>194</v>
      </c>
      <c r="D32" s="94"/>
      <c r="E32" s="94"/>
      <c r="F32" s="94"/>
      <c r="G32" s="95"/>
      <c r="H32" s="77"/>
      <c r="I32" s="78"/>
      <c r="J32" s="79"/>
      <c r="K32" s="80"/>
      <c r="L32" s="81"/>
      <c r="M32" s="81"/>
      <c r="N32" s="81"/>
      <c r="O32" s="96">
        <v>6</v>
      </c>
      <c r="P32" s="94" t="s">
        <v>147</v>
      </c>
      <c r="Q32" s="97"/>
      <c r="R32" s="98">
        <f>O32*300000</f>
        <v>1800000</v>
      </c>
      <c r="S32" s="85">
        <f>+R32/$R$184*100</f>
        <v>8.0386462383824811E-2</v>
      </c>
      <c r="T32" s="99"/>
      <c r="U32" s="87"/>
      <c r="V32" s="87"/>
      <c r="W32" s="87"/>
      <c r="X32" s="87"/>
      <c r="Y32" s="88">
        <v>0</v>
      </c>
      <c r="Z32" s="99">
        <f t="shared" ref="Z32" si="4">+Y32/R32*100</f>
        <v>0</v>
      </c>
      <c r="AA32" s="100">
        <f t="shared" si="1"/>
        <v>0</v>
      </c>
      <c r="AB32" s="99">
        <f t="shared" ref="AB32" si="5">AA32*S32/100</f>
        <v>0</v>
      </c>
      <c r="AC32" s="88"/>
      <c r="AD32" s="88">
        <f t="shared" si="3"/>
        <v>1800000</v>
      </c>
      <c r="AE32" s="86"/>
    </row>
    <row r="33" spans="1:32" ht="12" customHeight="1" x14ac:dyDescent="0.35">
      <c r="A33" s="93"/>
      <c r="B33" s="102" t="s">
        <v>82</v>
      </c>
      <c r="C33" s="94" t="s">
        <v>195</v>
      </c>
      <c r="D33" s="94"/>
      <c r="E33" s="94"/>
      <c r="F33" s="94"/>
      <c r="G33" s="95"/>
      <c r="H33" s="77"/>
      <c r="I33" s="78"/>
      <c r="J33" s="79"/>
      <c r="K33" s="80"/>
      <c r="L33" s="81"/>
      <c r="M33" s="81"/>
      <c r="N33" s="81"/>
      <c r="O33" s="96">
        <v>6</v>
      </c>
      <c r="P33" s="94" t="s">
        <v>147</v>
      </c>
      <c r="Q33" s="97"/>
      <c r="R33" s="98">
        <f>O33*250000</f>
        <v>1500000</v>
      </c>
      <c r="S33" s="85">
        <f>+R33/$R$184*100</f>
        <v>6.6988718653187354E-2</v>
      </c>
      <c r="T33" s="99"/>
      <c r="U33" s="87"/>
      <c r="V33" s="87"/>
      <c r="W33" s="87"/>
      <c r="X33" s="87"/>
      <c r="Y33" s="88">
        <v>0</v>
      </c>
      <c r="Z33" s="99">
        <f t="shared" ref="Z33:Z34" si="6">+Y33/R33*100</f>
        <v>0</v>
      </c>
      <c r="AA33" s="100">
        <f t="shared" si="1"/>
        <v>0</v>
      </c>
      <c r="AB33" s="99">
        <f t="shared" ref="AB33:AB34" si="7">AA33*S33/100</f>
        <v>0</v>
      </c>
      <c r="AC33" s="88"/>
      <c r="AD33" s="88">
        <f t="shared" si="3"/>
        <v>1500000</v>
      </c>
      <c r="AE33" s="86"/>
    </row>
    <row r="34" spans="1:32" ht="12" customHeight="1" x14ac:dyDescent="0.35">
      <c r="A34" s="93"/>
      <c r="B34" s="102" t="s">
        <v>82</v>
      </c>
      <c r="C34" s="94" t="s">
        <v>196</v>
      </c>
      <c r="D34" s="94"/>
      <c r="E34" s="94"/>
      <c r="F34" s="94"/>
      <c r="G34" s="95"/>
      <c r="H34" s="77"/>
      <c r="I34" s="78"/>
      <c r="J34" s="79"/>
      <c r="K34" s="80"/>
      <c r="L34" s="81"/>
      <c r="M34" s="81"/>
      <c r="N34" s="81"/>
      <c r="O34" s="96">
        <v>30</v>
      </c>
      <c r="P34" s="94" t="s">
        <v>147</v>
      </c>
      <c r="Q34" s="97"/>
      <c r="R34" s="98">
        <f>O34*200000</f>
        <v>6000000</v>
      </c>
      <c r="S34" s="85">
        <f>+R34/$R$184*100</f>
        <v>0.26795487461274942</v>
      </c>
      <c r="T34" s="99"/>
      <c r="U34" s="87"/>
      <c r="V34" s="87"/>
      <c r="W34" s="87"/>
      <c r="X34" s="87"/>
      <c r="Y34" s="88">
        <v>0</v>
      </c>
      <c r="Z34" s="99">
        <f t="shared" si="6"/>
        <v>0</v>
      </c>
      <c r="AA34" s="100">
        <f t="shared" si="1"/>
        <v>0</v>
      </c>
      <c r="AB34" s="99">
        <f t="shared" si="7"/>
        <v>0</v>
      </c>
      <c r="AC34" s="88"/>
      <c r="AD34" s="88">
        <f t="shared" si="3"/>
        <v>6000000</v>
      </c>
      <c r="AE34" s="86"/>
    </row>
    <row r="35" spans="1:32" ht="12" customHeight="1" x14ac:dyDescent="0.35">
      <c r="A35" s="284">
        <v>521219</v>
      </c>
      <c r="B35" s="285" t="s">
        <v>197</v>
      </c>
      <c r="C35" s="94"/>
      <c r="D35" s="94"/>
      <c r="E35" s="94"/>
      <c r="F35" s="94"/>
      <c r="G35" s="95"/>
      <c r="H35" s="77"/>
      <c r="I35" s="78"/>
      <c r="J35" s="79"/>
      <c r="K35" s="80"/>
      <c r="L35" s="81"/>
      <c r="M35" s="81"/>
      <c r="N35" s="81"/>
      <c r="O35" s="96"/>
      <c r="P35" s="94"/>
      <c r="Q35" s="97"/>
      <c r="R35" s="98"/>
      <c r="S35" s="85"/>
      <c r="T35" s="99"/>
      <c r="U35" s="87"/>
      <c r="V35" s="87"/>
      <c r="W35" s="87"/>
      <c r="X35" s="87"/>
      <c r="Y35" s="88"/>
      <c r="Z35" s="99"/>
      <c r="AA35" s="100"/>
      <c r="AB35" s="99"/>
      <c r="AC35" s="88"/>
      <c r="AD35" s="88"/>
      <c r="AE35" s="86"/>
    </row>
    <row r="36" spans="1:32" ht="12" customHeight="1" x14ac:dyDescent="0.35">
      <c r="A36" s="93"/>
      <c r="B36" s="102" t="s">
        <v>82</v>
      </c>
      <c r="C36" s="94" t="s">
        <v>198</v>
      </c>
      <c r="D36" s="94"/>
      <c r="E36" s="94"/>
      <c r="F36" s="94"/>
      <c r="G36" s="95"/>
      <c r="H36" s="77"/>
      <c r="I36" s="78"/>
      <c r="J36" s="79"/>
      <c r="K36" s="80"/>
      <c r="L36" s="81"/>
      <c r="M36" s="81"/>
      <c r="N36" s="81"/>
      <c r="O36" s="96">
        <v>25</v>
      </c>
      <c r="P36" s="94" t="s">
        <v>200</v>
      </c>
      <c r="Q36" s="83"/>
      <c r="R36" s="98">
        <f>O36*50000</f>
        <v>1250000</v>
      </c>
      <c r="S36" s="85">
        <f>+R36/$R$184*100</f>
        <v>5.5823932210989448E-2</v>
      </c>
      <c r="T36" s="99"/>
      <c r="U36" s="87"/>
      <c r="V36" s="87"/>
      <c r="W36" s="87"/>
      <c r="X36" s="87"/>
      <c r="Y36" s="88">
        <v>0</v>
      </c>
      <c r="Z36" s="99">
        <f t="shared" ref="Z36" si="8">+Y36/R36*100</f>
        <v>0</v>
      </c>
      <c r="AA36" s="100">
        <f t="shared" si="1"/>
        <v>0</v>
      </c>
      <c r="AB36" s="99">
        <f t="shared" ref="AB36" si="9">AA36*S36/100</f>
        <v>0</v>
      </c>
      <c r="AC36" s="88"/>
      <c r="AD36" s="88">
        <f t="shared" ref="AD36" si="10">+R36-Y36</f>
        <v>1250000</v>
      </c>
      <c r="AE36" s="86"/>
    </row>
    <row r="37" spans="1:32" ht="12" customHeight="1" x14ac:dyDescent="0.35">
      <c r="A37" s="93"/>
      <c r="B37" s="102" t="s">
        <v>82</v>
      </c>
      <c r="C37" s="94" t="s">
        <v>199</v>
      </c>
      <c r="D37" s="94"/>
      <c r="E37" s="94"/>
      <c r="F37" s="94"/>
      <c r="G37" s="95"/>
      <c r="H37" s="77"/>
      <c r="I37" s="78"/>
      <c r="J37" s="79"/>
      <c r="K37" s="80"/>
      <c r="L37" s="81"/>
      <c r="M37" s="81"/>
      <c r="N37" s="81"/>
      <c r="O37" s="96">
        <v>30</v>
      </c>
      <c r="P37" s="94" t="s">
        <v>200</v>
      </c>
      <c r="Q37" s="97"/>
      <c r="R37" s="98">
        <f>O37*50000</f>
        <v>1500000</v>
      </c>
      <c r="S37" s="85">
        <f>+R37/$R$184*100</f>
        <v>6.6988718653187354E-2</v>
      </c>
      <c r="T37" s="99"/>
      <c r="U37" s="87"/>
      <c r="V37" s="87"/>
      <c r="W37" s="87"/>
      <c r="X37" s="87"/>
      <c r="Y37" s="88">
        <v>0</v>
      </c>
      <c r="Z37" s="99">
        <f t="shared" ref="Z37" si="11">+Y37/R37*100</f>
        <v>0</v>
      </c>
      <c r="AA37" s="100">
        <f t="shared" si="1"/>
        <v>0</v>
      </c>
      <c r="AB37" s="99">
        <f t="shared" ref="AB37" si="12">AA37*S37/100</f>
        <v>0</v>
      </c>
      <c r="AC37" s="88"/>
      <c r="AD37" s="88">
        <f t="shared" ref="AD37" si="13">+R37-Y37</f>
        <v>1500000</v>
      </c>
      <c r="AE37" s="86"/>
    </row>
    <row r="38" spans="1:32" ht="12" customHeight="1" x14ac:dyDescent="0.35">
      <c r="A38" s="284">
        <v>522141</v>
      </c>
      <c r="B38" s="285" t="s">
        <v>168</v>
      </c>
      <c r="C38" s="94"/>
      <c r="D38" s="94"/>
      <c r="E38" s="94"/>
      <c r="F38" s="94"/>
      <c r="G38" s="95"/>
      <c r="H38" s="77"/>
      <c r="I38" s="78"/>
      <c r="J38" s="79"/>
      <c r="K38" s="80"/>
      <c r="L38" s="81"/>
      <c r="M38" s="81"/>
      <c r="N38" s="81"/>
      <c r="O38" s="82"/>
      <c r="P38" s="75"/>
      <c r="Q38" s="83"/>
      <c r="R38" s="84"/>
      <c r="S38" s="85"/>
      <c r="T38" s="86"/>
      <c r="U38" s="87"/>
      <c r="V38" s="87"/>
      <c r="W38" s="87"/>
      <c r="X38" s="87"/>
      <c r="Y38" s="88"/>
      <c r="Z38" s="86"/>
      <c r="AA38" s="86"/>
      <c r="AB38" s="86"/>
      <c r="AC38" s="88"/>
      <c r="AD38" s="88"/>
      <c r="AE38" s="86"/>
    </row>
    <row r="39" spans="1:32" ht="12" customHeight="1" x14ac:dyDescent="0.35">
      <c r="A39" s="93"/>
      <c r="B39" s="102" t="s">
        <v>82</v>
      </c>
      <c r="C39" s="94" t="s">
        <v>201</v>
      </c>
      <c r="D39" s="94"/>
      <c r="E39" s="94"/>
      <c r="F39" s="94"/>
      <c r="G39" s="95"/>
      <c r="H39" s="77"/>
      <c r="I39" s="78"/>
      <c r="J39" s="79"/>
      <c r="K39" s="80"/>
      <c r="L39" s="81"/>
      <c r="M39" s="81"/>
      <c r="N39" s="81"/>
      <c r="O39" s="96">
        <v>1</v>
      </c>
      <c r="P39" s="94" t="s">
        <v>205</v>
      </c>
      <c r="Q39" s="97"/>
      <c r="R39" s="98">
        <f>O39*2000000</f>
        <v>2000000</v>
      </c>
      <c r="S39" s="85">
        <f>+R39/$R$184*100</f>
        <v>8.9318291537583125E-2</v>
      </c>
      <c r="T39" s="99"/>
      <c r="U39" s="87"/>
      <c r="V39" s="87"/>
      <c r="W39" s="87"/>
      <c r="X39" s="87"/>
      <c r="Y39" s="88">
        <v>0</v>
      </c>
      <c r="Z39" s="99">
        <f t="shared" ref="Z39" si="14">+Y39/R39*100</f>
        <v>0</v>
      </c>
      <c r="AA39" s="100">
        <f t="shared" si="1"/>
        <v>0</v>
      </c>
      <c r="AB39" s="99">
        <f t="shared" ref="AB39" si="15">AA39*S39/100</f>
        <v>0</v>
      </c>
      <c r="AC39" s="88"/>
      <c r="AD39" s="88">
        <f t="shared" ref="AD39" si="16">+R39-Y39</f>
        <v>2000000</v>
      </c>
      <c r="AE39" s="86"/>
    </row>
    <row r="40" spans="1:32" ht="12" customHeight="1" x14ac:dyDescent="0.35">
      <c r="A40" s="93"/>
      <c r="B40" s="102" t="s">
        <v>82</v>
      </c>
      <c r="C40" s="94" t="s">
        <v>202</v>
      </c>
      <c r="D40" s="94"/>
      <c r="E40" s="94"/>
      <c r="F40" s="94"/>
      <c r="G40" s="95"/>
      <c r="H40" s="77"/>
      <c r="I40" s="78"/>
      <c r="J40" s="79"/>
      <c r="K40" s="80"/>
      <c r="L40" s="81"/>
      <c r="M40" s="81"/>
      <c r="N40" s="81"/>
      <c r="O40" s="96">
        <v>6</v>
      </c>
      <c r="P40" s="94" t="s">
        <v>205</v>
      </c>
      <c r="Q40" s="97"/>
      <c r="R40" s="98">
        <f>O40*700000</f>
        <v>4200000</v>
      </c>
      <c r="S40" s="85">
        <f>+R40/$R$184*100</f>
        <v>0.18756841222892456</v>
      </c>
      <c r="T40" s="99"/>
      <c r="U40" s="87"/>
      <c r="V40" s="87"/>
      <c r="W40" s="87"/>
      <c r="X40" s="87"/>
      <c r="Y40" s="88">
        <v>0</v>
      </c>
      <c r="Z40" s="99">
        <f t="shared" ref="Z40:Z42" si="17">+Y40/R40*100</f>
        <v>0</v>
      </c>
      <c r="AA40" s="100">
        <f t="shared" si="1"/>
        <v>0</v>
      </c>
      <c r="AB40" s="99">
        <f t="shared" ref="AB40:AB42" si="18">AA40*S40/100</f>
        <v>0</v>
      </c>
      <c r="AC40" s="88"/>
      <c r="AD40" s="88">
        <f t="shared" ref="AD40:AD42" si="19">+R40-Y40</f>
        <v>4200000</v>
      </c>
      <c r="AE40" s="86"/>
      <c r="AF40" s="90"/>
    </row>
    <row r="41" spans="1:32" ht="12" customHeight="1" x14ac:dyDescent="0.35">
      <c r="A41" s="93"/>
      <c r="B41" s="102" t="s">
        <v>82</v>
      </c>
      <c r="C41" s="94" t="s">
        <v>203</v>
      </c>
      <c r="D41" s="94"/>
      <c r="E41" s="94"/>
      <c r="F41" s="94"/>
      <c r="G41" s="95"/>
      <c r="H41" s="77"/>
      <c r="I41" s="78"/>
      <c r="J41" s="79"/>
      <c r="K41" s="80"/>
      <c r="L41" s="81"/>
      <c r="M41" s="81"/>
      <c r="N41" s="81"/>
      <c r="O41" s="96">
        <v>1</v>
      </c>
      <c r="P41" s="94" t="s">
        <v>205</v>
      </c>
      <c r="Q41" s="97"/>
      <c r="R41" s="98">
        <f>O41*2000000</f>
        <v>2000000</v>
      </c>
      <c r="S41" s="85">
        <f>+R41/$R$184*100</f>
        <v>8.9318291537583125E-2</v>
      </c>
      <c r="T41" s="99"/>
      <c r="U41" s="87"/>
      <c r="V41" s="87"/>
      <c r="W41" s="87"/>
      <c r="X41" s="87"/>
      <c r="Y41" s="88">
        <v>0</v>
      </c>
      <c r="Z41" s="99">
        <f t="shared" si="17"/>
        <v>0</v>
      </c>
      <c r="AA41" s="100">
        <f t="shared" si="1"/>
        <v>0</v>
      </c>
      <c r="AB41" s="99">
        <f t="shared" si="18"/>
        <v>0</v>
      </c>
      <c r="AC41" s="88"/>
      <c r="AD41" s="88">
        <f t="shared" si="19"/>
        <v>2000000</v>
      </c>
      <c r="AE41" s="86"/>
      <c r="AF41" s="90"/>
    </row>
    <row r="42" spans="1:32" ht="12" customHeight="1" x14ac:dyDescent="0.35">
      <c r="A42" s="93"/>
      <c r="B42" s="102" t="s">
        <v>82</v>
      </c>
      <c r="C42" s="94" t="s">
        <v>204</v>
      </c>
      <c r="D42" s="94"/>
      <c r="E42" s="94"/>
      <c r="F42" s="94"/>
      <c r="G42" s="95"/>
      <c r="H42" s="77"/>
      <c r="I42" s="78"/>
      <c r="J42" s="79"/>
      <c r="K42" s="80"/>
      <c r="L42" s="81"/>
      <c r="M42" s="81"/>
      <c r="N42" s="81"/>
      <c r="O42" s="96">
        <v>6</v>
      </c>
      <c r="P42" s="94" t="s">
        <v>205</v>
      </c>
      <c r="Q42" s="97"/>
      <c r="R42" s="98">
        <f>O42*700000</f>
        <v>4200000</v>
      </c>
      <c r="S42" s="85">
        <f>+R42/$R$184*100</f>
        <v>0.18756841222892456</v>
      </c>
      <c r="T42" s="99"/>
      <c r="U42" s="87"/>
      <c r="V42" s="87"/>
      <c r="W42" s="87"/>
      <c r="X42" s="87"/>
      <c r="Y42" s="88">
        <v>0</v>
      </c>
      <c r="Z42" s="99">
        <f t="shared" si="17"/>
        <v>0</v>
      </c>
      <c r="AA42" s="100">
        <f t="shared" si="1"/>
        <v>0</v>
      </c>
      <c r="AB42" s="99">
        <f t="shared" si="18"/>
        <v>0</v>
      </c>
      <c r="AC42" s="88"/>
      <c r="AD42" s="88">
        <f t="shared" si="19"/>
        <v>4200000</v>
      </c>
      <c r="AE42" s="86"/>
      <c r="AF42" s="90"/>
    </row>
    <row r="43" spans="1:32" ht="12" customHeight="1" x14ac:dyDescent="0.35">
      <c r="A43" s="284">
        <v>522151</v>
      </c>
      <c r="B43" s="286" t="s">
        <v>84</v>
      </c>
      <c r="C43" s="94"/>
      <c r="D43" s="94"/>
      <c r="E43" s="94"/>
      <c r="F43" s="94"/>
      <c r="G43" s="95"/>
      <c r="H43" s="77"/>
      <c r="I43" s="78"/>
      <c r="J43" s="79"/>
      <c r="K43" s="80"/>
      <c r="L43" s="81"/>
      <c r="M43" s="81"/>
      <c r="N43" s="81"/>
      <c r="O43" s="96"/>
      <c r="P43" s="94"/>
      <c r="Q43" s="97"/>
      <c r="R43" s="98"/>
      <c r="S43" s="85"/>
      <c r="T43" s="86"/>
      <c r="U43" s="87"/>
      <c r="V43" s="87"/>
      <c r="W43" s="87"/>
      <c r="X43" s="87"/>
      <c r="Y43" s="88"/>
      <c r="Z43" s="86"/>
      <c r="AA43" s="86"/>
      <c r="AB43" s="86"/>
      <c r="AC43" s="88"/>
      <c r="AD43" s="88"/>
      <c r="AE43" s="86"/>
      <c r="AF43" s="90"/>
    </row>
    <row r="44" spans="1:32" ht="12" customHeight="1" x14ac:dyDescent="0.35">
      <c r="A44" s="93"/>
      <c r="B44" s="102" t="s">
        <v>82</v>
      </c>
      <c r="C44" s="94" t="s">
        <v>206</v>
      </c>
      <c r="D44" s="94"/>
      <c r="E44" s="94"/>
      <c r="F44" s="94"/>
      <c r="G44" s="95"/>
      <c r="H44" s="77"/>
      <c r="I44" s="78"/>
      <c r="J44" s="79"/>
      <c r="K44" s="80"/>
      <c r="L44" s="81"/>
      <c r="M44" s="81"/>
      <c r="N44" s="81"/>
      <c r="O44" s="96">
        <v>2</v>
      </c>
      <c r="P44" s="94" t="s">
        <v>210</v>
      </c>
      <c r="Q44" s="97"/>
      <c r="R44" s="98">
        <f>O44*1300000</f>
        <v>2600000</v>
      </c>
      <c r="S44" s="85">
        <f>+R44/$R$184*100</f>
        <v>0.11611377899885807</v>
      </c>
      <c r="T44" s="99"/>
      <c r="U44" s="87"/>
      <c r="V44" s="87"/>
      <c r="W44" s="87"/>
      <c r="X44" s="87"/>
      <c r="Y44" s="88">
        <v>0</v>
      </c>
      <c r="Z44" s="99">
        <f t="shared" ref="Z44" si="20">+Y44/R44*100</f>
        <v>0</v>
      </c>
      <c r="AA44" s="100">
        <f t="shared" si="1"/>
        <v>0</v>
      </c>
      <c r="AB44" s="99">
        <f t="shared" ref="AB44" si="21">AA44*S44/100</f>
        <v>0</v>
      </c>
      <c r="AC44" s="88"/>
      <c r="AD44" s="88">
        <f t="shared" ref="AD44" si="22">+R44-Y44</f>
        <v>2600000</v>
      </c>
      <c r="AE44" s="86"/>
      <c r="AF44" s="90"/>
    </row>
    <row r="45" spans="1:32" ht="12" customHeight="1" x14ac:dyDescent="0.35">
      <c r="A45" s="93"/>
      <c r="B45" s="102" t="s">
        <v>82</v>
      </c>
      <c r="C45" s="94" t="s">
        <v>207</v>
      </c>
      <c r="D45" s="94"/>
      <c r="E45" s="94"/>
      <c r="F45" s="94"/>
      <c r="G45" s="95"/>
      <c r="H45" s="77"/>
      <c r="I45" s="78"/>
      <c r="J45" s="79"/>
      <c r="K45" s="80"/>
      <c r="L45" s="81"/>
      <c r="M45" s="81"/>
      <c r="N45" s="81"/>
      <c r="O45" s="96">
        <v>10</v>
      </c>
      <c r="P45" s="94" t="s">
        <v>210</v>
      </c>
      <c r="Q45" s="97"/>
      <c r="R45" s="98">
        <f>O45*900000</f>
        <v>9000000</v>
      </c>
      <c r="S45" s="85">
        <f>+R45/$R$184*100</f>
        <v>0.4019323119191241</v>
      </c>
      <c r="T45" s="99"/>
      <c r="U45" s="87"/>
      <c r="V45" s="87"/>
      <c r="W45" s="87"/>
      <c r="X45" s="87"/>
      <c r="Y45" s="88">
        <v>0</v>
      </c>
      <c r="Z45" s="99">
        <f t="shared" ref="Z45:Z47" si="23">+Y45/R45*100</f>
        <v>0</v>
      </c>
      <c r="AA45" s="100">
        <f t="shared" si="1"/>
        <v>0</v>
      </c>
      <c r="AB45" s="99">
        <f t="shared" ref="AB45:AB47" si="24">AA45*S45/100</f>
        <v>0</v>
      </c>
      <c r="AC45" s="88"/>
      <c r="AD45" s="88">
        <f t="shared" ref="AD45:AD47" si="25">+R45-Y45</f>
        <v>9000000</v>
      </c>
      <c r="AE45" s="86"/>
      <c r="AF45" s="90"/>
    </row>
    <row r="46" spans="1:32" ht="12" customHeight="1" x14ac:dyDescent="0.35">
      <c r="A46" s="93"/>
      <c r="B46" s="102" t="s">
        <v>82</v>
      </c>
      <c r="C46" s="94" t="s">
        <v>208</v>
      </c>
      <c r="D46" s="94"/>
      <c r="E46" s="94"/>
      <c r="F46" s="94"/>
      <c r="G46" s="95"/>
      <c r="H46" s="77"/>
      <c r="I46" s="78"/>
      <c r="J46" s="79"/>
      <c r="K46" s="80"/>
      <c r="L46" s="81"/>
      <c r="M46" s="81"/>
      <c r="N46" s="81"/>
      <c r="O46" s="96">
        <v>2</v>
      </c>
      <c r="P46" s="94" t="s">
        <v>210</v>
      </c>
      <c r="Q46" s="97"/>
      <c r="R46" s="98">
        <f>O46*1300000</f>
        <v>2600000</v>
      </c>
      <c r="S46" s="85">
        <f>+R46/$R$184*100</f>
        <v>0.11611377899885807</v>
      </c>
      <c r="T46" s="99"/>
      <c r="U46" s="87"/>
      <c r="V46" s="87"/>
      <c r="W46" s="87"/>
      <c r="X46" s="87"/>
      <c r="Y46" s="88">
        <v>0</v>
      </c>
      <c r="Z46" s="99">
        <f t="shared" si="23"/>
        <v>0</v>
      </c>
      <c r="AA46" s="100">
        <f t="shared" si="1"/>
        <v>0</v>
      </c>
      <c r="AB46" s="99">
        <f t="shared" si="24"/>
        <v>0</v>
      </c>
      <c r="AC46" s="88"/>
      <c r="AD46" s="88">
        <f t="shared" si="25"/>
        <v>2600000</v>
      </c>
      <c r="AE46" s="86"/>
      <c r="AF46" s="90"/>
    </row>
    <row r="47" spans="1:32" ht="12" customHeight="1" x14ac:dyDescent="0.35">
      <c r="A47" s="93"/>
      <c r="B47" s="102" t="s">
        <v>82</v>
      </c>
      <c r="C47" s="94" t="s">
        <v>209</v>
      </c>
      <c r="D47" s="94"/>
      <c r="E47" s="94"/>
      <c r="F47" s="94"/>
      <c r="G47" s="95"/>
      <c r="H47" s="77"/>
      <c r="I47" s="78"/>
      <c r="J47" s="79"/>
      <c r="K47" s="80"/>
      <c r="L47" s="81"/>
      <c r="M47" s="81"/>
      <c r="N47" s="81"/>
      <c r="O47" s="96">
        <v>10</v>
      </c>
      <c r="P47" s="94" t="s">
        <v>210</v>
      </c>
      <c r="Q47" s="97"/>
      <c r="R47" s="98">
        <f>O47*900000</f>
        <v>9000000</v>
      </c>
      <c r="S47" s="85">
        <f>+R47/$R$184*100</f>
        <v>0.4019323119191241</v>
      </c>
      <c r="T47" s="99"/>
      <c r="U47" s="87"/>
      <c r="V47" s="87"/>
      <c r="W47" s="87"/>
      <c r="X47" s="87"/>
      <c r="Y47" s="88">
        <v>0</v>
      </c>
      <c r="Z47" s="99">
        <f t="shared" si="23"/>
        <v>0</v>
      </c>
      <c r="AA47" s="100">
        <f t="shared" si="1"/>
        <v>0</v>
      </c>
      <c r="AB47" s="99">
        <f t="shared" si="24"/>
        <v>0</v>
      </c>
      <c r="AC47" s="88"/>
      <c r="AD47" s="88">
        <f t="shared" si="25"/>
        <v>9000000</v>
      </c>
      <c r="AE47" s="86"/>
      <c r="AF47" s="90"/>
    </row>
    <row r="48" spans="1:32" ht="12" customHeight="1" x14ac:dyDescent="0.35">
      <c r="A48" s="284">
        <v>524111</v>
      </c>
      <c r="B48" s="286" t="s">
        <v>85</v>
      </c>
      <c r="C48" s="94"/>
      <c r="D48" s="94"/>
      <c r="E48" s="94"/>
      <c r="F48" s="94"/>
      <c r="G48" s="95"/>
      <c r="H48" s="77"/>
      <c r="I48" s="78"/>
      <c r="J48" s="79"/>
      <c r="K48" s="80"/>
      <c r="L48" s="81"/>
      <c r="M48" s="81"/>
      <c r="N48" s="81"/>
      <c r="O48" s="96"/>
      <c r="P48" s="94"/>
      <c r="Q48" s="97"/>
      <c r="R48" s="98"/>
      <c r="S48" s="85"/>
      <c r="T48" s="99"/>
      <c r="U48" s="87"/>
      <c r="V48" s="87"/>
      <c r="W48" s="87"/>
      <c r="X48" s="87"/>
      <c r="Y48" s="88"/>
      <c r="Z48" s="99"/>
      <c r="AA48" s="100"/>
      <c r="AB48" s="99"/>
      <c r="AC48" s="88"/>
      <c r="AD48" s="88"/>
      <c r="AE48" s="86"/>
      <c r="AF48" s="90"/>
    </row>
    <row r="49" spans="1:32" ht="12" customHeight="1" x14ac:dyDescent="0.35">
      <c r="A49" s="93"/>
      <c r="B49" s="102" t="s">
        <v>82</v>
      </c>
      <c r="C49" s="94" t="s">
        <v>211</v>
      </c>
      <c r="D49" s="94"/>
      <c r="E49" s="94"/>
      <c r="F49" s="94"/>
      <c r="G49" s="95"/>
      <c r="H49" s="77"/>
      <c r="I49" s="78"/>
      <c r="J49" s="79"/>
      <c r="K49" s="80"/>
      <c r="L49" s="81"/>
      <c r="M49" s="81"/>
      <c r="N49" s="81"/>
      <c r="O49" s="96">
        <v>6</v>
      </c>
      <c r="P49" s="94" t="s">
        <v>217</v>
      </c>
      <c r="Q49" s="97"/>
      <c r="R49" s="98">
        <f>O49*430000</f>
        <v>2580000</v>
      </c>
      <c r="S49" s="85">
        <f t="shared" ref="S49:S54" si="26">+R49/$R$184*100</f>
        <v>0.11522059608348224</v>
      </c>
      <c r="T49" s="99"/>
      <c r="U49" s="87"/>
      <c r="V49" s="87"/>
      <c r="W49" s="87"/>
      <c r="X49" s="87"/>
      <c r="Y49" s="88">
        <v>0</v>
      </c>
      <c r="Z49" s="99">
        <f t="shared" ref="Z49" si="27">+Y49/R49*100</f>
        <v>0</v>
      </c>
      <c r="AA49" s="100">
        <f t="shared" si="1"/>
        <v>0</v>
      </c>
      <c r="AB49" s="99">
        <f t="shared" ref="AB49" si="28">AA49*S49/100</f>
        <v>0</v>
      </c>
      <c r="AC49" s="88"/>
      <c r="AD49" s="88">
        <f t="shared" ref="AD49" si="29">+R49-Y49</f>
        <v>2580000</v>
      </c>
      <c r="AE49" s="86"/>
      <c r="AF49" s="90"/>
    </row>
    <row r="50" spans="1:32" ht="12" customHeight="1" x14ac:dyDescent="0.35">
      <c r="A50" s="93"/>
      <c r="B50" s="102" t="s">
        <v>82</v>
      </c>
      <c r="C50" s="94" t="s">
        <v>212</v>
      </c>
      <c r="D50" s="94"/>
      <c r="E50" s="94"/>
      <c r="F50" s="94"/>
      <c r="G50" s="95"/>
      <c r="H50" s="77"/>
      <c r="I50" s="78"/>
      <c r="J50" s="79"/>
      <c r="K50" s="80"/>
      <c r="L50" s="81"/>
      <c r="M50" s="81"/>
      <c r="N50" s="81"/>
      <c r="O50" s="96">
        <v>4</v>
      </c>
      <c r="P50" s="94" t="s">
        <v>217</v>
      </c>
      <c r="Q50" s="97"/>
      <c r="R50" s="98">
        <f>O50*580000</f>
        <v>2320000</v>
      </c>
      <c r="S50" s="85">
        <f t="shared" si="26"/>
        <v>0.10360921818359642</v>
      </c>
      <c r="T50" s="99"/>
      <c r="U50" s="87"/>
      <c r="V50" s="87"/>
      <c r="W50" s="87"/>
      <c r="X50" s="87"/>
      <c r="Y50" s="88">
        <v>0</v>
      </c>
      <c r="Z50" s="99">
        <f t="shared" ref="Z50:Z54" si="30">+Y50/R50*100</f>
        <v>0</v>
      </c>
      <c r="AA50" s="100">
        <f t="shared" si="1"/>
        <v>0</v>
      </c>
      <c r="AB50" s="99">
        <f t="shared" ref="AB50:AB54" si="31">AA50*S50/100</f>
        <v>0</v>
      </c>
      <c r="AC50" s="88"/>
      <c r="AD50" s="88">
        <f t="shared" ref="AD50:AD54" si="32">+R50-Y50</f>
        <v>2320000</v>
      </c>
      <c r="AE50" s="86"/>
      <c r="AF50" s="90"/>
    </row>
    <row r="51" spans="1:32" ht="12" customHeight="1" x14ac:dyDescent="0.35">
      <c r="A51" s="93"/>
      <c r="B51" s="102" t="s">
        <v>82</v>
      </c>
      <c r="C51" s="94" t="s">
        <v>213</v>
      </c>
      <c r="D51" s="94"/>
      <c r="E51" s="94"/>
      <c r="F51" s="94"/>
      <c r="G51" s="95"/>
      <c r="H51" s="77"/>
      <c r="I51" s="78"/>
      <c r="J51" s="79"/>
      <c r="K51" s="80"/>
      <c r="L51" s="81"/>
      <c r="M51" s="81"/>
      <c r="N51" s="81"/>
      <c r="O51" s="96">
        <v>2</v>
      </c>
      <c r="P51" s="94" t="s">
        <v>147</v>
      </c>
      <c r="Q51" s="97"/>
      <c r="R51" s="98">
        <f>O51*400000</f>
        <v>800000</v>
      </c>
      <c r="S51" s="85">
        <f t="shared" si="26"/>
        <v>3.5727316615033249E-2</v>
      </c>
      <c r="T51" s="99"/>
      <c r="U51" s="87"/>
      <c r="V51" s="87"/>
      <c r="W51" s="87"/>
      <c r="X51" s="87"/>
      <c r="Y51" s="88">
        <v>0</v>
      </c>
      <c r="Z51" s="99">
        <f t="shared" si="30"/>
        <v>0</v>
      </c>
      <c r="AA51" s="100">
        <f t="shared" si="1"/>
        <v>0</v>
      </c>
      <c r="AB51" s="99">
        <f t="shared" si="31"/>
        <v>0</v>
      </c>
      <c r="AC51" s="88"/>
      <c r="AD51" s="88">
        <f t="shared" si="32"/>
        <v>800000</v>
      </c>
      <c r="AE51" s="86"/>
      <c r="AF51" s="90"/>
    </row>
    <row r="52" spans="1:32" ht="12" customHeight="1" x14ac:dyDescent="0.35">
      <c r="A52" s="93"/>
      <c r="B52" s="102" t="s">
        <v>82</v>
      </c>
      <c r="C52" s="94" t="s">
        <v>214</v>
      </c>
      <c r="D52" s="94"/>
      <c r="E52" s="94"/>
      <c r="F52" s="94"/>
      <c r="G52" s="95"/>
      <c r="H52" s="77"/>
      <c r="I52" s="78"/>
      <c r="J52" s="79"/>
      <c r="K52" s="80"/>
      <c r="L52" s="81"/>
      <c r="M52" s="81"/>
      <c r="N52" s="81"/>
      <c r="O52" s="96">
        <v>5</v>
      </c>
      <c r="P52" s="94" t="s">
        <v>217</v>
      </c>
      <c r="Q52" s="97"/>
      <c r="R52" s="98">
        <f>O52*430000</f>
        <v>2150000</v>
      </c>
      <c r="S52" s="85">
        <f t="shared" si="26"/>
        <v>9.6017163402901867E-2</v>
      </c>
      <c r="T52" s="99"/>
      <c r="U52" s="87"/>
      <c r="V52" s="87"/>
      <c r="W52" s="87"/>
      <c r="X52" s="87"/>
      <c r="Y52" s="88">
        <v>0</v>
      </c>
      <c r="Z52" s="99">
        <f t="shared" si="30"/>
        <v>0</v>
      </c>
      <c r="AA52" s="100">
        <f t="shared" si="1"/>
        <v>0</v>
      </c>
      <c r="AB52" s="99">
        <f t="shared" si="31"/>
        <v>0</v>
      </c>
      <c r="AC52" s="88"/>
      <c r="AD52" s="88">
        <f t="shared" si="32"/>
        <v>2150000</v>
      </c>
      <c r="AE52" s="86"/>
      <c r="AF52" s="90"/>
    </row>
    <row r="53" spans="1:32" ht="12" customHeight="1" x14ac:dyDescent="0.35">
      <c r="A53" s="93"/>
      <c r="B53" s="102" t="s">
        <v>82</v>
      </c>
      <c r="C53" s="94" t="s">
        <v>215</v>
      </c>
      <c r="D53" s="94"/>
      <c r="E53" s="94"/>
      <c r="F53" s="94"/>
      <c r="G53" s="95"/>
      <c r="H53" s="77"/>
      <c r="I53" s="78"/>
      <c r="J53" s="79"/>
      <c r="K53" s="80"/>
      <c r="L53" s="81"/>
      <c r="M53" s="81"/>
      <c r="N53" s="81"/>
      <c r="O53" s="96">
        <v>2</v>
      </c>
      <c r="P53" s="94" t="s">
        <v>218</v>
      </c>
      <c r="Q53" s="97"/>
      <c r="R53" s="98">
        <f>O53*3000000</f>
        <v>6000000</v>
      </c>
      <c r="S53" s="85">
        <f t="shared" si="26"/>
        <v>0.26795487461274942</v>
      </c>
      <c r="T53" s="99"/>
      <c r="U53" s="87"/>
      <c r="V53" s="87"/>
      <c r="W53" s="87"/>
      <c r="X53" s="87"/>
      <c r="Y53" s="88">
        <v>0</v>
      </c>
      <c r="Z53" s="99">
        <f t="shared" si="30"/>
        <v>0</v>
      </c>
      <c r="AA53" s="100">
        <f t="shared" si="1"/>
        <v>0</v>
      </c>
      <c r="AB53" s="99">
        <f t="shared" si="31"/>
        <v>0</v>
      </c>
      <c r="AC53" s="88"/>
      <c r="AD53" s="88">
        <f t="shared" si="32"/>
        <v>6000000</v>
      </c>
      <c r="AE53" s="86"/>
      <c r="AF53" s="90"/>
    </row>
    <row r="54" spans="1:32" ht="12" customHeight="1" x14ac:dyDescent="0.35">
      <c r="A54" s="93"/>
      <c r="B54" s="102" t="s">
        <v>82</v>
      </c>
      <c r="C54" s="94" t="s">
        <v>216</v>
      </c>
      <c r="D54" s="94"/>
      <c r="E54" s="94"/>
      <c r="F54" s="94"/>
      <c r="G54" s="95"/>
      <c r="H54" s="77"/>
      <c r="I54" s="78"/>
      <c r="J54" s="79"/>
      <c r="K54" s="80"/>
      <c r="L54" s="81"/>
      <c r="M54" s="81"/>
      <c r="N54" s="81"/>
      <c r="O54" s="96">
        <v>5</v>
      </c>
      <c r="P54" s="94" t="s">
        <v>147</v>
      </c>
      <c r="Q54" s="97"/>
      <c r="R54" s="98">
        <f>O54*200000</f>
        <v>1000000</v>
      </c>
      <c r="S54" s="85">
        <f t="shared" si="26"/>
        <v>4.4659145768791562E-2</v>
      </c>
      <c r="T54" s="99"/>
      <c r="U54" s="87"/>
      <c r="V54" s="87"/>
      <c r="W54" s="87"/>
      <c r="X54" s="87"/>
      <c r="Y54" s="88">
        <v>0</v>
      </c>
      <c r="Z54" s="99">
        <f t="shared" si="30"/>
        <v>0</v>
      </c>
      <c r="AA54" s="100">
        <f t="shared" si="1"/>
        <v>0</v>
      </c>
      <c r="AB54" s="99">
        <f t="shared" si="31"/>
        <v>0</v>
      </c>
      <c r="AC54" s="88"/>
      <c r="AD54" s="88">
        <f t="shared" si="32"/>
        <v>1000000</v>
      </c>
      <c r="AE54" s="86"/>
      <c r="AF54" s="90"/>
    </row>
    <row r="55" spans="1:32" ht="12" customHeight="1" x14ac:dyDescent="0.35">
      <c r="A55" s="284">
        <v>524119</v>
      </c>
      <c r="B55" s="286" t="s">
        <v>219</v>
      </c>
      <c r="C55" s="94"/>
      <c r="D55" s="94"/>
      <c r="E55" s="94"/>
      <c r="F55" s="94"/>
      <c r="G55" s="95"/>
      <c r="H55" s="77"/>
      <c r="I55" s="78"/>
      <c r="J55" s="79"/>
      <c r="K55" s="80"/>
      <c r="L55" s="81"/>
      <c r="M55" s="81"/>
      <c r="N55" s="81"/>
      <c r="O55" s="96"/>
      <c r="P55" s="94"/>
      <c r="Q55" s="97"/>
      <c r="R55" s="98"/>
      <c r="S55" s="85"/>
      <c r="T55" s="99"/>
      <c r="U55" s="87"/>
      <c r="V55" s="87"/>
      <c r="W55" s="87"/>
      <c r="X55" s="87"/>
      <c r="Y55" s="88"/>
      <c r="Z55" s="99"/>
      <c r="AA55" s="100"/>
      <c r="AB55" s="99"/>
      <c r="AC55" s="88"/>
      <c r="AD55" s="88"/>
      <c r="AE55" s="86"/>
      <c r="AF55" s="90"/>
    </row>
    <row r="56" spans="1:32" ht="12" customHeight="1" x14ac:dyDescent="0.35">
      <c r="A56" s="93"/>
      <c r="B56" s="102" t="s">
        <v>82</v>
      </c>
      <c r="C56" s="94" t="s">
        <v>220</v>
      </c>
      <c r="D56" s="94"/>
      <c r="E56" s="94"/>
      <c r="F56" s="94"/>
      <c r="G56" s="95"/>
      <c r="H56" s="77"/>
      <c r="I56" s="78"/>
      <c r="J56" s="79"/>
      <c r="K56" s="80"/>
      <c r="L56" s="81"/>
      <c r="M56" s="81"/>
      <c r="N56" s="81"/>
      <c r="O56" s="96">
        <v>100</v>
      </c>
      <c r="P56" s="94" t="s">
        <v>217</v>
      </c>
      <c r="Q56" s="97"/>
      <c r="R56" s="98">
        <f>O56*700000</f>
        <v>70000000</v>
      </c>
      <c r="S56" s="85">
        <f t="shared" ref="S56:S61" si="33">+R56/$R$184*100</f>
        <v>3.1261402038154094</v>
      </c>
      <c r="T56" s="99"/>
      <c r="U56" s="87"/>
      <c r="V56" s="87"/>
      <c r="W56" s="87"/>
      <c r="X56" s="87"/>
      <c r="Y56" s="88">
        <v>0</v>
      </c>
      <c r="Z56" s="99">
        <f t="shared" ref="Z56" si="34">+Y56/R56*100</f>
        <v>0</v>
      </c>
      <c r="AA56" s="100">
        <f t="shared" si="1"/>
        <v>0</v>
      </c>
      <c r="AB56" s="99">
        <f t="shared" ref="AB56" si="35">AA56*S56/100</f>
        <v>0</v>
      </c>
      <c r="AC56" s="88"/>
      <c r="AD56" s="88">
        <f t="shared" ref="AD56" si="36">+R56-Y56</f>
        <v>70000000</v>
      </c>
      <c r="AE56" s="86"/>
      <c r="AF56" s="90"/>
    </row>
    <row r="57" spans="1:32" ht="12" customHeight="1" x14ac:dyDescent="0.35">
      <c r="A57" s="93"/>
      <c r="B57" s="102" t="s">
        <v>82</v>
      </c>
      <c r="C57" s="94" t="s">
        <v>221</v>
      </c>
      <c r="D57" s="94"/>
      <c r="E57" s="94"/>
      <c r="F57" s="94"/>
      <c r="G57" s="95"/>
      <c r="H57" s="77"/>
      <c r="I57" s="78"/>
      <c r="J57" s="79"/>
      <c r="K57" s="80"/>
      <c r="L57" s="81"/>
      <c r="M57" s="81"/>
      <c r="N57" s="81"/>
      <c r="O57" s="96">
        <v>80</v>
      </c>
      <c r="P57" s="94" t="s">
        <v>217</v>
      </c>
      <c r="Q57" s="97"/>
      <c r="R57" s="98">
        <f>O57*150000</f>
        <v>12000000</v>
      </c>
      <c r="S57" s="85">
        <f t="shared" si="33"/>
        <v>0.53590974922549883</v>
      </c>
      <c r="T57" s="99"/>
      <c r="U57" s="87"/>
      <c r="V57" s="87"/>
      <c r="W57" s="87"/>
      <c r="X57" s="87"/>
      <c r="Y57" s="88">
        <v>0</v>
      </c>
      <c r="Z57" s="99">
        <f t="shared" ref="Z57:Z61" si="37">+Y57/R57*100</f>
        <v>0</v>
      </c>
      <c r="AA57" s="100">
        <f t="shared" si="1"/>
        <v>0</v>
      </c>
      <c r="AB57" s="99">
        <f t="shared" ref="AB57:AB61" si="38">AA57*S57/100</f>
        <v>0</v>
      </c>
      <c r="AC57" s="88"/>
      <c r="AD57" s="88">
        <f t="shared" ref="AD57:AD61" si="39">+R57-Y57</f>
        <v>12000000</v>
      </c>
      <c r="AE57" s="86"/>
      <c r="AF57" s="90"/>
    </row>
    <row r="58" spans="1:32" ht="12" customHeight="1" x14ac:dyDescent="0.35">
      <c r="A58" s="93"/>
      <c r="B58" s="102" t="s">
        <v>82</v>
      </c>
      <c r="C58" s="94" t="s">
        <v>222</v>
      </c>
      <c r="D58" s="94"/>
      <c r="E58" s="94"/>
      <c r="F58" s="94"/>
      <c r="G58" s="95"/>
      <c r="H58" s="77"/>
      <c r="I58" s="78"/>
      <c r="J58" s="79"/>
      <c r="K58" s="80"/>
      <c r="L58" s="81"/>
      <c r="M58" s="81"/>
      <c r="N58" s="81"/>
      <c r="O58" s="96">
        <v>50</v>
      </c>
      <c r="P58" s="94" t="s">
        <v>147</v>
      </c>
      <c r="Q58" s="97"/>
      <c r="R58" s="98">
        <f>O58*500000</f>
        <v>25000000</v>
      </c>
      <c r="S58" s="85">
        <f t="shared" si="33"/>
        <v>1.1164786442197892</v>
      </c>
      <c r="T58" s="99"/>
      <c r="U58" s="87"/>
      <c r="V58" s="87"/>
      <c r="W58" s="87"/>
      <c r="X58" s="87"/>
      <c r="Y58" s="88">
        <v>0</v>
      </c>
      <c r="Z58" s="99">
        <f t="shared" si="37"/>
        <v>0</v>
      </c>
      <c r="AA58" s="100">
        <f t="shared" si="1"/>
        <v>0</v>
      </c>
      <c r="AB58" s="99">
        <f t="shared" si="38"/>
        <v>0</v>
      </c>
      <c r="AC58" s="88"/>
      <c r="AD58" s="88">
        <f t="shared" si="39"/>
        <v>25000000</v>
      </c>
      <c r="AE58" s="86"/>
      <c r="AF58" s="90"/>
    </row>
    <row r="59" spans="1:32" ht="12" customHeight="1" x14ac:dyDescent="0.35">
      <c r="A59" s="93"/>
      <c r="B59" s="102" t="s">
        <v>82</v>
      </c>
      <c r="C59" s="94" t="s">
        <v>223</v>
      </c>
      <c r="D59" s="94"/>
      <c r="E59" s="94"/>
      <c r="F59" s="94"/>
      <c r="G59" s="95"/>
      <c r="H59" s="77"/>
      <c r="I59" s="78"/>
      <c r="J59" s="79"/>
      <c r="K59" s="80"/>
      <c r="L59" s="81"/>
      <c r="M59" s="81"/>
      <c r="N59" s="81"/>
      <c r="O59" s="96">
        <v>100</v>
      </c>
      <c r="P59" s="94" t="s">
        <v>217</v>
      </c>
      <c r="Q59" s="97"/>
      <c r="R59" s="98">
        <f>O59*150000</f>
        <v>15000000</v>
      </c>
      <c r="S59" s="85">
        <f t="shared" si="33"/>
        <v>0.6698871865318734</v>
      </c>
      <c r="T59" s="99"/>
      <c r="U59" s="87"/>
      <c r="V59" s="87"/>
      <c r="W59" s="87"/>
      <c r="X59" s="87"/>
      <c r="Y59" s="88">
        <v>0</v>
      </c>
      <c r="Z59" s="99">
        <f t="shared" si="37"/>
        <v>0</v>
      </c>
      <c r="AA59" s="100">
        <f t="shared" si="1"/>
        <v>0</v>
      </c>
      <c r="AB59" s="99">
        <f t="shared" si="38"/>
        <v>0</v>
      </c>
      <c r="AC59" s="88"/>
      <c r="AD59" s="88">
        <f t="shared" si="39"/>
        <v>15000000</v>
      </c>
      <c r="AE59" s="86"/>
      <c r="AF59" s="90"/>
    </row>
    <row r="60" spans="1:32" ht="12" customHeight="1" x14ac:dyDescent="0.35">
      <c r="A60" s="93"/>
      <c r="B60" s="102" t="s">
        <v>82</v>
      </c>
      <c r="C60" s="94" t="s">
        <v>224</v>
      </c>
      <c r="D60" s="94"/>
      <c r="E60" s="94"/>
      <c r="F60" s="94"/>
      <c r="G60" s="95"/>
      <c r="H60" s="77"/>
      <c r="I60" s="78"/>
      <c r="J60" s="79"/>
      <c r="K60" s="80"/>
      <c r="L60" s="81"/>
      <c r="M60" s="81"/>
      <c r="N60" s="81"/>
      <c r="O60" s="96">
        <v>120</v>
      </c>
      <c r="P60" s="94" t="s">
        <v>217</v>
      </c>
      <c r="Q60" s="97"/>
      <c r="R60" s="98">
        <f>O60*700000</f>
        <v>84000000</v>
      </c>
      <c r="S60" s="85">
        <f t="shared" si="33"/>
        <v>3.7513682445784915</v>
      </c>
      <c r="T60" s="99"/>
      <c r="U60" s="87"/>
      <c r="V60" s="87"/>
      <c r="W60" s="87"/>
      <c r="X60" s="87"/>
      <c r="Y60" s="88">
        <v>0</v>
      </c>
      <c r="Z60" s="99">
        <f t="shared" si="37"/>
        <v>0</v>
      </c>
      <c r="AA60" s="100">
        <f t="shared" si="1"/>
        <v>0</v>
      </c>
      <c r="AB60" s="99">
        <f t="shared" si="38"/>
        <v>0</v>
      </c>
      <c r="AC60" s="88"/>
      <c r="AD60" s="88">
        <f t="shared" si="39"/>
        <v>84000000</v>
      </c>
      <c r="AE60" s="86"/>
      <c r="AF60" s="90"/>
    </row>
    <row r="61" spans="1:32" ht="12" customHeight="1" x14ac:dyDescent="0.35">
      <c r="A61" s="93"/>
      <c r="B61" s="102" t="s">
        <v>82</v>
      </c>
      <c r="C61" s="94" t="s">
        <v>225</v>
      </c>
      <c r="D61" s="94"/>
      <c r="E61" s="94"/>
      <c r="F61" s="94"/>
      <c r="G61" s="95"/>
      <c r="H61" s="77"/>
      <c r="I61" s="78"/>
      <c r="J61" s="79"/>
      <c r="K61" s="80"/>
      <c r="L61" s="81"/>
      <c r="M61" s="81"/>
      <c r="N61" s="81"/>
      <c r="O61" s="96">
        <v>60</v>
      </c>
      <c r="P61" s="94" t="s">
        <v>147</v>
      </c>
      <c r="Q61" s="97"/>
      <c r="R61" s="98">
        <f>O61*500000</f>
        <v>30000000</v>
      </c>
      <c r="S61" s="85">
        <f t="shared" si="33"/>
        <v>1.3397743730637468</v>
      </c>
      <c r="T61" s="99"/>
      <c r="U61" s="87"/>
      <c r="V61" s="87"/>
      <c r="W61" s="87"/>
      <c r="X61" s="87"/>
      <c r="Y61" s="88">
        <v>0</v>
      </c>
      <c r="Z61" s="99">
        <f t="shared" si="37"/>
        <v>0</v>
      </c>
      <c r="AA61" s="100">
        <f t="shared" si="1"/>
        <v>0</v>
      </c>
      <c r="AB61" s="99">
        <f t="shared" si="38"/>
        <v>0</v>
      </c>
      <c r="AC61" s="88"/>
      <c r="AD61" s="88">
        <f t="shared" si="39"/>
        <v>30000000</v>
      </c>
      <c r="AE61" s="86"/>
      <c r="AF61" s="90"/>
    </row>
    <row r="62" spans="1:32" ht="12" customHeight="1" x14ac:dyDescent="0.35">
      <c r="A62" s="93"/>
      <c r="B62" s="102"/>
      <c r="C62" s="94"/>
      <c r="D62" s="94"/>
      <c r="E62" s="94"/>
      <c r="F62" s="94"/>
      <c r="G62" s="95"/>
      <c r="H62" s="77"/>
      <c r="I62" s="78"/>
      <c r="J62" s="79"/>
      <c r="K62" s="80"/>
      <c r="L62" s="81"/>
      <c r="M62" s="81"/>
      <c r="N62" s="81"/>
      <c r="O62" s="96"/>
      <c r="P62" s="94"/>
      <c r="Q62" s="97"/>
      <c r="R62" s="98"/>
      <c r="S62" s="85"/>
      <c r="T62" s="86"/>
      <c r="U62" s="87"/>
      <c r="V62" s="87"/>
      <c r="W62" s="87"/>
      <c r="X62" s="87"/>
      <c r="Y62" s="88"/>
      <c r="Z62" s="86"/>
      <c r="AA62" s="86"/>
      <c r="AB62" s="86"/>
      <c r="AC62" s="88"/>
      <c r="AD62" s="88"/>
      <c r="AE62" s="86"/>
      <c r="AF62" s="90"/>
    </row>
    <row r="63" spans="1:32" ht="12.95" customHeight="1" x14ac:dyDescent="0.35">
      <c r="A63" s="117" t="s">
        <v>226</v>
      </c>
      <c r="B63" s="118" t="s">
        <v>227</v>
      </c>
      <c r="C63" s="119"/>
      <c r="D63" s="119"/>
      <c r="E63" s="119"/>
      <c r="F63" s="119"/>
      <c r="G63" s="119"/>
      <c r="H63" s="120"/>
      <c r="I63" s="121"/>
      <c r="J63" s="122"/>
      <c r="K63" s="123"/>
      <c r="L63" s="124"/>
      <c r="M63" s="124"/>
      <c r="N63" s="124"/>
      <c r="O63" s="125"/>
      <c r="P63" s="119"/>
      <c r="Q63" s="126"/>
      <c r="R63" s="127"/>
      <c r="S63" s="128"/>
      <c r="T63" s="129"/>
      <c r="U63" s="130"/>
      <c r="V63" s="130"/>
      <c r="W63" s="130"/>
      <c r="X63" s="130"/>
      <c r="Y63" s="131"/>
      <c r="Z63" s="129"/>
      <c r="AA63" s="129"/>
      <c r="AB63" s="129"/>
      <c r="AC63" s="131"/>
      <c r="AD63" s="131"/>
      <c r="AE63" s="129"/>
    </row>
    <row r="64" spans="1:32" ht="12.95" customHeight="1" x14ac:dyDescent="0.35">
      <c r="A64" s="132"/>
      <c r="B64" s="104"/>
      <c r="C64" s="105"/>
      <c r="D64" s="105"/>
      <c r="E64" s="111"/>
      <c r="F64" s="111"/>
      <c r="G64" s="111"/>
      <c r="H64" s="107"/>
      <c r="I64" s="108"/>
      <c r="J64" s="109"/>
      <c r="K64" s="110"/>
      <c r="L64" s="111"/>
      <c r="M64" s="111"/>
      <c r="N64" s="111"/>
      <c r="O64" s="133"/>
      <c r="P64" s="108"/>
      <c r="Q64" s="114"/>
      <c r="R64" s="133"/>
      <c r="S64" s="113"/>
      <c r="T64" s="114"/>
      <c r="U64" s="115"/>
      <c r="V64" s="115"/>
      <c r="W64" s="115"/>
      <c r="X64" s="115"/>
      <c r="Y64" s="116"/>
      <c r="Z64" s="114"/>
      <c r="AA64" s="114"/>
      <c r="AB64" s="114"/>
      <c r="AC64" s="116"/>
      <c r="AD64" s="116"/>
      <c r="AE64" s="114"/>
    </row>
    <row r="65" spans="1:41" ht="12.95" customHeight="1" x14ac:dyDescent="0.35">
      <c r="A65" s="132" t="s">
        <v>228</v>
      </c>
      <c r="B65" s="104" t="s">
        <v>229</v>
      </c>
      <c r="C65" s="105"/>
      <c r="D65" s="105"/>
      <c r="E65" s="105"/>
      <c r="F65" s="105"/>
      <c r="G65" s="106"/>
      <c r="H65" s="107"/>
      <c r="I65" s="108"/>
      <c r="J65" s="109"/>
      <c r="K65" s="110"/>
      <c r="L65" s="111"/>
      <c r="M65" s="111"/>
      <c r="N65" s="111"/>
      <c r="O65" s="134"/>
      <c r="P65" s="111"/>
      <c r="Q65" s="135"/>
      <c r="R65" s="136"/>
      <c r="S65" s="113"/>
      <c r="T65" s="114"/>
      <c r="U65" s="115"/>
      <c r="V65" s="115"/>
      <c r="W65" s="115"/>
      <c r="X65" s="115"/>
      <c r="Y65" s="116"/>
      <c r="Z65" s="114"/>
      <c r="AA65" s="114"/>
      <c r="AB65" s="114"/>
      <c r="AC65" s="116"/>
      <c r="AD65" s="116"/>
      <c r="AE65" s="114"/>
    </row>
    <row r="66" spans="1:41" s="164" customFormat="1" ht="12.95" hidden="1" customHeight="1" x14ac:dyDescent="0.35">
      <c r="A66" s="146"/>
      <c r="B66" s="147"/>
      <c r="C66" s="148" t="s">
        <v>89</v>
      </c>
      <c r="D66" s="149" t="s">
        <v>90</v>
      </c>
      <c r="E66" s="140"/>
      <c r="F66" s="140"/>
      <c r="G66" s="150"/>
      <c r="H66" s="151"/>
      <c r="I66" s="152"/>
      <c r="J66" s="153"/>
      <c r="K66" s="153"/>
      <c r="L66" s="154"/>
      <c r="M66" s="140"/>
      <c r="N66" s="140"/>
      <c r="O66" s="98"/>
      <c r="P66" s="155"/>
      <c r="Q66" s="156"/>
      <c r="R66" s="157"/>
      <c r="S66" s="158"/>
      <c r="T66" s="159"/>
      <c r="U66" s="160"/>
      <c r="V66" s="160"/>
      <c r="W66" s="160"/>
      <c r="X66" s="160"/>
      <c r="Y66" s="161"/>
      <c r="Z66" s="159"/>
      <c r="AA66" s="162"/>
      <c r="AB66" s="159"/>
      <c r="AC66" s="88"/>
      <c r="AD66" s="161"/>
      <c r="AE66" s="163"/>
    </row>
    <row r="67" spans="1:41" s="164" customFormat="1" ht="12.95" hidden="1" customHeight="1" x14ac:dyDescent="0.35">
      <c r="A67" s="146"/>
      <c r="B67" s="147"/>
      <c r="C67" s="148" t="s">
        <v>89</v>
      </c>
      <c r="D67" s="149" t="s">
        <v>91</v>
      </c>
      <c r="E67" s="140"/>
      <c r="F67" s="140"/>
      <c r="G67" s="150"/>
      <c r="H67" s="151"/>
      <c r="I67" s="152"/>
      <c r="J67" s="153"/>
      <c r="K67" s="153"/>
      <c r="L67" s="154"/>
      <c r="M67" s="140"/>
      <c r="N67" s="140"/>
      <c r="O67" s="98"/>
      <c r="P67" s="155"/>
      <c r="Q67" s="156"/>
      <c r="R67" s="157"/>
      <c r="S67" s="158"/>
      <c r="T67" s="159"/>
      <c r="U67" s="160"/>
      <c r="V67" s="160"/>
      <c r="W67" s="160"/>
      <c r="X67" s="160"/>
      <c r="Y67" s="161"/>
      <c r="Z67" s="159"/>
      <c r="AA67" s="162"/>
      <c r="AB67" s="159"/>
      <c r="AC67" s="88"/>
      <c r="AD67" s="161"/>
      <c r="AE67" s="163"/>
    </row>
    <row r="68" spans="1:41" s="169" customFormat="1" ht="12.95" hidden="1" customHeight="1" x14ac:dyDescent="0.35">
      <c r="A68" s="146"/>
      <c r="B68" s="147"/>
      <c r="C68" s="165" t="s">
        <v>89</v>
      </c>
      <c r="D68" s="506" t="s">
        <v>92</v>
      </c>
      <c r="E68" s="506"/>
      <c r="F68" s="506"/>
      <c r="G68" s="507"/>
      <c r="H68" s="151"/>
      <c r="I68" s="152"/>
      <c r="J68" s="153"/>
      <c r="K68" s="153"/>
      <c r="L68" s="154"/>
      <c r="M68" s="140"/>
      <c r="N68" s="140"/>
      <c r="O68" s="98"/>
      <c r="P68" s="155"/>
      <c r="Q68" s="156"/>
      <c r="R68" s="157"/>
      <c r="S68" s="158"/>
      <c r="T68" s="159"/>
      <c r="U68" s="160"/>
      <c r="V68" s="160"/>
      <c r="W68" s="160"/>
      <c r="X68" s="160"/>
      <c r="Y68" s="161"/>
      <c r="Z68" s="159"/>
      <c r="AA68" s="162"/>
      <c r="AB68" s="159"/>
      <c r="AC68" s="88"/>
      <c r="AD68" s="161"/>
      <c r="AE68" s="163"/>
      <c r="AF68" s="168"/>
      <c r="AG68" s="168"/>
      <c r="AH68" s="168"/>
      <c r="AI68" s="168"/>
      <c r="AJ68" s="168"/>
      <c r="AK68" s="168"/>
      <c r="AL68" s="168"/>
      <c r="AM68" s="168"/>
      <c r="AN68" s="168"/>
      <c r="AO68" s="168"/>
    </row>
    <row r="69" spans="1:41" s="169" customFormat="1" ht="12.95" customHeight="1" x14ac:dyDescent="0.35">
      <c r="A69" s="282">
        <v>521211</v>
      </c>
      <c r="B69" s="283" t="s">
        <v>186</v>
      </c>
      <c r="C69" s="165"/>
      <c r="D69" s="166"/>
      <c r="E69" s="166"/>
      <c r="F69" s="166"/>
      <c r="G69" s="167"/>
      <c r="H69" s="151"/>
      <c r="I69" s="152"/>
      <c r="J69" s="280"/>
      <c r="K69" s="153"/>
      <c r="L69" s="140"/>
      <c r="M69" s="140"/>
      <c r="N69" s="140"/>
      <c r="O69" s="98"/>
      <c r="P69" s="281"/>
      <c r="Q69" s="156"/>
      <c r="R69" s="157"/>
      <c r="S69" s="158"/>
      <c r="T69" s="159"/>
      <c r="U69" s="160"/>
      <c r="V69" s="160"/>
      <c r="W69" s="160"/>
      <c r="X69" s="160"/>
      <c r="Y69" s="161"/>
      <c r="Z69" s="159"/>
      <c r="AA69" s="162"/>
      <c r="AB69" s="159"/>
      <c r="AC69" s="88"/>
      <c r="AD69" s="161"/>
      <c r="AE69" s="163"/>
      <c r="AF69" s="168"/>
      <c r="AG69" s="168"/>
      <c r="AH69" s="168"/>
      <c r="AI69" s="168"/>
      <c r="AJ69" s="168"/>
      <c r="AK69" s="168"/>
      <c r="AL69" s="168"/>
      <c r="AM69" s="168"/>
      <c r="AN69" s="168"/>
      <c r="AO69" s="168"/>
    </row>
    <row r="70" spans="1:41" s="169" customFormat="1" ht="12.95" customHeight="1" x14ac:dyDescent="0.35">
      <c r="A70" s="138"/>
      <c r="B70" s="139" t="s">
        <v>82</v>
      </c>
      <c r="C70" s="140" t="s">
        <v>87</v>
      </c>
      <c r="D70" s="141"/>
      <c r="E70" s="141"/>
      <c r="F70" s="141"/>
      <c r="G70" s="142"/>
      <c r="H70" s="107"/>
      <c r="I70" s="108"/>
      <c r="J70" s="109"/>
      <c r="K70" s="110"/>
      <c r="L70" s="111"/>
      <c r="M70" s="111"/>
      <c r="N70" s="111"/>
      <c r="O70" s="143">
        <v>12</v>
      </c>
      <c r="P70" s="94" t="s">
        <v>88</v>
      </c>
      <c r="Q70" s="144">
        <v>1500000</v>
      </c>
      <c r="R70" s="77">
        <f>O70*6750000</f>
        <v>81000000</v>
      </c>
      <c r="S70" s="85">
        <f t="shared" ref="S70" si="40">+R70/$R$184*100</f>
        <v>3.6173908072721166</v>
      </c>
      <c r="T70" s="99"/>
      <c r="U70" s="87"/>
      <c r="V70" s="87"/>
      <c r="W70" s="87"/>
      <c r="X70" s="87"/>
      <c r="Y70" s="88">
        <v>0</v>
      </c>
      <c r="Z70" s="99">
        <f t="shared" ref="Z70" si="41">+Y70/R70*100</f>
        <v>0</v>
      </c>
      <c r="AA70" s="100">
        <f t="shared" ref="AA70" si="42">Z70</f>
        <v>0</v>
      </c>
      <c r="AB70" s="99">
        <f t="shared" ref="AB70" si="43">AA70*S70/100</f>
        <v>0</v>
      </c>
      <c r="AC70" s="88"/>
      <c r="AD70" s="88">
        <f t="shared" ref="AD70" si="44">+R70-Y70</f>
        <v>81000000</v>
      </c>
      <c r="AE70" s="86"/>
      <c r="AF70" s="168"/>
      <c r="AG70" s="168"/>
      <c r="AH70" s="168"/>
      <c r="AI70" s="168"/>
      <c r="AJ70" s="168"/>
      <c r="AK70" s="168"/>
      <c r="AL70" s="168"/>
      <c r="AM70" s="168"/>
      <c r="AN70" s="168"/>
      <c r="AO70" s="168"/>
    </row>
    <row r="71" spans="1:41" s="181" customFormat="1" ht="12.95" customHeight="1" x14ac:dyDescent="0.35">
      <c r="A71" s="210">
        <v>521219</v>
      </c>
      <c r="B71" s="211" t="s">
        <v>93</v>
      </c>
      <c r="C71" s="105"/>
      <c r="D71" s="105"/>
      <c r="E71" s="105"/>
      <c r="F71" s="105"/>
      <c r="G71" s="106"/>
      <c r="H71" s="170"/>
      <c r="I71" s="171"/>
      <c r="J71" s="170"/>
      <c r="K71" s="172"/>
      <c r="L71" s="112"/>
      <c r="M71" s="105"/>
      <c r="N71" s="103"/>
      <c r="O71" s="173"/>
      <c r="P71" s="101"/>
      <c r="Q71" s="174"/>
      <c r="R71" s="173"/>
      <c r="S71" s="85"/>
      <c r="T71" s="175"/>
      <c r="U71" s="176"/>
      <c r="V71" s="176"/>
      <c r="W71" s="176"/>
      <c r="X71" s="176"/>
      <c r="Y71" s="177"/>
      <c r="Z71" s="175"/>
      <c r="AA71" s="178"/>
      <c r="AB71" s="175"/>
      <c r="AC71" s="88"/>
      <c r="AD71" s="177"/>
      <c r="AE71" s="179"/>
      <c r="AF71" s="180"/>
      <c r="AG71" s="28"/>
      <c r="AH71" s="28"/>
      <c r="AI71" s="28"/>
      <c r="AJ71" s="28"/>
      <c r="AK71" s="28"/>
      <c r="AL71" s="28"/>
      <c r="AM71" s="28"/>
      <c r="AN71" s="28"/>
      <c r="AO71" s="28"/>
    </row>
    <row r="72" spans="1:41" ht="12.95" customHeight="1" x14ac:dyDescent="0.35">
      <c r="A72" s="135"/>
      <c r="B72" s="139" t="s">
        <v>82</v>
      </c>
      <c r="C72" s="111" t="s">
        <v>94</v>
      </c>
      <c r="D72" s="105"/>
      <c r="E72" s="111"/>
      <c r="F72" s="111"/>
      <c r="G72" s="137"/>
      <c r="H72" s="109"/>
      <c r="I72" s="108"/>
      <c r="J72" s="109"/>
      <c r="K72" s="172"/>
      <c r="L72" s="182">
        <v>1095</v>
      </c>
      <c r="M72" s="140" t="s">
        <v>95</v>
      </c>
      <c r="N72" s="183">
        <v>53000</v>
      </c>
      <c r="O72" s="143">
        <v>12</v>
      </c>
      <c r="P72" s="94" t="s">
        <v>96</v>
      </c>
      <c r="Q72" s="144">
        <v>100000</v>
      </c>
      <c r="R72" s="77">
        <f>O72*3500000</f>
        <v>42000000</v>
      </c>
      <c r="S72" s="85">
        <f t="shared" ref="S72:S74" si="45">+R72/$R$184*100</f>
        <v>1.8756841222892457</v>
      </c>
      <c r="T72" s="99"/>
      <c r="U72" s="87"/>
      <c r="V72" s="87"/>
      <c r="W72" s="87"/>
      <c r="X72" s="87"/>
      <c r="Y72" s="88">
        <v>0</v>
      </c>
      <c r="Z72" s="99">
        <f t="shared" ref="Z72" si="46">+Y72/R72*100</f>
        <v>0</v>
      </c>
      <c r="AA72" s="100">
        <f t="shared" ref="AA72" si="47">Z72</f>
        <v>0</v>
      </c>
      <c r="AB72" s="99">
        <f t="shared" ref="AB72" si="48">AA72*S72/100</f>
        <v>0</v>
      </c>
      <c r="AC72" s="88"/>
      <c r="AD72" s="88">
        <f t="shared" ref="AD72" si="49">+R72-Y72</f>
        <v>42000000</v>
      </c>
      <c r="AE72" s="86"/>
    </row>
    <row r="73" spans="1:41" ht="12.95" customHeight="1" x14ac:dyDescent="0.35">
      <c r="A73" s="135"/>
      <c r="B73" s="139" t="s">
        <v>82</v>
      </c>
      <c r="C73" s="111" t="s">
        <v>97</v>
      </c>
      <c r="D73" s="105"/>
      <c r="E73" s="111"/>
      <c r="F73" s="111"/>
      <c r="G73" s="137"/>
      <c r="H73" s="109"/>
      <c r="I73" s="108"/>
      <c r="J73" s="109"/>
      <c r="K73" s="172"/>
      <c r="L73" s="182"/>
      <c r="M73" s="140"/>
      <c r="N73" s="183"/>
      <c r="O73" s="143">
        <v>12</v>
      </c>
      <c r="P73" s="94" t="s">
        <v>96</v>
      </c>
      <c r="Q73" s="144"/>
      <c r="R73" s="77">
        <f>O73*600000</f>
        <v>7200000</v>
      </c>
      <c r="S73" s="85">
        <f t="shared" si="45"/>
        <v>0.32154584953529924</v>
      </c>
      <c r="T73" s="99"/>
      <c r="U73" s="87"/>
      <c r="V73" s="87"/>
      <c r="W73" s="87"/>
      <c r="X73" s="87"/>
      <c r="Y73" s="88">
        <v>0</v>
      </c>
      <c r="Z73" s="99">
        <f t="shared" ref="Z73:Z74" si="50">+Y73/R73*100</f>
        <v>0</v>
      </c>
      <c r="AA73" s="100">
        <f t="shared" ref="AA73:AA74" si="51">Z73</f>
        <v>0</v>
      </c>
      <c r="AB73" s="99">
        <f t="shared" ref="AB73:AB74" si="52">AA73*S73/100</f>
        <v>0</v>
      </c>
      <c r="AC73" s="88"/>
      <c r="AD73" s="88">
        <f t="shared" ref="AD73:AD74" si="53">+R73-Y73</f>
        <v>7200000</v>
      </c>
      <c r="AE73" s="114"/>
    </row>
    <row r="74" spans="1:41" ht="12.95" customHeight="1" x14ac:dyDescent="0.35">
      <c r="A74" s="135"/>
      <c r="B74" s="139" t="s">
        <v>82</v>
      </c>
      <c r="C74" s="111" t="s">
        <v>230</v>
      </c>
      <c r="D74" s="105"/>
      <c r="E74" s="111"/>
      <c r="F74" s="111"/>
      <c r="G74" s="137"/>
      <c r="H74" s="109"/>
      <c r="I74" s="108"/>
      <c r="J74" s="109"/>
      <c r="K74" s="172"/>
      <c r="L74" s="182"/>
      <c r="M74" s="140"/>
      <c r="N74" s="183"/>
      <c r="O74" s="143">
        <v>1</v>
      </c>
      <c r="P74" s="94" t="s">
        <v>231</v>
      </c>
      <c r="Q74" s="144"/>
      <c r="R74" s="77">
        <f>O74*50000000</f>
        <v>50000000</v>
      </c>
      <c r="S74" s="85">
        <f t="shared" si="45"/>
        <v>2.2329572884395783</v>
      </c>
      <c r="T74" s="99"/>
      <c r="U74" s="87"/>
      <c r="V74" s="87"/>
      <c r="W74" s="87"/>
      <c r="X74" s="87"/>
      <c r="Y74" s="88">
        <v>0</v>
      </c>
      <c r="Z74" s="99">
        <f t="shared" si="50"/>
        <v>0</v>
      </c>
      <c r="AA74" s="100">
        <f t="shared" si="51"/>
        <v>0</v>
      </c>
      <c r="AB74" s="99">
        <f t="shared" si="52"/>
        <v>0</v>
      </c>
      <c r="AC74" s="88"/>
      <c r="AD74" s="88">
        <f t="shared" si="53"/>
        <v>50000000</v>
      </c>
      <c r="AE74" s="114"/>
    </row>
    <row r="75" spans="1:41" ht="12.95" customHeight="1" x14ac:dyDescent="0.35">
      <c r="A75" s="210">
        <v>523121</v>
      </c>
      <c r="B75" s="211" t="s">
        <v>98</v>
      </c>
      <c r="C75" s="105"/>
      <c r="D75" s="105"/>
      <c r="E75" s="105"/>
      <c r="F75" s="105"/>
      <c r="G75" s="106"/>
      <c r="H75" s="170"/>
      <c r="I75" s="171"/>
      <c r="J75" s="170"/>
      <c r="K75" s="172"/>
      <c r="L75" s="112"/>
      <c r="M75" s="105"/>
      <c r="N75" s="103"/>
      <c r="O75" s="173"/>
      <c r="P75" s="101"/>
      <c r="Q75" s="174"/>
      <c r="R75" s="173"/>
      <c r="S75" s="85"/>
      <c r="T75" s="175"/>
      <c r="U75" s="176"/>
      <c r="V75" s="176"/>
      <c r="W75" s="176"/>
      <c r="X75" s="176"/>
      <c r="Y75" s="177"/>
      <c r="Z75" s="175"/>
      <c r="AA75" s="178"/>
      <c r="AB75" s="175"/>
      <c r="AC75" s="88"/>
      <c r="AD75" s="177"/>
      <c r="AE75" s="179"/>
    </row>
    <row r="76" spans="1:41" ht="12.95" customHeight="1" x14ac:dyDescent="0.35">
      <c r="A76" s="135"/>
      <c r="B76" s="139" t="s">
        <v>82</v>
      </c>
      <c r="C76" s="111" t="s">
        <v>99</v>
      </c>
      <c r="D76" s="105"/>
      <c r="E76" s="111"/>
      <c r="F76" s="111"/>
      <c r="G76" s="137"/>
      <c r="H76" s="109"/>
      <c r="I76" s="108"/>
      <c r="J76" s="109"/>
      <c r="K76" s="172"/>
      <c r="L76" s="182">
        <v>1095</v>
      </c>
      <c r="M76" s="140" t="s">
        <v>95</v>
      </c>
      <c r="N76" s="183">
        <v>53000</v>
      </c>
      <c r="O76" s="143">
        <v>1</v>
      </c>
      <c r="P76" s="94" t="s">
        <v>86</v>
      </c>
      <c r="Q76" s="144">
        <v>100000</v>
      </c>
      <c r="R76" s="77">
        <f>O76*600000</f>
        <v>600000</v>
      </c>
      <c r="S76" s="85">
        <f t="shared" ref="S76" si="54">+R76/$R$184*100</f>
        <v>2.6795487461274942E-2</v>
      </c>
      <c r="T76" s="99"/>
      <c r="U76" s="87"/>
      <c r="V76" s="87"/>
      <c r="W76" s="87"/>
      <c r="X76" s="87"/>
      <c r="Y76" s="88">
        <v>0</v>
      </c>
      <c r="Z76" s="99">
        <f t="shared" ref="Z76" si="55">+Y76/R76*100</f>
        <v>0</v>
      </c>
      <c r="AA76" s="100">
        <f t="shared" ref="AA76" si="56">Z76</f>
        <v>0</v>
      </c>
      <c r="AB76" s="99">
        <f t="shared" ref="AB76" si="57">AA76*S76/100</f>
        <v>0</v>
      </c>
      <c r="AC76" s="88"/>
      <c r="AD76" s="88">
        <f t="shared" ref="AD76" si="58">+R76-Y76</f>
        <v>600000</v>
      </c>
      <c r="AE76" s="86"/>
    </row>
    <row r="77" spans="1:41" ht="12.95" customHeight="1" x14ac:dyDescent="0.35">
      <c r="A77" s="132" t="s">
        <v>232</v>
      </c>
      <c r="B77" s="104" t="s">
        <v>233</v>
      </c>
      <c r="C77" s="105"/>
      <c r="D77" s="105"/>
      <c r="E77" s="111"/>
      <c r="F77" s="111"/>
      <c r="G77" s="137"/>
      <c r="H77" s="107"/>
      <c r="I77" s="108"/>
      <c r="J77" s="109"/>
      <c r="K77" s="110"/>
      <c r="L77" s="111"/>
      <c r="M77" s="111"/>
      <c r="N77" s="111"/>
      <c r="O77" s="185"/>
      <c r="P77" s="81"/>
      <c r="Q77" s="186"/>
      <c r="R77" s="187"/>
      <c r="S77" s="85"/>
      <c r="T77" s="99"/>
      <c r="U77" s="145"/>
      <c r="V77" s="145"/>
      <c r="W77" s="145"/>
      <c r="X77" s="145"/>
      <c r="Y77" s="88"/>
      <c r="Z77" s="99"/>
      <c r="AA77" s="100"/>
      <c r="AB77" s="184"/>
      <c r="AC77" s="88"/>
      <c r="AD77" s="88"/>
      <c r="AE77" s="114"/>
    </row>
    <row r="78" spans="1:41" s="28" customFormat="1" ht="12.95" customHeight="1" x14ac:dyDescent="0.35">
      <c r="A78" s="279">
        <v>521119</v>
      </c>
      <c r="B78" s="211" t="s">
        <v>100</v>
      </c>
      <c r="C78" s="105"/>
      <c r="D78" s="105"/>
      <c r="E78" s="105"/>
      <c r="F78" s="105"/>
      <c r="G78" s="106"/>
      <c r="H78" s="188"/>
      <c r="I78" s="171"/>
      <c r="J78" s="170"/>
      <c r="K78" s="189"/>
      <c r="L78" s="105"/>
      <c r="M78" s="105"/>
      <c r="N78" s="105"/>
      <c r="O78" s="112"/>
      <c r="P78" s="105"/>
      <c r="Q78" s="103"/>
      <c r="R78" s="188"/>
      <c r="S78" s="113"/>
      <c r="T78" s="190"/>
      <c r="U78" s="191"/>
      <c r="V78" s="191"/>
      <c r="W78" s="191"/>
      <c r="X78" s="191"/>
      <c r="Y78" s="192"/>
      <c r="Z78" s="190"/>
      <c r="AA78" s="178"/>
      <c r="AB78" s="193"/>
      <c r="AC78" s="192"/>
      <c r="AD78" s="192"/>
      <c r="AE78" s="179"/>
    </row>
    <row r="79" spans="1:41" s="28" customFormat="1" ht="12.95" customHeight="1" x14ac:dyDescent="0.35">
      <c r="A79" s="114"/>
      <c r="B79" s="194" t="s">
        <v>82</v>
      </c>
      <c r="C79" s="111" t="s">
        <v>101</v>
      </c>
      <c r="D79" s="105"/>
      <c r="E79" s="111"/>
      <c r="F79" s="111"/>
      <c r="G79" s="137"/>
      <c r="H79" s="107"/>
      <c r="I79" s="108"/>
      <c r="J79" s="109"/>
      <c r="K79" s="110"/>
      <c r="L79" s="111"/>
      <c r="M79" s="111"/>
      <c r="N79" s="111"/>
      <c r="O79" s="182">
        <v>12</v>
      </c>
      <c r="P79" s="140" t="s">
        <v>96</v>
      </c>
      <c r="Q79" s="183">
        <v>125000</v>
      </c>
      <c r="R79" s="151">
        <f>O79*600000</f>
        <v>7200000</v>
      </c>
      <c r="S79" s="85">
        <f t="shared" ref="S79" si="59">+R79/$R$184*100</f>
        <v>0.32154584953529924</v>
      </c>
      <c r="T79" s="99"/>
      <c r="U79" s="87"/>
      <c r="V79" s="87"/>
      <c r="W79" s="87"/>
      <c r="X79" s="87"/>
      <c r="Y79" s="88">
        <v>0</v>
      </c>
      <c r="Z79" s="99">
        <f t="shared" ref="Z79" si="60">+Y79/R79*100</f>
        <v>0</v>
      </c>
      <c r="AA79" s="100">
        <f t="shared" ref="AA79" si="61">Z79</f>
        <v>0</v>
      </c>
      <c r="AB79" s="99">
        <f t="shared" ref="AB79" si="62">AA79*S79/100</f>
        <v>0</v>
      </c>
      <c r="AC79" s="88"/>
      <c r="AD79" s="88">
        <f t="shared" ref="AD79" si="63">+R79-Y79</f>
        <v>7200000</v>
      </c>
      <c r="AE79" s="86"/>
    </row>
    <row r="80" spans="1:41" ht="12.95" customHeight="1" x14ac:dyDescent="0.35">
      <c r="A80" s="132" t="s">
        <v>184</v>
      </c>
      <c r="B80" s="104" t="s">
        <v>234</v>
      </c>
      <c r="C80" s="105"/>
      <c r="D80" s="105"/>
      <c r="E80" s="111"/>
      <c r="F80" s="111"/>
      <c r="G80" s="137"/>
      <c r="H80" s="107"/>
      <c r="I80" s="108"/>
      <c r="J80" s="109"/>
      <c r="K80" s="110"/>
      <c r="L80" s="111"/>
      <c r="M80" s="111"/>
      <c r="N80" s="111"/>
      <c r="O80" s="134"/>
      <c r="P80" s="111"/>
      <c r="Q80" s="135"/>
      <c r="R80" s="136"/>
      <c r="S80" s="113"/>
      <c r="T80" s="195"/>
      <c r="U80" s="198"/>
      <c r="V80" s="198"/>
      <c r="W80" s="198"/>
      <c r="X80" s="198"/>
      <c r="Y80" s="116"/>
      <c r="Z80" s="195"/>
      <c r="AA80" s="100"/>
      <c r="AB80" s="197"/>
      <c r="AC80" s="116"/>
      <c r="AD80" s="116"/>
      <c r="AE80" s="114"/>
    </row>
    <row r="81" spans="1:32" ht="12.95" customHeight="1" x14ac:dyDescent="0.35">
      <c r="A81" s="219">
        <v>523119</v>
      </c>
      <c r="B81" s="211" t="s">
        <v>103</v>
      </c>
      <c r="C81" s="105"/>
      <c r="D81" s="105"/>
      <c r="E81" s="111"/>
      <c r="F81" s="111"/>
      <c r="G81" s="137"/>
      <c r="H81" s="107"/>
      <c r="I81" s="108"/>
      <c r="J81" s="109"/>
      <c r="K81" s="110"/>
      <c r="L81" s="111"/>
      <c r="M81" s="111"/>
      <c r="N81" s="111"/>
      <c r="O81" s="111"/>
      <c r="P81" s="111"/>
      <c r="Q81" s="135"/>
      <c r="R81" s="188"/>
      <c r="S81" s="113"/>
      <c r="T81" s="195"/>
      <c r="U81" s="198"/>
      <c r="V81" s="198"/>
      <c r="W81" s="198"/>
      <c r="X81" s="198"/>
      <c r="Y81" s="116"/>
      <c r="Z81" s="195"/>
      <c r="AA81" s="100"/>
      <c r="AB81" s="197"/>
      <c r="AC81" s="116"/>
      <c r="AD81" s="116"/>
      <c r="AE81" s="114"/>
    </row>
    <row r="82" spans="1:32" ht="12.95" customHeight="1" x14ac:dyDescent="0.35">
      <c r="A82" s="132"/>
      <c r="B82" s="194" t="s">
        <v>82</v>
      </c>
      <c r="C82" s="111" t="s">
        <v>104</v>
      </c>
      <c r="D82" s="105"/>
      <c r="E82" s="111"/>
      <c r="F82" s="111"/>
      <c r="G82" s="137"/>
      <c r="H82" s="107"/>
      <c r="I82" s="108"/>
      <c r="J82" s="109"/>
      <c r="K82" s="110"/>
      <c r="L82" s="111"/>
      <c r="M82" s="111"/>
      <c r="N82" s="111"/>
      <c r="O82" s="134">
        <v>70</v>
      </c>
      <c r="P82" s="111" t="s">
        <v>105</v>
      </c>
      <c r="Q82" s="200">
        <v>10000</v>
      </c>
      <c r="R82" s="151">
        <f>O82*15000</f>
        <v>1050000</v>
      </c>
      <c r="S82" s="85">
        <f t="shared" ref="S82" si="64">+R82/$R$184*100</f>
        <v>4.6892103057231141E-2</v>
      </c>
      <c r="T82" s="99"/>
      <c r="U82" s="87"/>
      <c r="V82" s="87"/>
      <c r="W82" s="87"/>
      <c r="X82" s="87"/>
      <c r="Y82" s="88">
        <v>0</v>
      </c>
      <c r="Z82" s="99">
        <f t="shared" ref="Z82" si="65">+Y82/R82*100</f>
        <v>0</v>
      </c>
      <c r="AA82" s="100">
        <f t="shared" ref="AA82" si="66">Z82</f>
        <v>0</v>
      </c>
      <c r="AB82" s="99">
        <f t="shared" ref="AB82" si="67">AA82*S82/100</f>
        <v>0</v>
      </c>
      <c r="AC82" s="88"/>
      <c r="AD82" s="88">
        <f t="shared" ref="AD82" si="68">+R82-Y82</f>
        <v>1050000</v>
      </c>
      <c r="AE82" s="86"/>
    </row>
    <row r="83" spans="1:32" ht="12.95" customHeight="1" x14ac:dyDescent="0.35">
      <c r="A83" s="219">
        <v>523121</v>
      </c>
      <c r="B83" s="211" t="s">
        <v>106</v>
      </c>
      <c r="C83" s="105"/>
      <c r="D83" s="105"/>
      <c r="E83" s="111"/>
      <c r="F83" s="111"/>
      <c r="G83" s="137"/>
      <c r="H83" s="107"/>
      <c r="I83" s="108"/>
      <c r="J83" s="109"/>
      <c r="K83" s="110"/>
      <c r="L83" s="111"/>
      <c r="M83" s="111"/>
      <c r="N83" s="111"/>
      <c r="O83" s="182"/>
      <c r="P83" s="140"/>
      <c r="Q83" s="183"/>
      <c r="R83" s="201"/>
      <c r="S83" s="113"/>
      <c r="T83" s="195"/>
      <c r="U83" s="198"/>
      <c r="V83" s="198"/>
      <c r="W83" s="198"/>
      <c r="X83" s="198"/>
      <c r="Y83" s="116"/>
      <c r="Z83" s="195"/>
      <c r="AA83" s="100"/>
      <c r="AB83" s="197"/>
      <c r="AC83" s="116"/>
      <c r="AD83" s="116"/>
      <c r="AE83" s="114"/>
    </row>
    <row r="84" spans="1:32" ht="12.95" customHeight="1" x14ac:dyDescent="0.35">
      <c r="A84" s="132"/>
      <c r="B84" s="194" t="s">
        <v>82</v>
      </c>
      <c r="C84" s="111" t="s">
        <v>107</v>
      </c>
      <c r="D84" s="105"/>
      <c r="E84" s="111"/>
      <c r="F84" s="111"/>
      <c r="G84" s="137"/>
      <c r="H84" s="107"/>
      <c r="I84" s="108"/>
      <c r="J84" s="109"/>
      <c r="K84" s="110"/>
      <c r="L84" s="111"/>
      <c r="M84" s="111"/>
      <c r="N84" s="111"/>
      <c r="O84" s="182">
        <v>12</v>
      </c>
      <c r="P84" s="111" t="s">
        <v>88</v>
      </c>
      <c r="Q84" s="183">
        <v>600000</v>
      </c>
      <c r="R84" s="151">
        <f>O84*1500000</f>
        <v>18000000</v>
      </c>
      <c r="S84" s="85">
        <f t="shared" ref="S84:S85" si="69">+R84/$R$184*100</f>
        <v>0.80386462383824819</v>
      </c>
      <c r="T84" s="99"/>
      <c r="U84" s="87"/>
      <c r="V84" s="87"/>
      <c r="W84" s="87"/>
      <c r="X84" s="87"/>
      <c r="Y84" s="88">
        <v>0</v>
      </c>
      <c r="Z84" s="99">
        <f t="shared" ref="Z84:Z85" si="70">+Y84/R84*100</f>
        <v>0</v>
      </c>
      <c r="AA84" s="100">
        <f t="shared" ref="AA84:AA85" si="71">Z84</f>
        <v>0</v>
      </c>
      <c r="AB84" s="99">
        <f t="shared" ref="AB84:AB85" si="72">AA84*S84/100</f>
        <v>0</v>
      </c>
      <c r="AC84" s="88"/>
      <c r="AD84" s="88">
        <f t="shared" ref="AD84:AD85" si="73">+R84-Y84</f>
        <v>18000000</v>
      </c>
      <c r="AE84" s="86"/>
    </row>
    <row r="85" spans="1:32" ht="12.95" customHeight="1" x14ac:dyDescent="0.35">
      <c r="A85" s="132"/>
      <c r="B85" s="194" t="s">
        <v>82</v>
      </c>
      <c r="C85" s="111" t="s">
        <v>108</v>
      </c>
      <c r="D85" s="105"/>
      <c r="E85" s="111"/>
      <c r="F85" s="111"/>
      <c r="G85" s="137"/>
      <c r="H85" s="107"/>
      <c r="I85" s="108"/>
      <c r="J85" s="109"/>
      <c r="K85" s="110"/>
      <c r="L85" s="111"/>
      <c r="M85" s="111"/>
      <c r="N85" s="111"/>
      <c r="O85" s="182">
        <v>12</v>
      </c>
      <c r="P85" s="111" t="s">
        <v>88</v>
      </c>
      <c r="Q85" s="183">
        <v>1000000</v>
      </c>
      <c r="R85" s="151">
        <f>O85*500000</f>
        <v>6000000</v>
      </c>
      <c r="S85" s="85">
        <f t="shared" si="69"/>
        <v>0.26795487461274942</v>
      </c>
      <c r="T85" s="99"/>
      <c r="U85" s="87"/>
      <c r="V85" s="87"/>
      <c r="W85" s="87"/>
      <c r="X85" s="87"/>
      <c r="Y85" s="88">
        <v>0</v>
      </c>
      <c r="Z85" s="99">
        <f t="shared" si="70"/>
        <v>0</v>
      </c>
      <c r="AA85" s="100">
        <f t="shared" si="71"/>
        <v>0</v>
      </c>
      <c r="AB85" s="99">
        <f t="shared" si="72"/>
        <v>0</v>
      </c>
      <c r="AC85" s="88"/>
      <c r="AD85" s="88">
        <f t="shared" si="73"/>
        <v>6000000</v>
      </c>
      <c r="AE85" s="114"/>
    </row>
    <row r="86" spans="1:32" ht="12.95" customHeight="1" x14ac:dyDescent="0.35">
      <c r="A86" s="333">
        <v>532111</v>
      </c>
      <c r="B86" s="334" t="s">
        <v>170</v>
      </c>
      <c r="C86" s="335"/>
      <c r="D86" s="336"/>
      <c r="E86" s="337"/>
      <c r="F86" s="337"/>
      <c r="G86" s="338"/>
      <c r="H86" s="339"/>
      <c r="I86" s="340"/>
      <c r="J86" s="341"/>
      <c r="K86" s="342"/>
      <c r="L86" s="337"/>
      <c r="M86" s="337"/>
      <c r="N86" s="337"/>
      <c r="O86" s="343"/>
      <c r="P86" s="337"/>
      <c r="Q86" s="344"/>
      <c r="R86" s="345"/>
      <c r="S86" s="346"/>
      <c r="T86" s="347"/>
      <c r="U86" s="348"/>
      <c r="V86" s="348"/>
      <c r="W86" s="348"/>
      <c r="X86" s="348"/>
      <c r="Y86" s="349"/>
      <c r="Z86" s="347"/>
      <c r="AA86" s="350"/>
      <c r="AB86" s="351"/>
      <c r="AC86" s="349"/>
      <c r="AD86" s="349"/>
      <c r="AE86" s="352"/>
    </row>
    <row r="87" spans="1:32" ht="12.95" customHeight="1" x14ac:dyDescent="0.35">
      <c r="A87" s="333"/>
      <c r="B87" s="353" t="s">
        <v>82</v>
      </c>
      <c r="C87" s="335" t="s">
        <v>235</v>
      </c>
      <c r="D87" s="336"/>
      <c r="E87" s="337"/>
      <c r="F87" s="337"/>
      <c r="G87" s="338"/>
      <c r="H87" s="339"/>
      <c r="I87" s="340"/>
      <c r="J87" s="341"/>
      <c r="K87" s="342"/>
      <c r="L87" s="337"/>
      <c r="M87" s="337"/>
      <c r="N87" s="337"/>
      <c r="O87" s="343">
        <v>1</v>
      </c>
      <c r="P87" s="337" t="s">
        <v>127</v>
      </c>
      <c r="Q87" s="344"/>
      <c r="R87" s="345">
        <f>O87*12000000</f>
        <v>12000000</v>
      </c>
      <c r="S87" s="346">
        <f t="shared" ref="S87:S91" si="74">+R87/$R$184*100</f>
        <v>0.53590974922549883</v>
      </c>
      <c r="T87" s="347"/>
      <c r="U87" s="354"/>
      <c r="V87" s="354"/>
      <c r="W87" s="354"/>
      <c r="X87" s="354"/>
      <c r="Y87" s="349">
        <v>0</v>
      </c>
      <c r="Z87" s="347">
        <f t="shared" ref="Z87:Z91" si="75">+Y87/R87*100</f>
        <v>0</v>
      </c>
      <c r="AA87" s="350">
        <f t="shared" ref="AA87:AA91" si="76">Z87</f>
        <v>0</v>
      </c>
      <c r="AB87" s="347">
        <f t="shared" ref="AB87:AB91" si="77">AA87*S87/100</f>
        <v>0</v>
      </c>
      <c r="AC87" s="349"/>
      <c r="AD87" s="349">
        <f t="shared" ref="AD87:AD91" si="78">+R87-Y87</f>
        <v>12000000</v>
      </c>
      <c r="AE87" s="352"/>
    </row>
    <row r="88" spans="1:32" ht="12.95" customHeight="1" x14ac:dyDescent="0.35">
      <c r="A88" s="333"/>
      <c r="B88" s="353" t="s">
        <v>82</v>
      </c>
      <c r="C88" s="335" t="s">
        <v>236</v>
      </c>
      <c r="D88" s="336"/>
      <c r="E88" s="337"/>
      <c r="F88" s="337"/>
      <c r="G88" s="338"/>
      <c r="H88" s="339"/>
      <c r="I88" s="340"/>
      <c r="J88" s="341"/>
      <c r="K88" s="342"/>
      <c r="L88" s="337"/>
      <c r="M88" s="337"/>
      <c r="N88" s="337"/>
      <c r="O88" s="343">
        <v>1</v>
      </c>
      <c r="P88" s="337" t="s">
        <v>127</v>
      </c>
      <c r="Q88" s="344"/>
      <c r="R88" s="345">
        <f>O88*3300000</f>
        <v>3300000</v>
      </c>
      <c r="S88" s="346">
        <f t="shared" si="74"/>
        <v>0.14737518103701217</v>
      </c>
      <c r="T88" s="347"/>
      <c r="U88" s="354"/>
      <c r="V88" s="354"/>
      <c r="W88" s="354"/>
      <c r="X88" s="354"/>
      <c r="Y88" s="349">
        <v>0</v>
      </c>
      <c r="Z88" s="347">
        <f t="shared" si="75"/>
        <v>0</v>
      </c>
      <c r="AA88" s="350">
        <f t="shared" si="76"/>
        <v>0</v>
      </c>
      <c r="AB88" s="347">
        <f t="shared" si="77"/>
        <v>0</v>
      </c>
      <c r="AC88" s="349"/>
      <c r="AD88" s="349">
        <f t="shared" si="78"/>
        <v>3300000</v>
      </c>
      <c r="AE88" s="352"/>
    </row>
    <row r="89" spans="1:32" ht="12.95" customHeight="1" x14ac:dyDescent="0.35">
      <c r="A89" s="333"/>
      <c r="B89" s="353" t="s">
        <v>82</v>
      </c>
      <c r="C89" s="335" t="s">
        <v>237</v>
      </c>
      <c r="D89" s="336"/>
      <c r="E89" s="337"/>
      <c r="F89" s="337"/>
      <c r="G89" s="338"/>
      <c r="H89" s="339"/>
      <c r="I89" s="340"/>
      <c r="J89" s="341"/>
      <c r="K89" s="342"/>
      <c r="L89" s="337"/>
      <c r="M89" s="337"/>
      <c r="N89" s="337"/>
      <c r="O89" s="343">
        <v>1</v>
      </c>
      <c r="P89" s="337" t="s">
        <v>127</v>
      </c>
      <c r="Q89" s="344"/>
      <c r="R89" s="345">
        <f>O89*8700000</f>
        <v>8700000</v>
      </c>
      <c r="S89" s="346">
        <f t="shared" si="74"/>
        <v>0.38853456818848658</v>
      </c>
      <c r="T89" s="347"/>
      <c r="U89" s="354"/>
      <c r="V89" s="354"/>
      <c r="W89" s="354"/>
      <c r="X89" s="354"/>
      <c r="Y89" s="349">
        <v>0</v>
      </c>
      <c r="Z89" s="347">
        <f t="shared" si="75"/>
        <v>0</v>
      </c>
      <c r="AA89" s="350">
        <f t="shared" si="76"/>
        <v>0</v>
      </c>
      <c r="AB89" s="347">
        <f t="shared" si="77"/>
        <v>0</v>
      </c>
      <c r="AC89" s="349"/>
      <c r="AD89" s="349">
        <f t="shared" si="78"/>
        <v>8700000</v>
      </c>
      <c r="AE89" s="352"/>
    </row>
    <row r="90" spans="1:32" ht="12.95" customHeight="1" x14ac:dyDescent="0.35">
      <c r="A90" s="333"/>
      <c r="B90" s="353" t="s">
        <v>82</v>
      </c>
      <c r="C90" s="335" t="s">
        <v>238</v>
      </c>
      <c r="D90" s="336"/>
      <c r="E90" s="337"/>
      <c r="F90" s="337"/>
      <c r="G90" s="338"/>
      <c r="H90" s="339"/>
      <c r="I90" s="340"/>
      <c r="J90" s="341"/>
      <c r="K90" s="342"/>
      <c r="L90" s="337"/>
      <c r="M90" s="337"/>
      <c r="N90" s="337"/>
      <c r="O90" s="343">
        <v>10</v>
      </c>
      <c r="P90" s="337" t="s">
        <v>127</v>
      </c>
      <c r="Q90" s="344"/>
      <c r="R90" s="345">
        <f>O90*600000</f>
        <v>6000000</v>
      </c>
      <c r="S90" s="346">
        <f t="shared" si="74"/>
        <v>0.26795487461274942</v>
      </c>
      <c r="T90" s="347"/>
      <c r="U90" s="354"/>
      <c r="V90" s="354"/>
      <c r="W90" s="354"/>
      <c r="X90" s="354"/>
      <c r="Y90" s="349">
        <v>0</v>
      </c>
      <c r="Z90" s="347">
        <f t="shared" si="75"/>
        <v>0</v>
      </c>
      <c r="AA90" s="350">
        <f t="shared" si="76"/>
        <v>0</v>
      </c>
      <c r="AB90" s="347">
        <f t="shared" si="77"/>
        <v>0</v>
      </c>
      <c r="AC90" s="349"/>
      <c r="AD90" s="349">
        <f t="shared" si="78"/>
        <v>6000000</v>
      </c>
      <c r="AE90" s="352"/>
    </row>
    <row r="91" spans="1:32" ht="12.95" customHeight="1" x14ac:dyDescent="0.35">
      <c r="A91" s="333"/>
      <c r="B91" s="353" t="s">
        <v>82</v>
      </c>
      <c r="C91" s="335" t="s">
        <v>239</v>
      </c>
      <c r="D91" s="336"/>
      <c r="E91" s="337"/>
      <c r="F91" s="337"/>
      <c r="G91" s="338"/>
      <c r="H91" s="339"/>
      <c r="I91" s="340"/>
      <c r="J91" s="341"/>
      <c r="K91" s="342"/>
      <c r="L91" s="337"/>
      <c r="M91" s="337"/>
      <c r="N91" s="337"/>
      <c r="O91" s="343">
        <v>1</v>
      </c>
      <c r="P91" s="337" t="s">
        <v>127</v>
      </c>
      <c r="Q91" s="344"/>
      <c r="R91" s="345">
        <f>O91*2000000</f>
        <v>2000000</v>
      </c>
      <c r="S91" s="346">
        <f t="shared" si="74"/>
        <v>8.9318291537583125E-2</v>
      </c>
      <c r="T91" s="347"/>
      <c r="U91" s="354"/>
      <c r="V91" s="354"/>
      <c r="W91" s="354"/>
      <c r="X91" s="354"/>
      <c r="Y91" s="349">
        <v>0</v>
      </c>
      <c r="Z91" s="347">
        <f t="shared" si="75"/>
        <v>0</v>
      </c>
      <c r="AA91" s="350">
        <f t="shared" si="76"/>
        <v>0</v>
      </c>
      <c r="AB91" s="347">
        <f t="shared" si="77"/>
        <v>0</v>
      </c>
      <c r="AC91" s="349"/>
      <c r="AD91" s="349">
        <f t="shared" si="78"/>
        <v>2000000</v>
      </c>
      <c r="AE91" s="352"/>
    </row>
    <row r="92" spans="1:32" ht="12.95" customHeight="1" x14ac:dyDescent="0.35">
      <c r="A92" s="132"/>
      <c r="B92" s="194"/>
      <c r="C92" s="111"/>
      <c r="D92" s="105"/>
      <c r="E92" s="111"/>
      <c r="F92" s="111"/>
      <c r="G92" s="137"/>
      <c r="H92" s="107"/>
      <c r="I92" s="108"/>
      <c r="J92" s="109"/>
      <c r="K92" s="110"/>
      <c r="L92" s="111"/>
      <c r="M92" s="111"/>
      <c r="N92" s="111"/>
      <c r="O92" s="182"/>
      <c r="P92" s="111"/>
      <c r="Q92" s="183"/>
      <c r="R92" s="151"/>
      <c r="S92" s="113"/>
      <c r="T92" s="195"/>
      <c r="U92" s="196"/>
      <c r="V92" s="196"/>
      <c r="W92" s="196"/>
      <c r="X92" s="196"/>
      <c r="Y92" s="116"/>
      <c r="Z92" s="195"/>
      <c r="AA92" s="202"/>
      <c r="AB92" s="197"/>
      <c r="AC92" s="116"/>
      <c r="AD92" s="116"/>
      <c r="AE92" s="114"/>
    </row>
    <row r="93" spans="1:32" ht="12.95" customHeight="1" x14ac:dyDescent="0.35">
      <c r="A93" s="287" t="s">
        <v>240</v>
      </c>
      <c r="B93" s="288" t="s">
        <v>109</v>
      </c>
      <c r="C93" s="278"/>
      <c r="D93" s="278"/>
      <c r="E93" s="81"/>
      <c r="F93" s="81"/>
      <c r="G93" s="289"/>
      <c r="H93" s="77"/>
      <c r="I93" s="78"/>
      <c r="J93" s="79"/>
      <c r="K93" s="80"/>
      <c r="L93" s="81"/>
      <c r="M93" s="81"/>
      <c r="N93" s="81"/>
      <c r="O93" s="185"/>
      <c r="P93" s="81"/>
      <c r="Q93" s="186"/>
      <c r="R93" s="173"/>
      <c r="S93" s="85"/>
      <c r="T93" s="99"/>
      <c r="U93" s="145"/>
      <c r="V93" s="145"/>
      <c r="W93" s="145"/>
      <c r="X93" s="145"/>
      <c r="Y93" s="88"/>
      <c r="Z93" s="99"/>
      <c r="AA93" s="100"/>
      <c r="AB93" s="184">
        <f t="shared" ref="AB93:AB112" si="79">AA93*S93/100</f>
        <v>0</v>
      </c>
      <c r="AC93" s="88"/>
      <c r="AD93" s="88"/>
      <c r="AE93" s="86"/>
      <c r="AF93" s="90"/>
    </row>
    <row r="94" spans="1:32" ht="12.95" customHeight="1" x14ac:dyDescent="0.35">
      <c r="A94" s="132"/>
      <c r="B94" s="104"/>
      <c r="C94" s="105"/>
      <c r="D94" s="105"/>
      <c r="E94" s="111"/>
      <c r="F94" s="111"/>
      <c r="G94" s="137"/>
      <c r="H94" s="107"/>
      <c r="I94" s="108"/>
      <c r="J94" s="109"/>
      <c r="K94" s="110"/>
      <c r="L94" s="111"/>
      <c r="M94" s="111"/>
      <c r="N94" s="111"/>
      <c r="O94" s="134"/>
      <c r="P94" s="111"/>
      <c r="Q94" s="135"/>
      <c r="R94" s="133"/>
      <c r="S94" s="113"/>
      <c r="T94" s="195"/>
      <c r="U94" s="198"/>
      <c r="V94" s="198"/>
      <c r="W94" s="198"/>
      <c r="X94" s="198"/>
      <c r="Y94" s="116"/>
      <c r="Z94" s="195"/>
      <c r="AA94" s="202"/>
      <c r="AB94" s="197">
        <f t="shared" si="79"/>
        <v>0</v>
      </c>
      <c r="AC94" s="116"/>
      <c r="AD94" s="116"/>
      <c r="AE94" s="114"/>
    </row>
    <row r="95" spans="1:32" ht="12.95" customHeight="1" x14ac:dyDescent="0.35">
      <c r="A95" s="132" t="s">
        <v>110</v>
      </c>
      <c r="B95" s="104" t="s">
        <v>241</v>
      </c>
      <c r="C95" s="105"/>
      <c r="D95" s="105"/>
      <c r="E95" s="111"/>
      <c r="F95" s="111"/>
      <c r="G95" s="137"/>
      <c r="H95" s="107"/>
      <c r="I95" s="108"/>
      <c r="J95" s="109"/>
      <c r="K95" s="110"/>
      <c r="L95" s="111"/>
      <c r="M95" s="111"/>
      <c r="N95" s="111"/>
      <c r="O95" s="134"/>
      <c r="P95" s="111"/>
      <c r="Q95" s="135"/>
      <c r="R95" s="203"/>
      <c r="S95" s="113"/>
      <c r="T95" s="195"/>
      <c r="U95" s="196"/>
      <c r="V95" s="196"/>
      <c r="W95" s="196"/>
      <c r="X95" s="196"/>
      <c r="Y95" s="116"/>
      <c r="Z95" s="195"/>
      <c r="AA95" s="202"/>
      <c r="AB95" s="197"/>
      <c r="AC95" s="88"/>
      <c r="AD95" s="116"/>
      <c r="AE95" s="114"/>
    </row>
    <row r="96" spans="1:32" ht="12.95" customHeight="1" x14ac:dyDescent="0.35">
      <c r="A96" s="219">
        <v>511111</v>
      </c>
      <c r="B96" s="211" t="s">
        <v>242</v>
      </c>
      <c r="C96" s="232"/>
      <c r="D96" s="105"/>
      <c r="E96" s="111"/>
      <c r="F96" s="111"/>
      <c r="G96" s="111"/>
      <c r="H96" s="107"/>
      <c r="I96" s="108"/>
      <c r="J96" s="109"/>
      <c r="K96" s="110"/>
      <c r="L96" s="111"/>
      <c r="M96" s="111"/>
      <c r="N96" s="111"/>
      <c r="O96" s="134">
        <v>1</v>
      </c>
      <c r="P96" s="111" t="s">
        <v>111</v>
      </c>
      <c r="Q96" s="135"/>
      <c r="R96" s="203">
        <f>O96*806705000</f>
        <v>806705000</v>
      </c>
      <c r="S96" s="85">
        <f t="shared" ref="S96:S106" si="80">+R96/$R$184*100</f>
        <v>36.026756187413</v>
      </c>
      <c r="T96" s="99"/>
      <c r="U96" s="87"/>
      <c r="V96" s="87"/>
      <c r="W96" s="87"/>
      <c r="X96" s="87"/>
      <c r="Y96" s="88">
        <v>58330380</v>
      </c>
      <c r="Z96" s="99">
        <f t="shared" ref="Z96" si="81">+Y96/R96*100</f>
        <v>7.2306952355569889</v>
      </c>
      <c r="AA96" s="100">
        <f>1/14*Z96</f>
        <v>0.51647823111121349</v>
      </c>
      <c r="AB96" s="99">
        <f t="shared" ref="AB96" si="82">AA96*S96/100</f>
        <v>0.18607035308350031</v>
      </c>
      <c r="AC96" s="88"/>
      <c r="AD96" s="88">
        <f t="shared" ref="AD96" si="83">+R96-Y96</f>
        <v>748374620</v>
      </c>
      <c r="AE96" s="86"/>
    </row>
    <row r="97" spans="1:31" ht="12.95" customHeight="1" x14ac:dyDescent="0.35">
      <c r="A97" s="219">
        <v>511121</v>
      </c>
      <c r="B97" s="211" t="s">
        <v>243</v>
      </c>
      <c r="C97" s="232"/>
      <c r="D97" s="105"/>
      <c r="E97" s="111"/>
      <c r="F97" s="111"/>
      <c r="G97" s="111"/>
      <c r="H97" s="107"/>
      <c r="I97" s="108"/>
      <c r="J97" s="109"/>
      <c r="K97" s="110"/>
      <c r="L97" s="111"/>
      <c r="M97" s="111"/>
      <c r="N97" s="111"/>
      <c r="O97" s="134">
        <v>1</v>
      </c>
      <c r="P97" s="111" t="s">
        <v>111</v>
      </c>
      <c r="Q97" s="135"/>
      <c r="R97" s="107">
        <f>O97*47273000</f>
        <v>47273000</v>
      </c>
      <c r="S97" s="85">
        <f t="shared" si="80"/>
        <v>2.1111717979280837</v>
      </c>
      <c r="T97" s="99"/>
      <c r="U97" s="87"/>
      <c r="V97" s="87"/>
      <c r="W97" s="87"/>
      <c r="X97" s="87"/>
      <c r="Y97" s="88">
        <v>3775570</v>
      </c>
      <c r="Z97" s="99">
        <f t="shared" ref="Z97:Z106" si="84">+Y97/R97*100</f>
        <v>7.9867366149810675</v>
      </c>
      <c r="AA97" s="100">
        <f t="shared" ref="AA97:AA106" si="85">1/14*Z97</f>
        <v>0.57048118678436188</v>
      </c>
      <c r="AB97" s="99">
        <f t="shared" ref="AB97:AB106" si="86">AA97*S97/100</f>
        <v>1.2043837927876881E-2</v>
      </c>
      <c r="AC97" s="88"/>
      <c r="AD97" s="88">
        <f t="shared" ref="AD97:AD106" si="87">+R97-Y97</f>
        <v>43497430</v>
      </c>
      <c r="AE97" s="114"/>
    </row>
    <row r="98" spans="1:31" ht="12.95" customHeight="1" x14ac:dyDescent="0.35">
      <c r="A98" s="219">
        <v>511122</v>
      </c>
      <c r="B98" s="211" t="s">
        <v>244</v>
      </c>
      <c r="C98" s="232"/>
      <c r="D98" s="105"/>
      <c r="E98" s="111"/>
      <c r="F98" s="111"/>
      <c r="G98" s="111"/>
      <c r="H98" s="107"/>
      <c r="I98" s="108"/>
      <c r="J98" s="109"/>
      <c r="K98" s="110"/>
      <c r="L98" s="111"/>
      <c r="M98" s="111"/>
      <c r="N98" s="111"/>
      <c r="O98" s="134">
        <v>1</v>
      </c>
      <c r="P98" s="111" t="s">
        <v>111</v>
      </c>
      <c r="Q98" s="135"/>
      <c r="R98" s="107">
        <f>O98*16142000</f>
        <v>16142000</v>
      </c>
      <c r="S98" s="85">
        <f t="shared" si="80"/>
        <v>0.72088793099983339</v>
      </c>
      <c r="T98" s="99"/>
      <c r="U98" s="87"/>
      <c r="V98" s="87"/>
      <c r="W98" s="87"/>
      <c r="X98" s="87"/>
      <c r="Y98" s="88">
        <v>1263328</v>
      </c>
      <c r="Z98" s="99">
        <f t="shared" si="84"/>
        <v>7.8263412216577875</v>
      </c>
      <c r="AA98" s="100">
        <f t="shared" si="85"/>
        <v>0.55902437297555618</v>
      </c>
      <c r="AB98" s="99">
        <f t="shared" si="86"/>
        <v>4.029939236128279E-3</v>
      </c>
      <c r="AC98" s="88"/>
      <c r="AD98" s="88">
        <f t="shared" si="87"/>
        <v>14878672</v>
      </c>
      <c r="AE98" s="114"/>
    </row>
    <row r="99" spans="1:31" ht="12.95" customHeight="1" x14ac:dyDescent="0.35">
      <c r="A99" s="219">
        <v>511123</v>
      </c>
      <c r="B99" s="211" t="s">
        <v>245</v>
      </c>
      <c r="C99" s="232"/>
      <c r="D99" s="105"/>
      <c r="E99" s="111"/>
      <c r="F99" s="111"/>
      <c r="G99" s="111"/>
      <c r="H99" s="107"/>
      <c r="I99" s="108"/>
      <c r="J99" s="109"/>
      <c r="K99" s="110"/>
      <c r="L99" s="111"/>
      <c r="M99" s="111"/>
      <c r="N99" s="111"/>
      <c r="O99" s="134">
        <v>1</v>
      </c>
      <c r="P99" s="111" t="s">
        <v>111</v>
      </c>
      <c r="Q99" s="135"/>
      <c r="R99" s="107">
        <f>O99*27440000</f>
        <v>27440000</v>
      </c>
      <c r="S99" s="85">
        <f t="shared" si="80"/>
        <v>1.2254469598956406</v>
      </c>
      <c r="T99" s="99"/>
      <c r="U99" s="87"/>
      <c r="V99" s="87"/>
      <c r="W99" s="87"/>
      <c r="X99" s="87"/>
      <c r="Y99" s="88">
        <v>1960000</v>
      </c>
      <c r="Z99" s="99">
        <f t="shared" si="84"/>
        <v>7.1428571428571423</v>
      </c>
      <c r="AA99" s="100">
        <f t="shared" si="85"/>
        <v>0.51020408163265296</v>
      </c>
      <c r="AB99" s="99">
        <f t="shared" si="86"/>
        <v>6.2522804076308178E-3</v>
      </c>
      <c r="AC99" s="88"/>
      <c r="AD99" s="88">
        <f t="shared" si="87"/>
        <v>25480000</v>
      </c>
      <c r="AE99" s="114"/>
    </row>
    <row r="100" spans="1:31" ht="12.95" customHeight="1" x14ac:dyDescent="0.35">
      <c r="A100" s="219">
        <v>511124</v>
      </c>
      <c r="B100" s="211" t="s">
        <v>246</v>
      </c>
      <c r="C100" s="232"/>
      <c r="D100" s="105"/>
      <c r="E100" s="111"/>
      <c r="F100" s="111"/>
      <c r="G100" s="111"/>
      <c r="H100" s="107"/>
      <c r="I100" s="108"/>
      <c r="J100" s="109"/>
      <c r="K100" s="110"/>
      <c r="L100" s="111"/>
      <c r="M100" s="111"/>
      <c r="N100" s="111"/>
      <c r="O100" s="134">
        <v>1</v>
      </c>
      <c r="P100" s="111" t="s">
        <v>111</v>
      </c>
      <c r="Q100" s="135"/>
      <c r="R100" s="107">
        <f>O100*27860000</f>
        <v>27860000</v>
      </c>
      <c r="S100" s="85">
        <f t="shared" si="80"/>
        <v>1.244203801118533</v>
      </c>
      <c r="T100" s="99"/>
      <c r="U100" s="87"/>
      <c r="V100" s="87"/>
      <c r="W100" s="87"/>
      <c r="X100" s="87"/>
      <c r="Y100" s="88">
        <v>1850000</v>
      </c>
      <c r="Z100" s="99">
        <f t="shared" si="84"/>
        <v>6.6403445800430729</v>
      </c>
      <c r="AA100" s="100">
        <f t="shared" si="85"/>
        <v>0.47431032714593374</v>
      </c>
      <c r="AB100" s="99">
        <f t="shared" si="86"/>
        <v>5.9013871194474564E-3</v>
      </c>
      <c r="AC100" s="88"/>
      <c r="AD100" s="88">
        <f t="shared" si="87"/>
        <v>26010000</v>
      </c>
      <c r="AE100" s="114"/>
    </row>
    <row r="101" spans="1:31" ht="12.95" customHeight="1" x14ac:dyDescent="0.35">
      <c r="A101" s="219">
        <v>511125</v>
      </c>
      <c r="B101" s="211" t="s">
        <v>247</v>
      </c>
      <c r="C101" s="232"/>
      <c r="D101" s="105"/>
      <c r="E101" s="111"/>
      <c r="F101" s="111"/>
      <c r="G101" s="111"/>
      <c r="H101" s="107"/>
      <c r="I101" s="108"/>
      <c r="J101" s="109"/>
      <c r="K101" s="110"/>
      <c r="L101" s="111"/>
      <c r="M101" s="111"/>
      <c r="N101" s="111"/>
      <c r="O101" s="134">
        <v>1</v>
      </c>
      <c r="P101" s="111" t="s">
        <v>111</v>
      </c>
      <c r="Q101" s="135"/>
      <c r="R101" s="107">
        <f>O101*4525000</f>
        <v>4525000</v>
      </c>
      <c r="S101" s="85">
        <f t="shared" si="80"/>
        <v>0.20208263460378181</v>
      </c>
      <c r="T101" s="99"/>
      <c r="U101" s="87"/>
      <c r="V101" s="87"/>
      <c r="W101" s="87"/>
      <c r="X101" s="87"/>
      <c r="Y101" s="88">
        <v>0</v>
      </c>
      <c r="Z101" s="99">
        <f t="shared" si="84"/>
        <v>0</v>
      </c>
      <c r="AA101" s="100">
        <f t="shared" si="85"/>
        <v>0</v>
      </c>
      <c r="AB101" s="99">
        <f t="shared" si="86"/>
        <v>0</v>
      </c>
      <c r="AC101" s="88"/>
      <c r="AD101" s="88">
        <f t="shared" si="87"/>
        <v>4525000</v>
      </c>
      <c r="AE101" s="114"/>
    </row>
    <row r="102" spans="1:31" ht="12.95" customHeight="1" x14ac:dyDescent="0.35">
      <c r="A102" s="219">
        <v>511126</v>
      </c>
      <c r="B102" s="211" t="s">
        <v>248</v>
      </c>
      <c r="C102" s="232"/>
      <c r="D102" s="105"/>
      <c r="E102" s="111"/>
      <c r="F102" s="111"/>
      <c r="G102" s="111"/>
      <c r="H102" s="107"/>
      <c r="I102" s="108"/>
      <c r="J102" s="109"/>
      <c r="K102" s="110"/>
      <c r="L102" s="111"/>
      <c r="M102" s="111"/>
      <c r="N102" s="111"/>
      <c r="O102" s="134">
        <v>1</v>
      </c>
      <c r="P102" s="111" t="s">
        <v>111</v>
      </c>
      <c r="Q102" s="135"/>
      <c r="R102" s="107">
        <f>O102*42792000</f>
        <v>42792000</v>
      </c>
      <c r="S102" s="85">
        <f t="shared" si="80"/>
        <v>1.9110541657381286</v>
      </c>
      <c r="T102" s="99"/>
      <c r="U102" s="87"/>
      <c r="V102" s="87"/>
      <c r="W102" s="87"/>
      <c r="X102" s="87"/>
      <c r="Y102" s="88">
        <v>3548580</v>
      </c>
      <c r="Z102" s="99">
        <f t="shared" si="84"/>
        <v>8.292624789680314</v>
      </c>
      <c r="AA102" s="100">
        <f t="shared" si="85"/>
        <v>0.59233034212002245</v>
      </c>
      <c r="AB102" s="99">
        <f t="shared" si="86"/>
        <v>1.1319753678015599E-2</v>
      </c>
      <c r="AC102" s="88"/>
      <c r="AD102" s="88">
        <f t="shared" si="87"/>
        <v>39243420</v>
      </c>
      <c r="AE102" s="114"/>
    </row>
    <row r="103" spans="1:31" ht="12.95" customHeight="1" x14ac:dyDescent="0.35">
      <c r="A103" s="307">
        <v>511129</v>
      </c>
      <c r="B103" s="308" t="s">
        <v>249</v>
      </c>
      <c r="C103" s="309"/>
      <c r="D103" s="310"/>
      <c r="E103" s="310"/>
      <c r="F103" s="310"/>
      <c r="G103" s="310"/>
      <c r="H103" s="311"/>
      <c r="I103" s="312"/>
      <c r="J103" s="313"/>
      <c r="K103" s="314"/>
      <c r="L103" s="310"/>
      <c r="M103" s="310"/>
      <c r="N103" s="310"/>
      <c r="O103" s="315">
        <v>1</v>
      </c>
      <c r="P103" s="310" t="s">
        <v>111</v>
      </c>
      <c r="Q103" s="316"/>
      <c r="R103" s="311">
        <f>O103*146160000</f>
        <v>146160000</v>
      </c>
      <c r="S103" s="317">
        <f t="shared" si="80"/>
        <v>6.5273807455665747</v>
      </c>
      <c r="T103" s="318"/>
      <c r="U103" s="319"/>
      <c r="V103" s="319"/>
      <c r="W103" s="319"/>
      <c r="X103" s="319"/>
      <c r="Y103" s="320">
        <v>0</v>
      </c>
      <c r="Z103" s="318">
        <f t="shared" si="84"/>
        <v>0</v>
      </c>
      <c r="AA103" s="100">
        <f t="shared" si="85"/>
        <v>0</v>
      </c>
      <c r="AB103" s="318">
        <f t="shared" si="86"/>
        <v>0</v>
      </c>
      <c r="AC103" s="320"/>
      <c r="AD103" s="320">
        <f t="shared" si="87"/>
        <v>146160000</v>
      </c>
      <c r="AE103" s="321"/>
    </row>
    <row r="104" spans="1:31" ht="12.95" customHeight="1" x14ac:dyDescent="0.35">
      <c r="A104" s="219">
        <v>511151</v>
      </c>
      <c r="B104" s="211" t="s">
        <v>250</v>
      </c>
      <c r="C104" s="232"/>
      <c r="D104" s="105"/>
      <c r="E104" s="111"/>
      <c r="F104" s="111"/>
      <c r="G104" s="111"/>
      <c r="H104" s="107"/>
      <c r="I104" s="108"/>
      <c r="J104" s="109"/>
      <c r="K104" s="110"/>
      <c r="L104" s="111"/>
      <c r="M104" s="111"/>
      <c r="N104" s="111"/>
      <c r="O104" s="134">
        <v>1</v>
      </c>
      <c r="P104" s="111" t="s">
        <v>111</v>
      </c>
      <c r="Q104" s="135"/>
      <c r="R104" s="107">
        <f>O104*35736000</f>
        <v>35736000</v>
      </c>
      <c r="S104" s="85">
        <f t="shared" si="80"/>
        <v>1.5959392331935354</v>
      </c>
      <c r="T104" s="99"/>
      <c r="U104" s="87"/>
      <c r="V104" s="87"/>
      <c r="W104" s="87"/>
      <c r="X104" s="87"/>
      <c r="Y104" s="88">
        <v>1280000</v>
      </c>
      <c r="Z104" s="99">
        <f t="shared" si="84"/>
        <v>3.581822252070741</v>
      </c>
      <c r="AA104" s="100">
        <f t="shared" si="85"/>
        <v>0.25584444657648148</v>
      </c>
      <c r="AB104" s="99">
        <f t="shared" si="86"/>
        <v>4.0831218988609426E-3</v>
      </c>
      <c r="AC104" s="88"/>
      <c r="AD104" s="88">
        <f t="shared" si="87"/>
        <v>34456000</v>
      </c>
      <c r="AE104" s="114"/>
    </row>
    <row r="105" spans="1:31" ht="12.95" customHeight="1" x14ac:dyDescent="0.35">
      <c r="A105" s="307">
        <v>512211</v>
      </c>
      <c r="B105" s="308" t="s">
        <v>251</v>
      </c>
      <c r="C105" s="309"/>
      <c r="D105" s="309"/>
      <c r="E105" s="309"/>
      <c r="F105" s="309"/>
      <c r="G105" s="309"/>
      <c r="H105" s="322"/>
      <c r="I105" s="323"/>
      <c r="J105" s="324"/>
      <c r="K105" s="325"/>
      <c r="L105" s="309"/>
      <c r="M105" s="309"/>
      <c r="N105" s="309"/>
      <c r="O105" s="326">
        <v>1</v>
      </c>
      <c r="P105" s="309" t="s">
        <v>111</v>
      </c>
      <c r="Q105" s="327"/>
      <c r="R105" s="322">
        <f>O105*4320000</f>
        <v>4320000</v>
      </c>
      <c r="S105" s="328">
        <f t="shared" si="80"/>
        <v>0.19292750972117956</v>
      </c>
      <c r="T105" s="329"/>
      <c r="U105" s="330"/>
      <c r="V105" s="330"/>
      <c r="W105" s="330"/>
      <c r="X105" s="330"/>
      <c r="Y105" s="331">
        <v>0</v>
      </c>
      <c r="Z105" s="329">
        <f t="shared" si="84"/>
        <v>0</v>
      </c>
      <c r="AA105" s="100">
        <f>1/14*Z105</f>
        <v>0</v>
      </c>
      <c r="AB105" s="329">
        <f t="shared" si="86"/>
        <v>0</v>
      </c>
      <c r="AC105" s="331"/>
      <c r="AD105" s="331">
        <f t="shared" si="87"/>
        <v>4320000</v>
      </c>
      <c r="AE105" s="332"/>
    </row>
    <row r="106" spans="1:31" ht="12.95" customHeight="1" x14ac:dyDescent="0.35">
      <c r="A106" s="219">
        <v>511119</v>
      </c>
      <c r="B106" s="211" t="s">
        <v>262</v>
      </c>
      <c r="C106" s="232"/>
      <c r="D106" s="105"/>
      <c r="E106" s="111"/>
      <c r="F106" s="111"/>
      <c r="G106" s="111"/>
      <c r="H106" s="107"/>
      <c r="I106" s="108"/>
      <c r="J106" s="109"/>
      <c r="K106" s="110"/>
      <c r="L106" s="111"/>
      <c r="M106" s="111"/>
      <c r="N106" s="111"/>
      <c r="O106" s="134">
        <v>1</v>
      </c>
      <c r="P106" s="111" t="s">
        <v>111</v>
      </c>
      <c r="Q106" s="135"/>
      <c r="R106" s="107">
        <f>O106*17000</f>
        <v>17000</v>
      </c>
      <c r="S106" s="85">
        <f t="shared" si="80"/>
        <v>7.5920547806945663E-4</v>
      </c>
      <c r="T106" s="99"/>
      <c r="U106" s="87"/>
      <c r="V106" s="87"/>
      <c r="W106" s="87"/>
      <c r="X106" s="87"/>
      <c r="Y106" s="88">
        <v>865</v>
      </c>
      <c r="Z106" s="99">
        <f t="shared" si="84"/>
        <v>5.0882352941176467</v>
      </c>
      <c r="AA106" s="100">
        <f t="shared" si="85"/>
        <v>0.36344537815126043</v>
      </c>
      <c r="AB106" s="99">
        <f t="shared" si="86"/>
        <v>2.7592972207146214E-6</v>
      </c>
      <c r="AC106" s="88"/>
      <c r="AD106" s="88">
        <f t="shared" si="87"/>
        <v>16135</v>
      </c>
      <c r="AE106" s="114"/>
    </row>
    <row r="107" spans="1:31" ht="12.95" customHeight="1" x14ac:dyDescent="0.35">
      <c r="A107" s="204"/>
      <c r="B107" s="205"/>
      <c r="C107" s="206"/>
      <c r="D107" s="111"/>
      <c r="E107" s="111"/>
      <c r="F107" s="111"/>
      <c r="G107" s="111"/>
      <c r="H107" s="107"/>
      <c r="I107" s="108"/>
      <c r="J107" s="109"/>
      <c r="K107" s="110"/>
      <c r="L107" s="111"/>
      <c r="M107" s="111"/>
      <c r="N107" s="111"/>
      <c r="O107" s="133"/>
      <c r="P107" s="108"/>
      <c r="Q107" s="114"/>
      <c r="R107" s="133"/>
      <c r="S107" s="113"/>
      <c r="T107" s="195"/>
      <c r="U107" s="198"/>
      <c r="V107" s="198"/>
      <c r="W107" s="198"/>
      <c r="X107" s="198"/>
      <c r="Y107" s="116"/>
      <c r="Z107" s="195"/>
      <c r="AA107" s="202"/>
      <c r="AB107" s="197">
        <f t="shared" si="79"/>
        <v>0</v>
      </c>
      <c r="AC107" s="88"/>
      <c r="AD107" s="116"/>
      <c r="AE107" s="114"/>
    </row>
    <row r="108" spans="1:31" ht="12.95" hidden="1" customHeight="1" x14ac:dyDescent="0.35">
      <c r="A108" s="135"/>
      <c r="B108" s="133"/>
      <c r="C108" s="111"/>
      <c r="D108" s="111"/>
      <c r="E108" s="111"/>
      <c r="F108" s="111"/>
      <c r="G108" s="111"/>
      <c r="H108" s="107"/>
      <c r="I108" s="108"/>
      <c r="J108" s="109"/>
      <c r="K108" s="110"/>
      <c r="L108" s="111"/>
      <c r="M108" s="111"/>
      <c r="N108" s="111"/>
      <c r="O108" s="133"/>
      <c r="P108" s="108"/>
      <c r="Q108" s="114"/>
      <c r="R108" s="133"/>
      <c r="S108" s="113"/>
      <c r="T108" s="195"/>
      <c r="U108" s="198"/>
      <c r="V108" s="198"/>
      <c r="W108" s="198"/>
      <c r="X108" s="198"/>
      <c r="Y108" s="116"/>
      <c r="Z108" s="195"/>
      <c r="AA108" s="202"/>
      <c r="AB108" s="197">
        <f t="shared" si="79"/>
        <v>0</v>
      </c>
      <c r="AC108" s="88"/>
      <c r="AD108" s="116"/>
      <c r="AE108" s="114"/>
    </row>
    <row r="109" spans="1:31" ht="12.95" customHeight="1" x14ac:dyDescent="0.35">
      <c r="A109" s="132" t="s">
        <v>112</v>
      </c>
      <c r="B109" s="104" t="s">
        <v>252</v>
      </c>
      <c r="C109" s="111"/>
      <c r="D109" s="111"/>
      <c r="E109" s="111"/>
      <c r="F109" s="111"/>
      <c r="G109" s="111"/>
      <c r="H109" s="107"/>
      <c r="I109" s="108"/>
      <c r="J109" s="109"/>
      <c r="K109" s="110"/>
      <c r="L109" s="111"/>
      <c r="M109" s="111"/>
      <c r="N109" s="111"/>
      <c r="O109" s="134"/>
      <c r="P109" s="111"/>
      <c r="Q109" s="207"/>
      <c r="R109" s="136"/>
      <c r="S109" s="113"/>
      <c r="T109" s="195"/>
      <c r="U109" s="198"/>
      <c r="V109" s="198"/>
      <c r="W109" s="198"/>
      <c r="X109" s="198"/>
      <c r="Y109" s="116"/>
      <c r="Z109" s="195"/>
      <c r="AA109" s="202"/>
      <c r="AB109" s="197">
        <f t="shared" si="79"/>
        <v>0</v>
      </c>
      <c r="AC109" s="88"/>
      <c r="AD109" s="116"/>
      <c r="AE109" s="114"/>
    </row>
    <row r="110" spans="1:31" ht="12.95" customHeight="1" x14ac:dyDescent="0.35">
      <c r="A110" s="208" t="s">
        <v>14</v>
      </c>
      <c r="B110" s="104" t="s">
        <v>253</v>
      </c>
      <c r="C110" s="105"/>
      <c r="D110" s="105"/>
      <c r="E110" s="111"/>
      <c r="F110" s="111"/>
      <c r="G110" s="111"/>
      <c r="H110" s="107"/>
      <c r="I110" s="108"/>
      <c r="J110" s="109"/>
      <c r="K110" s="110"/>
      <c r="L110" s="111"/>
      <c r="M110" s="111"/>
      <c r="N110" s="111"/>
      <c r="O110" s="134"/>
      <c r="P110" s="111"/>
      <c r="Q110" s="207"/>
      <c r="R110" s="209"/>
      <c r="S110" s="113"/>
      <c r="T110" s="195"/>
      <c r="U110" s="198"/>
      <c r="V110" s="198"/>
      <c r="W110" s="198"/>
      <c r="X110" s="198"/>
      <c r="Y110" s="116"/>
      <c r="Z110" s="195"/>
      <c r="AA110" s="202"/>
      <c r="AB110" s="197">
        <f t="shared" si="79"/>
        <v>0</v>
      </c>
      <c r="AC110" s="88"/>
      <c r="AD110" s="116"/>
      <c r="AE110" s="114"/>
    </row>
    <row r="111" spans="1:31" s="28" customFormat="1" ht="12.95" customHeight="1" x14ac:dyDescent="0.35">
      <c r="A111" s="210">
        <v>521113</v>
      </c>
      <c r="B111" s="211" t="s">
        <v>113</v>
      </c>
      <c r="C111" s="105"/>
      <c r="D111" s="105"/>
      <c r="E111" s="105"/>
      <c r="F111" s="105"/>
      <c r="G111" s="106"/>
      <c r="H111" s="188"/>
      <c r="I111" s="171"/>
      <c r="J111" s="170"/>
      <c r="K111" s="189"/>
      <c r="L111" s="105"/>
      <c r="M111" s="105"/>
      <c r="N111" s="105"/>
      <c r="O111" s="112"/>
      <c r="P111" s="105"/>
      <c r="Q111" s="212"/>
      <c r="R111" s="213"/>
      <c r="S111" s="113"/>
      <c r="T111" s="190"/>
      <c r="U111" s="191"/>
      <c r="V111" s="191"/>
      <c r="W111" s="191"/>
      <c r="X111" s="191"/>
      <c r="Y111" s="192"/>
      <c r="Z111" s="190"/>
      <c r="AA111" s="214"/>
      <c r="AB111" s="193">
        <f t="shared" si="79"/>
        <v>0</v>
      </c>
      <c r="AC111" s="177"/>
      <c r="AD111" s="192"/>
      <c r="AE111" s="179"/>
    </row>
    <row r="112" spans="1:31" ht="12.95" customHeight="1" x14ac:dyDescent="0.35">
      <c r="A112" s="135"/>
      <c r="B112" s="215" t="s">
        <v>82</v>
      </c>
      <c r="C112" s="216" t="s">
        <v>114</v>
      </c>
      <c r="D112" s="111"/>
      <c r="E112" s="217"/>
      <c r="F112" s="217"/>
      <c r="G112" s="218"/>
      <c r="H112" s="107"/>
      <c r="I112" s="108"/>
      <c r="J112" s="109"/>
      <c r="K112" s="110"/>
      <c r="L112" s="111"/>
      <c r="M112" s="111"/>
      <c r="N112" s="111"/>
      <c r="O112" s="134">
        <v>22</v>
      </c>
      <c r="P112" s="111" t="s">
        <v>115</v>
      </c>
      <c r="Q112" s="207">
        <v>210000</v>
      </c>
      <c r="R112" s="107">
        <f>O112*264000</f>
        <v>5808000</v>
      </c>
      <c r="S112" s="85">
        <f t="shared" ref="S112" si="88">+R112/$R$184*100</f>
        <v>0.25938031862514138</v>
      </c>
      <c r="T112" s="99"/>
      <c r="U112" s="87"/>
      <c r="V112" s="87"/>
      <c r="W112" s="87"/>
      <c r="X112" s="87"/>
      <c r="Y112" s="88">
        <v>0</v>
      </c>
      <c r="Z112" s="99">
        <f t="shared" ref="Z112" si="89">+Y112/R112*100</f>
        <v>0</v>
      </c>
      <c r="AA112" s="100">
        <f t="shared" ref="AA112" si="90">Z112</f>
        <v>0</v>
      </c>
      <c r="AB112" s="99">
        <f t="shared" si="79"/>
        <v>0</v>
      </c>
      <c r="AC112" s="88"/>
      <c r="AD112" s="88">
        <f t="shared" ref="AD112" si="91">+R112-Y112</f>
        <v>5808000</v>
      </c>
      <c r="AE112" s="86"/>
    </row>
    <row r="113" spans="1:31" ht="12.95" customHeight="1" x14ac:dyDescent="0.35">
      <c r="A113" s="135"/>
      <c r="B113" s="215"/>
      <c r="C113" s="216"/>
      <c r="D113" s="111"/>
      <c r="E113" s="217"/>
      <c r="F113" s="217"/>
      <c r="G113" s="218"/>
      <c r="H113" s="107"/>
      <c r="I113" s="108"/>
      <c r="J113" s="109"/>
      <c r="K113" s="110"/>
      <c r="L113" s="111"/>
      <c r="M113" s="111"/>
      <c r="N113" s="111"/>
      <c r="O113" s="134"/>
      <c r="P113" s="111"/>
      <c r="Q113" s="207"/>
      <c r="R113" s="107"/>
      <c r="S113" s="113"/>
      <c r="T113" s="195"/>
      <c r="U113" s="198"/>
      <c r="V113" s="198"/>
      <c r="W113" s="198"/>
      <c r="X113" s="198"/>
      <c r="Y113" s="116"/>
      <c r="Z113" s="195"/>
      <c r="AA113" s="202"/>
      <c r="AB113" s="197"/>
      <c r="AC113" s="116"/>
      <c r="AD113" s="116"/>
      <c r="AE113" s="114"/>
    </row>
    <row r="114" spans="1:31" ht="12.95" customHeight="1" x14ac:dyDescent="0.35">
      <c r="A114" s="103" t="s">
        <v>116</v>
      </c>
      <c r="B114" s="104" t="s">
        <v>254</v>
      </c>
      <c r="C114" s="105"/>
      <c r="D114" s="105"/>
      <c r="E114" s="111"/>
      <c r="F114" s="111"/>
      <c r="G114" s="137"/>
      <c r="H114" s="107"/>
      <c r="I114" s="108"/>
      <c r="J114" s="109"/>
      <c r="K114" s="110"/>
      <c r="L114" s="111"/>
      <c r="M114" s="111"/>
      <c r="N114" s="111"/>
      <c r="O114" s="134"/>
      <c r="P114" s="111"/>
      <c r="Q114" s="207"/>
      <c r="R114" s="170"/>
      <c r="S114" s="113"/>
      <c r="T114" s="195"/>
      <c r="U114" s="198"/>
      <c r="V114" s="198"/>
      <c r="W114" s="198"/>
      <c r="X114" s="198"/>
      <c r="Y114" s="116"/>
      <c r="Z114" s="195"/>
      <c r="AA114" s="202"/>
      <c r="AB114" s="197"/>
      <c r="AC114" s="116"/>
      <c r="AD114" s="116"/>
      <c r="AE114" s="114"/>
    </row>
    <row r="115" spans="1:31" s="28" customFormat="1" ht="12.95" customHeight="1" x14ac:dyDescent="0.35">
      <c r="A115" s="219">
        <v>521119</v>
      </c>
      <c r="B115" s="211" t="s">
        <v>117</v>
      </c>
      <c r="C115" s="105"/>
      <c r="D115" s="105"/>
      <c r="E115" s="105"/>
      <c r="F115" s="105"/>
      <c r="G115" s="106"/>
      <c r="H115" s="188"/>
      <c r="I115" s="171"/>
      <c r="J115" s="170"/>
      <c r="K115" s="189"/>
      <c r="L115" s="105"/>
      <c r="M115" s="105"/>
      <c r="N115" s="105"/>
      <c r="O115" s="112"/>
      <c r="P115" s="105"/>
      <c r="Q115" s="212"/>
      <c r="R115" s="213"/>
      <c r="S115" s="113"/>
      <c r="T115" s="190"/>
      <c r="U115" s="191"/>
      <c r="V115" s="191"/>
      <c r="W115" s="191"/>
      <c r="X115" s="191"/>
      <c r="Y115" s="192"/>
      <c r="Z115" s="190"/>
      <c r="AA115" s="214"/>
      <c r="AB115" s="193"/>
      <c r="AC115" s="192"/>
      <c r="AD115" s="192"/>
      <c r="AE115" s="179"/>
    </row>
    <row r="116" spans="1:31" ht="12.95" customHeight="1" x14ac:dyDescent="0.35">
      <c r="A116" s="135"/>
      <c r="B116" s="215" t="s">
        <v>82</v>
      </c>
      <c r="C116" s="140" t="s">
        <v>118</v>
      </c>
      <c r="D116" s="111"/>
      <c r="E116" s="217"/>
      <c r="F116" s="217"/>
      <c r="G116" s="218"/>
      <c r="H116" s="107"/>
      <c r="I116" s="108"/>
      <c r="J116" s="109"/>
      <c r="K116" s="110"/>
      <c r="L116" s="111"/>
      <c r="M116" s="111"/>
      <c r="N116" s="111"/>
      <c r="O116" s="220">
        <v>22</v>
      </c>
      <c r="P116" s="221" t="s">
        <v>115</v>
      </c>
      <c r="Q116" s="222"/>
      <c r="R116" s="107">
        <f>O116*400000</f>
        <v>8800000</v>
      </c>
      <c r="S116" s="85">
        <f t="shared" ref="S116:S117" si="92">+R116/$R$184*100</f>
        <v>0.39300048276536576</v>
      </c>
      <c r="T116" s="99"/>
      <c r="U116" s="87"/>
      <c r="V116" s="87"/>
      <c r="W116" s="87"/>
      <c r="X116" s="87"/>
      <c r="Y116" s="88">
        <v>0</v>
      </c>
      <c r="Z116" s="99">
        <f t="shared" ref="Z116:Z117" si="93">+Y116/R116*100</f>
        <v>0</v>
      </c>
      <c r="AA116" s="100">
        <f t="shared" ref="AA116:AA117" si="94">Z116</f>
        <v>0</v>
      </c>
      <c r="AB116" s="99">
        <f t="shared" ref="AB116:AB117" si="95">AA116*S116/100</f>
        <v>0</v>
      </c>
      <c r="AC116" s="88"/>
      <c r="AD116" s="88">
        <f t="shared" ref="AD116:AD117" si="96">+R116-Y116</f>
        <v>8800000</v>
      </c>
      <c r="AE116" s="86"/>
    </row>
    <row r="117" spans="1:31" ht="12.95" customHeight="1" x14ac:dyDescent="0.35">
      <c r="A117" s="135"/>
      <c r="B117" s="215" t="s">
        <v>82</v>
      </c>
      <c r="C117" s="111" t="s">
        <v>119</v>
      </c>
      <c r="D117" s="111"/>
      <c r="E117" s="217"/>
      <c r="F117" s="217"/>
      <c r="G117" s="218"/>
      <c r="H117" s="107"/>
      <c r="I117" s="108"/>
      <c r="J117" s="109"/>
      <c r="K117" s="110"/>
      <c r="L117" s="111"/>
      <c r="M117" s="111"/>
      <c r="N117" s="111"/>
      <c r="O117" s="220">
        <v>3</v>
      </c>
      <c r="P117" s="221" t="s">
        <v>115</v>
      </c>
      <c r="Q117" s="222"/>
      <c r="R117" s="107">
        <f>O117*450000</f>
        <v>1350000</v>
      </c>
      <c r="S117" s="85">
        <f t="shared" si="92"/>
        <v>6.0289846787868612E-2</v>
      </c>
      <c r="T117" s="99"/>
      <c r="U117" s="87"/>
      <c r="V117" s="87"/>
      <c r="W117" s="87"/>
      <c r="X117" s="87"/>
      <c r="Y117" s="88">
        <v>0</v>
      </c>
      <c r="Z117" s="99">
        <f t="shared" si="93"/>
        <v>0</v>
      </c>
      <c r="AA117" s="100">
        <f t="shared" si="94"/>
        <v>0</v>
      </c>
      <c r="AB117" s="99">
        <f t="shared" si="95"/>
        <v>0</v>
      </c>
      <c r="AC117" s="88"/>
      <c r="AD117" s="88">
        <f t="shared" si="96"/>
        <v>1350000</v>
      </c>
      <c r="AE117" s="114"/>
    </row>
    <row r="118" spans="1:31" s="28" customFormat="1" ht="12.95" customHeight="1" x14ac:dyDescent="0.35">
      <c r="A118" s="219"/>
      <c r="B118" s="211"/>
      <c r="C118" s="105"/>
      <c r="D118" s="105"/>
      <c r="E118" s="105"/>
      <c r="F118" s="105"/>
      <c r="G118" s="106"/>
      <c r="H118" s="188"/>
      <c r="I118" s="171"/>
      <c r="J118" s="170"/>
      <c r="K118" s="189"/>
      <c r="L118" s="105"/>
      <c r="M118" s="105"/>
      <c r="N118" s="105"/>
      <c r="O118" s="112"/>
      <c r="P118" s="105"/>
      <c r="Q118" s="212"/>
      <c r="R118" s="213"/>
      <c r="S118" s="113"/>
      <c r="T118" s="190"/>
      <c r="U118" s="191"/>
      <c r="V118" s="191"/>
      <c r="W118" s="191"/>
      <c r="X118" s="191"/>
      <c r="Y118" s="192"/>
      <c r="Z118" s="190"/>
      <c r="AA118" s="214"/>
      <c r="AB118" s="193"/>
      <c r="AC118" s="192"/>
      <c r="AD118" s="192"/>
      <c r="AE118" s="179"/>
    </row>
    <row r="119" spans="1:31" ht="12.95" customHeight="1" x14ac:dyDescent="0.35">
      <c r="A119" s="103" t="s">
        <v>120</v>
      </c>
      <c r="B119" s="104" t="s">
        <v>255</v>
      </c>
      <c r="C119" s="105"/>
      <c r="D119" s="105"/>
      <c r="E119" s="105"/>
      <c r="F119" s="105"/>
      <c r="G119" s="106"/>
      <c r="H119" s="107"/>
      <c r="I119" s="108"/>
      <c r="J119" s="109"/>
      <c r="K119" s="110"/>
      <c r="L119" s="111"/>
      <c r="M119" s="111"/>
      <c r="N119" s="111"/>
      <c r="O119" s="134"/>
      <c r="P119" s="111"/>
      <c r="Q119" s="207"/>
      <c r="R119" s="170"/>
      <c r="S119" s="113"/>
      <c r="T119" s="195"/>
      <c r="U119" s="198"/>
      <c r="V119" s="198"/>
      <c r="W119" s="198"/>
      <c r="X119" s="198"/>
      <c r="Y119" s="116"/>
      <c r="Z119" s="195"/>
      <c r="AA119" s="202"/>
      <c r="AB119" s="197"/>
      <c r="AC119" s="116"/>
      <c r="AD119" s="116"/>
      <c r="AE119" s="114"/>
    </row>
    <row r="120" spans="1:31" s="28" customFormat="1" ht="12.95" customHeight="1" x14ac:dyDescent="0.35">
      <c r="A120" s="210">
        <v>523111</v>
      </c>
      <c r="B120" s="211" t="s">
        <v>121</v>
      </c>
      <c r="C120" s="105"/>
      <c r="D120" s="105"/>
      <c r="E120" s="105"/>
      <c r="F120" s="105"/>
      <c r="G120" s="106"/>
      <c r="H120" s="188"/>
      <c r="I120" s="171"/>
      <c r="J120" s="170"/>
      <c r="K120" s="189"/>
      <c r="L120" s="105"/>
      <c r="M120" s="105"/>
      <c r="N120" s="105"/>
      <c r="O120" s="112"/>
      <c r="P120" s="105"/>
      <c r="Q120" s="212"/>
      <c r="R120" s="170"/>
      <c r="S120" s="113"/>
      <c r="T120" s="190"/>
      <c r="U120" s="191"/>
      <c r="V120" s="191"/>
      <c r="W120" s="191"/>
      <c r="X120" s="191"/>
      <c r="Y120" s="192"/>
      <c r="Z120" s="190"/>
      <c r="AA120" s="214"/>
      <c r="AB120" s="193"/>
      <c r="AC120" s="192"/>
      <c r="AD120" s="192"/>
      <c r="AE120" s="179"/>
    </row>
    <row r="121" spans="1:31" ht="12.95" customHeight="1" x14ac:dyDescent="0.35">
      <c r="A121" s="135"/>
      <c r="B121" s="223" t="s">
        <v>82</v>
      </c>
      <c r="C121" s="111" t="s">
        <v>122</v>
      </c>
      <c r="D121" s="111"/>
      <c r="E121" s="111"/>
      <c r="F121" s="111"/>
      <c r="G121" s="137"/>
      <c r="H121" s="107"/>
      <c r="I121" s="108"/>
      <c r="J121" s="109"/>
      <c r="K121" s="110"/>
      <c r="L121" s="111"/>
      <c r="M121" s="111"/>
      <c r="N121" s="111"/>
      <c r="O121" s="107">
        <v>229</v>
      </c>
      <c r="P121" s="108" t="s">
        <v>105</v>
      </c>
      <c r="Q121" s="207"/>
      <c r="R121" s="107">
        <f>O121*119000</f>
        <v>27251000</v>
      </c>
      <c r="S121" s="85">
        <f t="shared" ref="S121:S122" si="97">+R121/$R$184*100</f>
        <v>1.2170063813453389</v>
      </c>
      <c r="T121" s="99"/>
      <c r="U121" s="87"/>
      <c r="V121" s="87"/>
      <c r="W121" s="87"/>
      <c r="X121" s="87"/>
      <c r="Y121" s="88">
        <v>0</v>
      </c>
      <c r="Z121" s="99">
        <f t="shared" ref="Z121:Z122" si="98">+Y121/R121*100</f>
        <v>0</v>
      </c>
      <c r="AA121" s="100">
        <f t="shared" ref="AA121:AA122" si="99">Z121</f>
        <v>0</v>
      </c>
      <c r="AB121" s="99">
        <f t="shared" ref="AB121:AB122" si="100">AA121*S121/100</f>
        <v>0</v>
      </c>
      <c r="AC121" s="88"/>
      <c r="AD121" s="88">
        <f t="shared" ref="AD121:AD122" si="101">+R121-Y121</f>
        <v>27251000</v>
      </c>
      <c r="AE121" s="86"/>
    </row>
    <row r="122" spans="1:31" ht="12.95" customHeight="1" x14ac:dyDescent="0.35">
      <c r="A122" s="135"/>
      <c r="B122" s="223" t="s">
        <v>82</v>
      </c>
      <c r="C122" s="140" t="s">
        <v>123</v>
      </c>
      <c r="D122" s="111"/>
      <c r="E122" s="111"/>
      <c r="F122" s="111"/>
      <c r="G122" s="137"/>
      <c r="H122" s="107"/>
      <c r="I122" s="108"/>
      <c r="J122" s="109"/>
      <c r="K122" s="110"/>
      <c r="L122" s="111"/>
      <c r="M122" s="111"/>
      <c r="N122" s="111"/>
      <c r="O122" s="107">
        <v>680</v>
      </c>
      <c r="P122" s="108" t="s">
        <v>105</v>
      </c>
      <c r="Q122" s="207"/>
      <c r="R122" s="107">
        <f>O122*13000</f>
        <v>8840000</v>
      </c>
      <c r="S122" s="85">
        <f t="shared" si="97"/>
        <v>0.39478684859611746</v>
      </c>
      <c r="T122" s="99"/>
      <c r="U122" s="87"/>
      <c r="V122" s="87"/>
      <c r="W122" s="87"/>
      <c r="X122" s="87"/>
      <c r="Y122" s="88">
        <v>0</v>
      </c>
      <c r="Z122" s="99">
        <f t="shared" si="98"/>
        <v>0</v>
      </c>
      <c r="AA122" s="100">
        <f t="shared" si="99"/>
        <v>0</v>
      </c>
      <c r="AB122" s="99">
        <f t="shared" si="100"/>
        <v>0</v>
      </c>
      <c r="AC122" s="88"/>
      <c r="AD122" s="88">
        <f t="shared" si="101"/>
        <v>8840000</v>
      </c>
      <c r="AE122" s="114"/>
    </row>
    <row r="123" spans="1:31" ht="12.95" customHeight="1" x14ac:dyDescent="0.35">
      <c r="A123" s="135"/>
      <c r="B123" s="223"/>
      <c r="C123" s="111"/>
      <c r="D123" s="111"/>
      <c r="E123" s="111"/>
      <c r="F123" s="111"/>
      <c r="G123" s="137"/>
      <c r="H123" s="107"/>
      <c r="I123" s="108"/>
      <c r="J123" s="109"/>
      <c r="K123" s="110"/>
      <c r="L123" s="111"/>
      <c r="M123" s="111"/>
      <c r="N123" s="111"/>
      <c r="O123" s="134"/>
      <c r="P123" s="111"/>
      <c r="Q123" s="207"/>
      <c r="R123" s="107"/>
      <c r="S123" s="113"/>
      <c r="T123" s="195"/>
      <c r="U123" s="198"/>
      <c r="V123" s="198"/>
      <c r="W123" s="198"/>
      <c r="X123" s="198"/>
      <c r="Y123" s="116"/>
      <c r="Z123" s="195"/>
      <c r="AA123" s="202"/>
      <c r="AB123" s="197"/>
      <c r="AC123" s="116"/>
      <c r="AD123" s="116"/>
      <c r="AE123" s="114"/>
    </row>
    <row r="124" spans="1:31" ht="12.95" customHeight="1" x14ac:dyDescent="0.35">
      <c r="A124" s="103" t="s">
        <v>124</v>
      </c>
      <c r="B124" s="104" t="s">
        <v>256</v>
      </c>
      <c r="C124" s="105"/>
      <c r="D124" s="105"/>
      <c r="E124" s="105"/>
      <c r="F124" s="105"/>
      <c r="G124" s="106"/>
      <c r="H124" s="107"/>
      <c r="I124" s="108"/>
      <c r="J124" s="109"/>
      <c r="K124" s="110"/>
      <c r="L124" s="111"/>
      <c r="M124" s="111"/>
      <c r="N124" s="111"/>
      <c r="O124" s="134"/>
      <c r="P124" s="111"/>
      <c r="Q124" s="207"/>
      <c r="R124" s="170"/>
      <c r="S124" s="113"/>
      <c r="T124" s="195"/>
      <c r="U124" s="198"/>
      <c r="V124" s="198"/>
      <c r="W124" s="198"/>
      <c r="X124" s="198"/>
      <c r="Y124" s="116"/>
      <c r="Z124" s="195"/>
      <c r="AA124" s="202"/>
      <c r="AB124" s="197"/>
      <c r="AC124" s="116"/>
      <c r="AD124" s="116"/>
      <c r="AE124" s="114"/>
    </row>
    <row r="125" spans="1:31" s="28" customFormat="1" ht="12.95" customHeight="1" x14ac:dyDescent="0.35">
      <c r="A125" s="210">
        <v>523121</v>
      </c>
      <c r="B125" s="211" t="s">
        <v>125</v>
      </c>
      <c r="C125" s="105"/>
      <c r="D125" s="105"/>
      <c r="E125" s="105"/>
      <c r="F125" s="105"/>
      <c r="G125" s="106"/>
      <c r="H125" s="188"/>
      <c r="I125" s="171"/>
      <c r="J125" s="170"/>
      <c r="K125" s="189"/>
      <c r="L125" s="105"/>
      <c r="M125" s="105"/>
      <c r="N125" s="105"/>
      <c r="O125" s="112"/>
      <c r="P125" s="105"/>
      <c r="Q125" s="212"/>
      <c r="R125" s="170"/>
      <c r="S125" s="113"/>
      <c r="T125" s="190"/>
      <c r="U125" s="191"/>
      <c r="V125" s="191"/>
      <c r="W125" s="191"/>
      <c r="X125" s="191"/>
      <c r="Y125" s="192"/>
      <c r="Z125" s="190"/>
      <c r="AA125" s="214"/>
      <c r="AB125" s="193"/>
      <c r="AC125" s="192"/>
      <c r="AD125" s="192"/>
      <c r="AE125" s="179"/>
    </row>
    <row r="126" spans="1:31" ht="12.95" customHeight="1" x14ac:dyDescent="0.35">
      <c r="A126" s="135"/>
      <c r="B126" s="215" t="s">
        <v>82</v>
      </c>
      <c r="C126" s="111" t="s">
        <v>126</v>
      </c>
      <c r="D126" s="111"/>
      <c r="E126" s="111"/>
      <c r="F126" s="111"/>
      <c r="G126" s="137"/>
      <c r="H126" s="107"/>
      <c r="I126" s="108"/>
      <c r="J126" s="109"/>
      <c r="K126" s="110"/>
      <c r="L126" s="111"/>
      <c r="M126" s="111"/>
      <c r="N126" s="111"/>
      <c r="O126" s="134">
        <v>8</v>
      </c>
      <c r="P126" s="111" t="s">
        <v>127</v>
      </c>
      <c r="Q126" s="207"/>
      <c r="R126" s="107">
        <f>O126*420000</f>
        <v>3360000</v>
      </c>
      <c r="S126" s="85">
        <f t="shared" ref="S126:S137" si="102">+R126/$R$184*100</f>
        <v>0.15005472978313966</v>
      </c>
      <c r="T126" s="99"/>
      <c r="U126" s="87"/>
      <c r="V126" s="87"/>
      <c r="W126" s="87"/>
      <c r="X126" s="87"/>
      <c r="Y126" s="88">
        <v>0</v>
      </c>
      <c r="Z126" s="99">
        <f t="shared" ref="Z126:Z137" si="103">+Y126/R126*100</f>
        <v>0</v>
      </c>
      <c r="AA126" s="100">
        <f t="shared" ref="AA126:AA137" si="104">Z126</f>
        <v>0</v>
      </c>
      <c r="AB126" s="99">
        <f t="shared" ref="AB126:AB137" si="105">AA126*S126/100</f>
        <v>0</v>
      </c>
      <c r="AC126" s="88"/>
      <c r="AD126" s="88">
        <f t="shared" ref="AD126:AD137" si="106">+R126-Y126</f>
        <v>3360000</v>
      </c>
      <c r="AE126" s="86"/>
    </row>
    <row r="127" spans="1:31" ht="12.95" customHeight="1" x14ac:dyDescent="0.35">
      <c r="A127" s="135"/>
      <c r="B127" s="215" t="s">
        <v>82</v>
      </c>
      <c r="C127" s="111" t="s">
        <v>128</v>
      </c>
      <c r="D127" s="111"/>
      <c r="E127" s="111"/>
      <c r="F127" s="111"/>
      <c r="G127" s="137"/>
      <c r="H127" s="107"/>
      <c r="I127" s="108"/>
      <c r="J127" s="109"/>
      <c r="K127" s="110"/>
      <c r="L127" s="111"/>
      <c r="M127" s="111"/>
      <c r="N127" s="111"/>
      <c r="O127" s="134">
        <v>3</v>
      </c>
      <c r="P127" s="111" t="s">
        <v>127</v>
      </c>
      <c r="Q127" s="207"/>
      <c r="R127" s="107">
        <f>O127*500000</f>
        <v>1500000</v>
      </c>
      <c r="S127" s="85">
        <f t="shared" si="102"/>
        <v>6.6988718653187354E-2</v>
      </c>
      <c r="T127" s="99"/>
      <c r="U127" s="87"/>
      <c r="V127" s="87"/>
      <c r="W127" s="87"/>
      <c r="X127" s="87"/>
      <c r="Y127" s="88">
        <v>0</v>
      </c>
      <c r="Z127" s="99">
        <f t="shared" si="103"/>
        <v>0</v>
      </c>
      <c r="AA127" s="100">
        <f t="shared" si="104"/>
        <v>0</v>
      </c>
      <c r="AB127" s="99">
        <f t="shared" si="105"/>
        <v>0</v>
      </c>
      <c r="AC127" s="88"/>
      <c r="AD127" s="88">
        <f t="shared" si="106"/>
        <v>1500000</v>
      </c>
      <c r="AE127" s="114"/>
    </row>
    <row r="128" spans="1:31" ht="12.95" customHeight="1" x14ac:dyDescent="0.35">
      <c r="A128" s="135"/>
      <c r="B128" s="215" t="s">
        <v>82</v>
      </c>
      <c r="C128" s="111" t="s">
        <v>129</v>
      </c>
      <c r="D128" s="111"/>
      <c r="E128" s="111"/>
      <c r="F128" s="111"/>
      <c r="G128" s="137"/>
      <c r="H128" s="107"/>
      <c r="I128" s="108"/>
      <c r="J128" s="109"/>
      <c r="K128" s="110"/>
      <c r="L128" s="111"/>
      <c r="M128" s="111"/>
      <c r="N128" s="111"/>
      <c r="O128" s="134">
        <v>12</v>
      </c>
      <c r="P128" s="111" t="s">
        <v>127</v>
      </c>
      <c r="Q128" s="207"/>
      <c r="R128" s="107">
        <f>O128*550000</f>
        <v>6600000</v>
      </c>
      <c r="S128" s="85">
        <f t="shared" si="102"/>
        <v>0.29475036207402433</v>
      </c>
      <c r="T128" s="99"/>
      <c r="U128" s="87"/>
      <c r="V128" s="87"/>
      <c r="W128" s="87"/>
      <c r="X128" s="87"/>
      <c r="Y128" s="88">
        <v>0</v>
      </c>
      <c r="Z128" s="99">
        <f t="shared" si="103"/>
        <v>0</v>
      </c>
      <c r="AA128" s="100">
        <f t="shared" si="104"/>
        <v>0</v>
      </c>
      <c r="AB128" s="99">
        <f t="shared" si="105"/>
        <v>0</v>
      </c>
      <c r="AC128" s="88"/>
      <c r="AD128" s="88">
        <f t="shared" si="106"/>
        <v>6600000</v>
      </c>
      <c r="AE128" s="114"/>
    </row>
    <row r="129" spans="1:31" ht="12.95" customHeight="1" x14ac:dyDescent="0.35">
      <c r="A129" s="135"/>
      <c r="B129" s="215" t="s">
        <v>82</v>
      </c>
      <c r="C129" s="111" t="s">
        <v>130</v>
      </c>
      <c r="D129" s="111"/>
      <c r="E129" s="111"/>
      <c r="F129" s="111"/>
      <c r="G129" s="137"/>
      <c r="H129" s="107"/>
      <c r="I129" s="108"/>
      <c r="J129" s="109"/>
      <c r="K129" s="110"/>
      <c r="L129" s="111"/>
      <c r="M129" s="111"/>
      <c r="N129" s="111"/>
      <c r="O129" s="134">
        <v>1</v>
      </c>
      <c r="P129" s="111" t="s">
        <v>127</v>
      </c>
      <c r="Q129" s="207"/>
      <c r="R129" s="107">
        <f>O129*500000</f>
        <v>500000</v>
      </c>
      <c r="S129" s="85">
        <f t="shared" si="102"/>
        <v>2.2329572884395781E-2</v>
      </c>
      <c r="T129" s="99"/>
      <c r="U129" s="87"/>
      <c r="V129" s="87"/>
      <c r="W129" s="87"/>
      <c r="X129" s="87"/>
      <c r="Y129" s="88">
        <v>0</v>
      </c>
      <c r="Z129" s="99">
        <f t="shared" si="103"/>
        <v>0</v>
      </c>
      <c r="AA129" s="100">
        <f t="shared" si="104"/>
        <v>0</v>
      </c>
      <c r="AB129" s="99">
        <f t="shared" si="105"/>
        <v>0</v>
      </c>
      <c r="AC129" s="88"/>
      <c r="AD129" s="88">
        <f t="shared" si="106"/>
        <v>500000</v>
      </c>
      <c r="AE129" s="114"/>
    </row>
    <row r="130" spans="1:31" ht="12.95" customHeight="1" x14ac:dyDescent="0.35">
      <c r="A130" s="135"/>
      <c r="B130" s="215" t="s">
        <v>82</v>
      </c>
      <c r="C130" s="111" t="s">
        <v>131</v>
      </c>
      <c r="D130" s="111"/>
      <c r="E130" s="111"/>
      <c r="F130" s="111"/>
      <c r="G130" s="137"/>
      <c r="H130" s="107"/>
      <c r="I130" s="108"/>
      <c r="J130" s="109"/>
      <c r="K130" s="110"/>
      <c r="L130" s="111"/>
      <c r="M130" s="111"/>
      <c r="N130" s="111"/>
      <c r="O130" s="134">
        <v>2</v>
      </c>
      <c r="P130" s="111" t="s">
        <v>127</v>
      </c>
      <c r="Q130" s="207"/>
      <c r="R130" s="107">
        <f>O130*800000</f>
        <v>1600000</v>
      </c>
      <c r="S130" s="85">
        <f t="shared" si="102"/>
        <v>7.1454633230066497E-2</v>
      </c>
      <c r="T130" s="99"/>
      <c r="U130" s="87"/>
      <c r="V130" s="87"/>
      <c r="W130" s="87"/>
      <c r="X130" s="87"/>
      <c r="Y130" s="88">
        <v>0</v>
      </c>
      <c r="Z130" s="99">
        <f t="shared" si="103"/>
        <v>0</v>
      </c>
      <c r="AA130" s="100">
        <f t="shared" si="104"/>
        <v>0</v>
      </c>
      <c r="AB130" s="99">
        <f t="shared" si="105"/>
        <v>0</v>
      </c>
      <c r="AC130" s="88"/>
      <c r="AD130" s="88">
        <f t="shared" si="106"/>
        <v>1600000</v>
      </c>
      <c r="AE130" s="114"/>
    </row>
    <row r="131" spans="1:31" ht="12.95" customHeight="1" x14ac:dyDescent="0.35">
      <c r="A131" s="135"/>
      <c r="B131" s="215" t="s">
        <v>82</v>
      </c>
      <c r="C131" s="111" t="s">
        <v>132</v>
      </c>
      <c r="D131" s="111"/>
      <c r="E131" s="111"/>
      <c r="F131" s="111"/>
      <c r="G131" s="137"/>
      <c r="H131" s="107"/>
      <c r="I131" s="108"/>
      <c r="J131" s="109"/>
      <c r="K131" s="110"/>
      <c r="L131" s="111"/>
      <c r="M131" s="111"/>
      <c r="N131" s="111"/>
      <c r="O131" s="134">
        <v>2</v>
      </c>
      <c r="P131" s="111" t="s">
        <v>127</v>
      </c>
      <c r="Q131" s="207"/>
      <c r="R131" s="107">
        <f>O131*5346000</f>
        <v>10692000</v>
      </c>
      <c r="S131" s="85">
        <f t="shared" si="102"/>
        <v>0.47749558655991942</v>
      </c>
      <c r="T131" s="99"/>
      <c r="U131" s="87"/>
      <c r="V131" s="87"/>
      <c r="W131" s="87"/>
      <c r="X131" s="87"/>
      <c r="Y131" s="88">
        <v>0</v>
      </c>
      <c r="Z131" s="99">
        <f t="shared" si="103"/>
        <v>0</v>
      </c>
      <c r="AA131" s="100">
        <f t="shared" si="104"/>
        <v>0</v>
      </c>
      <c r="AB131" s="99">
        <f t="shared" si="105"/>
        <v>0</v>
      </c>
      <c r="AC131" s="88"/>
      <c r="AD131" s="88">
        <f t="shared" si="106"/>
        <v>10692000</v>
      </c>
      <c r="AE131" s="114"/>
    </row>
    <row r="132" spans="1:31" ht="12.95" customHeight="1" x14ac:dyDescent="0.35">
      <c r="A132" s="135"/>
      <c r="B132" s="223" t="s">
        <v>82</v>
      </c>
      <c r="C132" s="111" t="s">
        <v>133</v>
      </c>
      <c r="D132" s="111"/>
      <c r="E132" s="111"/>
      <c r="F132" s="111"/>
      <c r="G132" s="137"/>
      <c r="H132" s="107"/>
      <c r="I132" s="108"/>
      <c r="J132" s="109"/>
      <c r="K132" s="110"/>
      <c r="L132" s="111"/>
      <c r="M132" s="111"/>
      <c r="N132" s="111"/>
      <c r="O132" s="134">
        <v>6</v>
      </c>
      <c r="P132" s="111" t="s">
        <v>127</v>
      </c>
      <c r="Q132" s="207"/>
      <c r="R132" s="107">
        <f>O132*500000</f>
        <v>3000000</v>
      </c>
      <c r="S132" s="85">
        <f t="shared" si="102"/>
        <v>0.13397743730637471</v>
      </c>
      <c r="T132" s="99"/>
      <c r="U132" s="87"/>
      <c r="V132" s="87"/>
      <c r="W132" s="87"/>
      <c r="X132" s="87"/>
      <c r="Y132" s="88">
        <v>0</v>
      </c>
      <c r="Z132" s="99">
        <f t="shared" si="103"/>
        <v>0</v>
      </c>
      <c r="AA132" s="100">
        <f t="shared" si="104"/>
        <v>0</v>
      </c>
      <c r="AB132" s="99">
        <f t="shared" si="105"/>
        <v>0</v>
      </c>
      <c r="AC132" s="88"/>
      <c r="AD132" s="88">
        <f t="shared" si="106"/>
        <v>3000000</v>
      </c>
      <c r="AE132" s="114"/>
    </row>
    <row r="133" spans="1:31" ht="12.95" customHeight="1" x14ac:dyDescent="0.35">
      <c r="A133" s="135"/>
      <c r="B133" s="215" t="s">
        <v>82</v>
      </c>
      <c r="C133" s="111" t="s">
        <v>134</v>
      </c>
      <c r="D133" s="111"/>
      <c r="E133" s="111"/>
      <c r="F133" s="111"/>
      <c r="G133" s="137"/>
      <c r="H133" s="107"/>
      <c r="I133" s="108"/>
      <c r="J133" s="109"/>
      <c r="K133" s="110"/>
      <c r="L133" s="111"/>
      <c r="M133" s="111"/>
      <c r="N133" s="111"/>
      <c r="O133" s="134">
        <v>1</v>
      </c>
      <c r="P133" s="111" t="s">
        <v>127</v>
      </c>
      <c r="Q133" s="207"/>
      <c r="R133" s="107">
        <f>O133*1200000</f>
        <v>1200000</v>
      </c>
      <c r="S133" s="85">
        <f t="shared" si="102"/>
        <v>5.3590974922549883E-2</v>
      </c>
      <c r="T133" s="99"/>
      <c r="U133" s="87"/>
      <c r="V133" s="87"/>
      <c r="W133" s="87"/>
      <c r="X133" s="87"/>
      <c r="Y133" s="88">
        <v>0</v>
      </c>
      <c r="Z133" s="99">
        <f t="shared" si="103"/>
        <v>0</v>
      </c>
      <c r="AA133" s="100">
        <f t="shared" si="104"/>
        <v>0</v>
      </c>
      <c r="AB133" s="99">
        <f t="shared" si="105"/>
        <v>0</v>
      </c>
      <c r="AC133" s="88"/>
      <c r="AD133" s="88">
        <f t="shared" si="106"/>
        <v>1200000</v>
      </c>
      <c r="AE133" s="114"/>
    </row>
    <row r="134" spans="1:31" ht="12.95" customHeight="1" x14ac:dyDescent="0.35">
      <c r="A134" s="135"/>
      <c r="B134" s="215" t="s">
        <v>82</v>
      </c>
      <c r="C134" s="111" t="s">
        <v>135</v>
      </c>
      <c r="D134" s="111"/>
      <c r="E134" s="111"/>
      <c r="F134" s="111"/>
      <c r="G134" s="137"/>
      <c r="H134" s="107"/>
      <c r="I134" s="108"/>
      <c r="J134" s="109"/>
      <c r="K134" s="110"/>
      <c r="L134" s="111"/>
      <c r="M134" s="111"/>
      <c r="N134" s="111"/>
      <c r="O134" s="134">
        <v>4</v>
      </c>
      <c r="P134" s="111" t="s">
        <v>127</v>
      </c>
      <c r="Q134" s="207"/>
      <c r="R134" s="107">
        <f>O134*475000</f>
        <v>1900000</v>
      </c>
      <c r="S134" s="85">
        <f t="shared" si="102"/>
        <v>8.4852376960703968E-2</v>
      </c>
      <c r="T134" s="99"/>
      <c r="U134" s="87"/>
      <c r="V134" s="87"/>
      <c r="W134" s="87"/>
      <c r="X134" s="87"/>
      <c r="Y134" s="88">
        <v>0</v>
      </c>
      <c r="Z134" s="99">
        <f t="shared" si="103"/>
        <v>0</v>
      </c>
      <c r="AA134" s="100">
        <f t="shared" si="104"/>
        <v>0</v>
      </c>
      <c r="AB134" s="99">
        <f t="shared" si="105"/>
        <v>0</v>
      </c>
      <c r="AC134" s="88"/>
      <c r="AD134" s="88">
        <f t="shared" si="106"/>
        <v>1900000</v>
      </c>
      <c r="AE134" s="114"/>
    </row>
    <row r="135" spans="1:31" ht="12.95" customHeight="1" x14ac:dyDescent="0.35">
      <c r="A135" s="135"/>
      <c r="B135" s="223" t="s">
        <v>82</v>
      </c>
      <c r="C135" s="111" t="s">
        <v>136</v>
      </c>
      <c r="D135" s="111"/>
      <c r="E135" s="111"/>
      <c r="F135" s="111"/>
      <c r="G135" s="137"/>
      <c r="H135" s="107"/>
      <c r="I135" s="108"/>
      <c r="J135" s="109"/>
      <c r="K135" s="110"/>
      <c r="L135" s="111"/>
      <c r="M135" s="111"/>
      <c r="N135" s="111"/>
      <c r="O135" s="134">
        <v>1</v>
      </c>
      <c r="P135" s="111" t="s">
        <v>127</v>
      </c>
      <c r="Q135" s="207"/>
      <c r="R135" s="107">
        <f>O135*5000000</f>
        <v>5000000</v>
      </c>
      <c r="S135" s="85">
        <f t="shared" si="102"/>
        <v>0.22329572884395779</v>
      </c>
      <c r="T135" s="99"/>
      <c r="U135" s="87"/>
      <c r="V135" s="87"/>
      <c r="W135" s="87"/>
      <c r="X135" s="87"/>
      <c r="Y135" s="88">
        <v>0</v>
      </c>
      <c r="Z135" s="99">
        <f t="shared" si="103"/>
        <v>0</v>
      </c>
      <c r="AA135" s="100">
        <f t="shared" si="104"/>
        <v>0</v>
      </c>
      <c r="AB135" s="99">
        <f t="shared" si="105"/>
        <v>0</v>
      </c>
      <c r="AC135" s="88"/>
      <c r="AD135" s="88">
        <f t="shared" si="106"/>
        <v>5000000</v>
      </c>
      <c r="AE135" s="114"/>
    </row>
    <row r="136" spans="1:31" ht="12.95" customHeight="1" x14ac:dyDescent="0.35">
      <c r="A136" s="135"/>
      <c r="B136" s="223" t="s">
        <v>82</v>
      </c>
      <c r="C136" s="111" t="s">
        <v>137</v>
      </c>
      <c r="D136" s="111"/>
      <c r="E136" s="111"/>
      <c r="F136" s="111"/>
      <c r="G136" s="137"/>
      <c r="H136" s="107"/>
      <c r="I136" s="108"/>
      <c r="J136" s="109"/>
      <c r="K136" s="110"/>
      <c r="L136" s="111"/>
      <c r="M136" s="111"/>
      <c r="N136" s="111"/>
      <c r="O136" s="134">
        <v>1</v>
      </c>
      <c r="P136" s="111" t="s">
        <v>127</v>
      </c>
      <c r="Q136" s="207"/>
      <c r="R136" s="107">
        <f>O136*23000000</f>
        <v>23000000</v>
      </c>
      <c r="S136" s="85">
        <f t="shared" si="102"/>
        <v>1.027160352682206</v>
      </c>
      <c r="T136" s="99"/>
      <c r="U136" s="87"/>
      <c r="V136" s="87"/>
      <c r="W136" s="87"/>
      <c r="X136" s="87"/>
      <c r="Y136" s="88">
        <f>1600000</f>
        <v>1600000</v>
      </c>
      <c r="Z136" s="99">
        <f t="shared" si="103"/>
        <v>6.9565217391304346</v>
      </c>
      <c r="AA136" s="100">
        <f t="shared" si="104"/>
        <v>6.9565217391304346</v>
      </c>
      <c r="AB136" s="99">
        <f t="shared" si="105"/>
        <v>7.1454633230066497E-2</v>
      </c>
      <c r="AC136" s="88"/>
      <c r="AD136" s="88">
        <f t="shared" si="106"/>
        <v>21400000</v>
      </c>
      <c r="AE136" s="114"/>
    </row>
    <row r="137" spans="1:31" ht="12.95" customHeight="1" x14ac:dyDescent="0.35">
      <c r="A137" s="135"/>
      <c r="B137" s="223" t="s">
        <v>82</v>
      </c>
      <c r="C137" s="111" t="s">
        <v>138</v>
      </c>
      <c r="D137" s="111"/>
      <c r="E137" s="111"/>
      <c r="F137" s="111"/>
      <c r="G137" s="137"/>
      <c r="H137" s="107"/>
      <c r="I137" s="108"/>
      <c r="J137" s="109"/>
      <c r="K137" s="110"/>
      <c r="L137" s="111"/>
      <c r="M137" s="111"/>
      <c r="N137" s="111"/>
      <c r="O137" s="134">
        <v>5</v>
      </c>
      <c r="P137" s="111" t="s">
        <v>127</v>
      </c>
      <c r="Q137" s="207"/>
      <c r="R137" s="107">
        <f>O137*3430000</f>
        <v>17150000</v>
      </c>
      <c r="S137" s="85">
        <f t="shared" si="102"/>
        <v>0.7659043499347753</v>
      </c>
      <c r="T137" s="99"/>
      <c r="U137" s="87"/>
      <c r="V137" s="87"/>
      <c r="W137" s="87"/>
      <c r="X137" s="87"/>
      <c r="Y137" s="88">
        <f>800000</f>
        <v>800000</v>
      </c>
      <c r="Z137" s="99">
        <f t="shared" si="103"/>
        <v>4.6647230320699711</v>
      </c>
      <c r="AA137" s="100">
        <f t="shared" si="104"/>
        <v>4.6647230320699711</v>
      </c>
      <c r="AB137" s="99">
        <f t="shared" si="105"/>
        <v>3.5727316615033249E-2</v>
      </c>
      <c r="AC137" s="88"/>
      <c r="AD137" s="88">
        <f t="shared" si="106"/>
        <v>16350000</v>
      </c>
      <c r="AE137" s="114"/>
    </row>
    <row r="138" spans="1:31" ht="12.95" customHeight="1" x14ac:dyDescent="0.35">
      <c r="A138" s="135"/>
      <c r="B138" s="223"/>
      <c r="C138" s="111"/>
      <c r="D138" s="111"/>
      <c r="E138" s="111"/>
      <c r="F138" s="111"/>
      <c r="G138" s="137"/>
      <c r="H138" s="107"/>
      <c r="I138" s="108"/>
      <c r="J138" s="109"/>
      <c r="K138" s="110"/>
      <c r="L138" s="111"/>
      <c r="M138" s="111"/>
      <c r="N138" s="111"/>
      <c r="O138" s="134"/>
      <c r="P138" s="111"/>
      <c r="Q138" s="207"/>
      <c r="R138" s="203"/>
      <c r="S138" s="113"/>
      <c r="T138" s="195"/>
      <c r="U138" s="198"/>
      <c r="V138" s="198"/>
      <c r="W138" s="198"/>
      <c r="X138" s="198"/>
      <c r="Y138" s="116"/>
      <c r="Z138" s="195"/>
      <c r="AA138" s="202"/>
      <c r="AB138" s="197"/>
      <c r="AC138" s="116"/>
      <c r="AD138" s="116"/>
      <c r="AE138" s="114"/>
    </row>
    <row r="139" spans="1:31" ht="12.95" customHeight="1" x14ac:dyDescent="0.35">
      <c r="A139" s="103" t="s">
        <v>139</v>
      </c>
      <c r="B139" s="508" t="s">
        <v>257</v>
      </c>
      <c r="C139" s="509"/>
      <c r="D139" s="509"/>
      <c r="E139" s="509"/>
      <c r="F139" s="509"/>
      <c r="G139" s="510"/>
      <c r="H139" s="107"/>
      <c r="I139" s="108"/>
      <c r="J139" s="109"/>
      <c r="K139" s="110"/>
      <c r="L139" s="111"/>
      <c r="M139" s="111"/>
      <c r="N139" s="111"/>
      <c r="O139" s="112"/>
      <c r="P139" s="105"/>
      <c r="Q139" s="212"/>
      <c r="R139" s="213"/>
      <c r="S139" s="113"/>
      <c r="T139" s="195"/>
      <c r="U139" s="198"/>
      <c r="V139" s="198"/>
      <c r="W139" s="198"/>
      <c r="X139" s="198"/>
      <c r="Y139" s="116"/>
      <c r="Z139" s="195"/>
      <c r="AA139" s="202"/>
      <c r="AB139" s="197"/>
      <c r="AC139" s="116"/>
      <c r="AD139" s="116"/>
      <c r="AE139" s="114"/>
    </row>
    <row r="140" spans="1:31" s="28" customFormat="1" ht="12.95" customHeight="1" x14ac:dyDescent="0.35">
      <c r="A140" s="355">
        <v>522111</v>
      </c>
      <c r="B140" s="356" t="s">
        <v>258</v>
      </c>
      <c r="C140" s="357"/>
      <c r="D140" s="357"/>
      <c r="E140" s="357"/>
      <c r="F140" s="357"/>
      <c r="G140" s="358"/>
      <c r="H140" s="359"/>
      <c r="I140" s="360"/>
      <c r="J140" s="361"/>
      <c r="K140" s="362"/>
      <c r="L140" s="357"/>
      <c r="M140" s="357"/>
      <c r="N140" s="357"/>
      <c r="O140" s="363"/>
      <c r="P140" s="357"/>
      <c r="Q140" s="364"/>
      <c r="R140" s="361"/>
      <c r="S140" s="365"/>
      <c r="T140" s="366"/>
      <c r="U140" s="367"/>
      <c r="V140" s="367"/>
      <c r="W140" s="367"/>
      <c r="X140" s="367"/>
      <c r="Y140" s="368"/>
      <c r="Z140" s="366"/>
      <c r="AA140" s="369"/>
      <c r="AB140" s="370"/>
      <c r="AC140" s="368"/>
      <c r="AD140" s="368"/>
      <c r="AE140" s="371"/>
    </row>
    <row r="141" spans="1:31" ht="12.95" customHeight="1" x14ac:dyDescent="0.35">
      <c r="A141" s="372"/>
      <c r="B141" s="373" t="s">
        <v>82</v>
      </c>
      <c r="C141" s="374" t="s">
        <v>140</v>
      </c>
      <c r="D141" s="374"/>
      <c r="E141" s="374"/>
      <c r="F141" s="374"/>
      <c r="G141" s="375"/>
      <c r="H141" s="376"/>
      <c r="I141" s="377"/>
      <c r="J141" s="378"/>
      <c r="K141" s="379"/>
      <c r="L141" s="374"/>
      <c r="M141" s="374"/>
      <c r="N141" s="374"/>
      <c r="O141" s="380">
        <v>12</v>
      </c>
      <c r="P141" s="374" t="s">
        <v>88</v>
      </c>
      <c r="Q141" s="381"/>
      <c r="R141" s="376">
        <f>O141*6500000</f>
        <v>78000000</v>
      </c>
      <c r="S141" s="365">
        <f t="shared" ref="S141" si="107">+R141/$R$184*100</f>
        <v>3.4834133699657417</v>
      </c>
      <c r="T141" s="382"/>
      <c r="U141" s="383"/>
      <c r="V141" s="383"/>
      <c r="W141" s="383"/>
      <c r="X141" s="383"/>
      <c r="Y141" s="384">
        <f>4268398</f>
        <v>4268398</v>
      </c>
      <c r="Z141" s="382">
        <f t="shared" ref="Z141" si="108">+Y141/R141*100</f>
        <v>5.4723051282051278</v>
      </c>
      <c r="AA141" s="385">
        <f t="shared" ref="AA141" si="109">Z141</f>
        <v>5.4723051282051278</v>
      </c>
      <c r="AB141" s="382">
        <f t="shared" ref="AB141" si="110">AA141*S141/100</f>
        <v>0.19062300848121833</v>
      </c>
      <c r="AC141" s="384"/>
      <c r="AD141" s="384">
        <f t="shared" ref="AD141" si="111">+R141-Y141</f>
        <v>73731602</v>
      </c>
      <c r="AE141" s="386"/>
    </row>
    <row r="142" spans="1:31" ht="12.95" customHeight="1" x14ac:dyDescent="0.35">
      <c r="A142" s="355">
        <v>522112</v>
      </c>
      <c r="B142" s="356" t="s">
        <v>259</v>
      </c>
      <c r="C142" s="357"/>
      <c r="D142" s="357"/>
      <c r="E142" s="357"/>
      <c r="F142" s="357"/>
      <c r="G142" s="375"/>
      <c r="H142" s="376"/>
      <c r="I142" s="377"/>
      <c r="J142" s="378"/>
      <c r="K142" s="379"/>
      <c r="L142" s="374"/>
      <c r="M142" s="374"/>
      <c r="N142" s="374"/>
      <c r="O142" s="380"/>
      <c r="P142" s="374"/>
      <c r="Q142" s="381"/>
      <c r="R142" s="376"/>
      <c r="S142" s="365"/>
      <c r="T142" s="382"/>
      <c r="U142" s="387"/>
      <c r="V142" s="387"/>
      <c r="W142" s="387"/>
      <c r="X142" s="387"/>
      <c r="Y142" s="384"/>
      <c r="Z142" s="382"/>
      <c r="AA142" s="385"/>
      <c r="AB142" s="388"/>
      <c r="AC142" s="384"/>
      <c r="AD142" s="384"/>
      <c r="AE142" s="386"/>
    </row>
    <row r="143" spans="1:31" ht="12.95" customHeight="1" x14ac:dyDescent="0.35">
      <c r="A143" s="372"/>
      <c r="B143" s="373" t="s">
        <v>82</v>
      </c>
      <c r="C143" s="374" t="s">
        <v>141</v>
      </c>
      <c r="D143" s="374"/>
      <c r="E143" s="374"/>
      <c r="F143" s="374"/>
      <c r="G143" s="375"/>
      <c r="H143" s="376"/>
      <c r="I143" s="377"/>
      <c r="J143" s="378"/>
      <c r="K143" s="379"/>
      <c r="L143" s="374"/>
      <c r="M143" s="374"/>
      <c r="N143" s="374"/>
      <c r="O143" s="380">
        <v>12</v>
      </c>
      <c r="P143" s="374" t="s">
        <v>88</v>
      </c>
      <c r="Q143" s="381"/>
      <c r="R143" s="376">
        <f>O143*4200000</f>
        <v>50400000</v>
      </c>
      <c r="S143" s="365">
        <f t="shared" ref="S143" si="112">+R143/$R$184*100</f>
        <v>2.250820946747095</v>
      </c>
      <c r="T143" s="382"/>
      <c r="U143" s="383"/>
      <c r="V143" s="383"/>
      <c r="W143" s="383"/>
      <c r="X143" s="383"/>
      <c r="Y143" s="384">
        <f>745555+670476</f>
        <v>1416031</v>
      </c>
      <c r="Z143" s="382">
        <f t="shared" ref="Z143" si="113">+Y143/R143*100</f>
        <v>2.8095853174603178</v>
      </c>
      <c r="AA143" s="385">
        <f t="shared" ref="AA143" si="114">Z143</f>
        <v>2.8095853174603178</v>
      </c>
      <c r="AB143" s="382">
        <f t="shared" ref="AB143" si="115">AA143*S143/100</f>
        <v>6.3238734842127706E-2</v>
      </c>
      <c r="AC143" s="384"/>
      <c r="AD143" s="384">
        <f t="shared" ref="AD143" si="116">+R143-Y143</f>
        <v>48983969</v>
      </c>
      <c r="AE143" s="386"/>
    </row>
    <row r="144" spans="1:31" ht="12.95" customHeight="1" x14ac:dyDescent="0.35">
      <c r="A144" s="355">
        <v>522113</v>
      </c>
      <c r="B144" s="356" t="s">
        <v>260</v>
      </c>
      <c r="C144" s="357"/>
      <c r="D144" s="357"/>
      <c r="E144" s="357"/>
      <c r="F144" s="357"/>
      <c r="G144" s="375"/>
      <c r="H144" s="376"/>
      <c r="I144" s="377"/>
      <c r="J144" s="378"/>
      <c r="K144" s="379"/>
      <c r="L144" s="374"/>
      <c r="M144" s="374"/>
      <c r="N144" s="374"/>
      <c r="O144" s="380"/>
      <c r="P144" s="374"/>
      <c r="Q144" s="381"/>
      <c r="R144" s="376"/>
      <c r="S144" s="365"/>
      <c r="T144" s="382"/>
      <c r="U144" s="387"/>
      <c r="V144" s="387"/>
      <c r="W144" s="387"/>
      <c r="X144" s="387"/>
      <c r="Y144" s="384"/>
      <c r="Z144" s="382"/>
      <c r="AA144" s="385"/>
      <c r="AB144" s="388"/>
      <c r="AC144" s="384"/>
      <c r="AD144" s="384"/>
      <c r="AE144" s="386"/>
    </row>
    <row r="145" spans="1:35" ht="12.95" customHeight="1" x14ac:dyDescent="0.35">
      <c r="A145" s="372"/>
      <c r="B145" s="373" t="s">
        <v>82</v>
      </c>
      <c r="C145" s="374" t="s">
        <v>142</v>
      </c>
      <c r="D145" s="374"/>
      <c r="E145" s="374"/>
      <c r="F145" s="374"/>
      <c r="G145" s="375"/>
      <c r="H145" s="376"/>
      <c r="I145" s="377"/>
      <c r="J145" s="378"/>
      <c r="K145" s="379"/>
      <c r="L145" s="374"/>
      <c r="M145" s="374"/>
      <c r="N145" s="374"/>
      <c r="O145" s="380">
        <v>12</v>
      </c>
      <c r="P145" s="374" t="s">
        <v>88</v>
      </c>
      <c r="Q145" s="381"/>
      <c r="R145" s="376">
        <f>O145*500000</f>
        <v>6000000</v>
      </c>
      <c r="S145" s="365">
        <f t="shared" ref="S145" si="117">+R145/$R$184*100</f>
        <v>0.26795487461274942</v>
      </c>
      <c r="T145" s="382"/>
      <c r="U145" s="383"/>
      <c r="V145" s="383"/>
      <c r="W145" s="383"/>
      <c r="X145" s="383"/>
      <c r="Y145" s="384">
        <v>200520</v>
      </c>
      <c r="Z145" s="382">
        <f t="shared" ref="Z145" si="118">+Y145/R145*100</f>
        <v>3.3419999999999996</v>
      </c>
      <c r="AA145" s="385">
        <f t="shared" ref="AA145" si="119">Z145</f>
        <v>3.3419999999999996</v>
      </c>
      <c r="AB145" s="382">
        <f t="shared" ref="AB145" si="120">AA145*S145/100</f>
        <v>8.9550519095580854E-3</v>
      </c>
      <c r="AC145" s="384"/>
      <c r="AD145" s="384">
        <f t="shared" ref="AD145" si="121">+R145-Y145</f>
        <v>5799480</v>
      </c>
      <c r="AE145" s="386"/>
    </row>
    <row r="146" spans="1:35" ht="12.95" customHeight="1" x14ac:dyDescent="0.35">
      <c r="A146" s="135"/>
      <c r="B146" s="223"/>
      <c r="C146" s="111"/>
      <c r="D146" s="111"/>
      <c r="E146" s="111"/>
      <c r="F146" s="111"/>
      <c r="G146" s="137"/>
      <c r="H146" s="107"/>
      <c r="I146" s="108"/>
      <c r="J146" s="109"/>
      <c r="K146" s="110"/>
      <c r="L146" s="111"/>
      <c r="M146" s="111"/>
      <c r="N146" s="111"/>
      <c r="O146" s="134"/>
      <c r="P146" s="111"/>
      <c r="Q146" s="207"/>
      <c r="R146" s="107"/>
      <c r="S146" s="113"/>
      <c r="T146" s="195"/>
      <c r="U146" s="196"/>
      <c r="V146" s="196"/>
      <c r="W146" s="196"/>
      <c r="X146" s="196"/>
      <c r="Y146" s="116"/>
      <c r="Z146" s="195"/>
      <c r="AA146" s="100"/>
      <c r="AB146" s="197"/>
      <c r="AC146" s="116"/>
      <c r="AD146" s="116"/>
      <c r="AE146" s="114"/>
    </row>
    <row r="147" spans="1:35" ht="12.95" customHeight="1" x14ac:dyDescent="0.35">
      <c r="A147" s="103" t="s">
        <v>143</v>
      </c>
      <c r="B147" s="224" t="s">
        <v>261</v>
      </c>
      <c r="C147" s="225"/>
      <c r="D147" s="225"/>
      <c r="E147" s="225"/>
      <c r="F147" s="225"/>
      <c r="G147" s="226"/>
      <c r="H147" s="107"/>
      <c r="I147" s="108"/>
      <c r="J147" s="109"/>
      <c r="K147" s="110"/>
      <c r="L147" s="111"/>
      <c r="M147" s="111"/>
      <c r="N147" s="111"/>
      <c r="O147" s="134"/>
      <c r="P147" s="137"/>
      <c r="Q147" s="207"/>
      <c r="R147" s="213"/>
      <c r="S147" s="113"/>
      <c r="T147" s="195"/>
      <c r="U147" s="198"/>
      <c r="V147" s="198"/>
      <c r="W147" s="198"/>
      <c r="X147" s="198"/>
      <c r="Y147" s="116"/>
      <c r="Z147" s="195"/>
      <c r="AA147" s="100"/>
      <c r="AB147" s="197"/>
      <c r="AC147" s="116"/>
      <c r="AD147" s="116"/>
      <c r="AE147" s="114"/>
    </row>
    <row r="148" spans="1:35" s="28" customFormat="1" ht="12.95" customHeight="1" x14ac:dyDescent="0.35">
      <c r="A148" s="210">
        <v>521111</v>
      </c>
      <c r="B148" s="236" t="s">
        <v>81</v>
      </c>
      <c r="C148" s="105"/>
      <c r="D148" s="105"/>
      <c r="E148" s="105"/>
      <c r="F148" s="105"/>
      <c r="G148" s="106"/>
      <c r="H148" s="188"/>
      <c r="I148" s="171"/>
      <c r="J148" s="170"/>
      <c r="K148" s="189"/>
      <c r="L148" s="105"/>
      <c r="M148" s="105"/>
      <c r="N148" s="105"/>
      <c r="O148" s="227"/>
      <c r="P148" s="141"/>
      <c r="Q148" s="228"/>
      <c r="R148" s="229"/>
      <c r="S148" s="113"/>
      <c r="T148" s="190"/>
      <c r="U148" s="191"/>
      <c r="V148" s="191"/>
      <c r="W148" s="191"/>
      <c r="X148" s="191"/>
      <c r="Y148" s="192"/>
      <c r="Z148" s="190"/>
      <c r="AA148" s="178"/>
      <c r="AB148" s="193"/>
      <c r="AC148" s="192"/>
      <c r="AD148" s="192"/>
      <c r="AE148" s="179"/>
    </row>
    <row r="149" spans="1:35" ht="12.95" customHeight="1" x14ac:dyDescent="0.35">
      <c r="A149" s="199"/>
      <c r="B149" s="230" t="s">
        <v>82</v>
      </c>
      <c r="C149" s="217" t="s">
        <v>144</v>
      </c>
      <c r="D149" s="217"/>
      <c r="E149" s="217"/>
      <c r="F149" s="217"/>
      <c r="G149" s="218"/>
      <c r="H149" s="107"/>
      <c r="I149" s="108"/>
      <c r="J149" s="109"/>
      <c r="K149" s="110"/>
      <c r="L149" s="111"/>
      <c r="M149" s="111"/>
      <c r="N149" s="111"/>
      <c r="O149" s="134">
        <v>39</v>
      </c>
      <c r="P149" s="111" t="s">
        <v>145</v>
      </c>
      <c r="Q149" s="207"/>
      <c r="R149" s="107">
        <f>O149*1800000</f>
        <v>70200000</v>
      </c>
      <c r="S149" s="85">
        <f t="shared" ref="S149:S154" si="122">+R149/$R$184*100</f>
        <v>3.1350720329691675</v>
      </c>
      <c r="T149" s="99"/>
      <c r="U149" s="87"/>
      <c r="V149" s="87"/>
      <c r="W149" s="87"/>
      <c r="X149" s="87"/>
      <c r="Y149" s="88">
        <v>5400000</v>
      </c>
      <c r="Z149" s="99">
        <f t="shared" ref="Z149:Z151" si="123">+Y149/R149*100</f>
        <v>7.6923076923076925</v>
      </c>
      <c r="AA149" s="100">
        <f t="shared" ref="AA149:AA151" si="124">Z149</f>
        <v>7.6923076923076925</v>
      </c>
      <c r="AB149" s="99">
        <f t="shared" ref="AB149:AB151" si="125">AA149*S149/100</f>
        <v>0.24115938715147445</v>
      </c>
      <c r="AC149" s="88"/>
      <c r="AD149" s="88">
        <f t="shared" ref="AD149:AD151" si="126">+R149-Y149</f>
        <v>64800000</v>
      </c>
      <c r="AE149" s="86"/>
    </row>
    <row r="150" spans="1:35" ht="12.95" customHeight="1" x14ac:dyDescent="0.35">
      <c r="A150" s="135"/>
      <c r="B150" s="215" t="s">
        <v>82</v>
      </c>
      <c r="C150" s="216" t="s">
        <v>146</v>
      </c>
      <c r="D150" s="216"/>
      <c r="E150" s="217"/>
      <c r="F150" s="217"/>
      <c r="G150" s="218"/>
      <c r="H150" s="107"/>
      <c r="I150" s="108"/>
      <c r="J150" s="109"/>
      <c r="K150" s="110"/>
      <c r="L150" s="111"/>
      <c r="M150" s="111"/>
      <c r="N150" s="111"/>
      <c r="O150" s="134">
        <v>228</v>
      </c>
      <c r="P150" s="111" t="s">
        <v>147</v>
      </c>
      <c r="Q150" s="207"/>
      <c r="R150" s="107">
        <f>O150*30000</f>
        <v>6840000</v>
      </c>
      <c r="S150" s="85">
        <f t="shared" si="122"/>
        <v>0.30546855705853432</v>
      </c>
      <c r="T150" s="99"/>
      <c r="U150" s="87"/>
      <c r="V150" s="87"/>
      <c r="W150" s="87"/>
      <c r="X150" s="87"/>
      <c r="Y150" s="88">
        <f>570000</f>
        <v>570000</v>
      </c>
      <c r="Z150" s="99">
        <f t="shared" si="123"/>
        <v>8.3333333333333321</v>
      </c>
      <c r="AA150" s="100">
        <f t="shared" si="124"/>
        <v>8.3333333333333321</v>
      </c>
      <c r="AB150" s="99">
        <f t="shared" si="125"/>
        <v>2.5455713088211193E-2</v>
      </c>
      <c r="AC150" s="88"/>
      <c r="AD150" s="88">
        <f t="shared" si="126"/>
        <v>6270000</v>
      </c>
      <c r="AE150" s="114"/>
    </row>
    <row r="151" spans="1:35" ht="12.95" customHeight="1" x14ac:dyDescent="0.35">
      <c r="A151" s="231"/>
      <c r="B151" s="194" t="s">
        <v>82</v>
      </c>
      <c r="C151" s="140" t="s">
        <v>148</v>
      </c>
      <c r="D151" s="140"/>
      <c r="E151" s="140"/>
      <c r="F151" s="140"/>
      <c r="G151" s="150"/>
      <c r="H151" s="107"/>
      <c r="I151" s="108"/>
      <c r="J151" s="109"/>
      <c r="K151" s="110"/>
      <c r="L151" s="111"/>
      <c r="M151" s="111"/>
      <c r="N151" s="111"/>
      <c r="O151" s="182">
        <v>22</v>
      </c>
      <c r="P151" s="140" t="s">
        <v>115</v>
      </c>
      <c r="Q151" s="183"/>
      <c r="R151" s="107">
        <f>O151*190000</f>
        <v>4180000</v>
      </c>
      <c r="S151" s="85">
        <f t="shared" si="122"/>
        <v>0.18667522931354874</v>
      </c>
      <c r="T151" s="99"/>
      <c r="U151" s="87"/>
      <c r="V151" s="87"/>
      <c r="W151" s="87"/>
      <c r="X151" s="87"/>
      <c r="Y151" s="88">
        <f>360000</f>
        <v>360000</v>
      </c>
      <c r="Z151" s="99">
        <f t="shared" si="123"/>
        <v>8.6124401913875595</v>
      </c>
      <c r="AA151" s="100">
        <f t="shared" si="124"/>
        <v>8.6124401913875595</v>
      </c>
      <c r="AB151" s="99">
        <f t="shared" si="125"/>
        <v>1.6077292476764961E-2</v>
      </c>
      <c r="AC151" s="88"/>
      <c r="AD151" s="88">
        <f t="shared" si="126"/>
        <v>3820000</v>
      </c>
      <c r="AE151" s="114"/>
    </row>
    <row r="152" spans="1:35" ht="12.95" customHeight="1" x14ac:dyDescent="0.35">
      <c r="A152" s="231"/>
      <c r="B152" s="194" t="s">
        <v>82</v>
      </c>
      <c r="C152" s="140" t="s">
        <v>266</v>
      </c>
      <c r="D152" s="140"/>
      <c r="E152" s="140"/>
      <c r="F152" s="140"/>
      <c r="G152" s="150"/>
      <c r="H152" s="107"/>
      <c r="I152" s="108"/>
      <c r="J152" s="109"/>
      <c r="K152" s="110"/>
      <c r="L152" s="111"/>
      <c r="M152" s="111"/>
      <c r="N152" s="111"/>
      <c r="O152" s="182">
        <v>1</v>
      </c>
      <c r="P152" s="140" t="s">
        <v>111</v>
      </c>
      <c r="Q152" s="183"/>
      <c r="R152" s="107">
        <f>O152*9020000</f>
        <v>9020000</v>
      </c>
      <c r="S152" s="85">
        <f t="shared" ref="S152" si="127">+R152/$R$184*100</f>
        <v>0.40282549483449992</v>
      </c>
      <c r="T152" s="99"/>
      <c r="U152" s="87"/>
      <c r="V152" s="87"/>
      <c r="W152" s="87"/>
      <c r="X152" s="87"/>
      <c r="Y152" s="88">
        <f>750000</f>
        <v>750000</v>
      </c>
      <c r="Z152" s="99">
        <f t="shared" ref="Z152" si="128">+Y152/R152*100</f>
        <v>8.3148558758314852</v>
      </c>
      <c r="AA152" s="100">
        <f t="shared" ref="AA152" si="129">Z152</f>
        <v>8.3148558758314852</v>
      </c>
      <c r="AB152" s="99">
        <f t="shared" ref="AB152" si="130">AA152*S152/100</f>
        <v>3.349435932659367E-2</v>
      </c>
      <c r="AC152" s="88"/>
      <c r="AD152" s="88">
        <f t="shared" ref="AD152" si="131">+R152-Y152</f>
        <v>8270000</v>
      </c>
      <c r="AE152" s="114"/>
    </row>
    <row r="153" spans="1:35" ht="12.95" customHeight="1" x14ac:dyDescent="0.35">
      <c r="A153" s="199"/>
      <c r="B153" s="215" t="s">
        <v>82</v>
      </c>
      <c r="C153" s="217" t="s">
        <v>149</v>
      </c>
      <c r="D153" s="217"/>
      <c r="E153" s="217"/>
      <c r="F153" s="217"/>
      <c r="G153" s="218"/>
      <c r="H153" s="107"/>
      <c r="I153" s="108"/>
      <c r="J153" s="109"/>
      <c r="K153" s="110"/>
      <c r="L153" s="111"/>
      <c r="M153" s="111"/>
      <c r="N153" s="111"/>
      <c r="O153" s="134">
        <v>12</v>
      </c>
      <c r="P153" s="111" t="s">
        <v>88</v>
      </c>
      <c r="Q153" s="207"/>
      <c r="R153" s="203">
        <f>O153*2200000</f>
        <v>26400000</v>
      </c>
      <c r="S153" s="85">
        <f t="shared" si="122"/>
        <v>1.1790014482960973</v>
      </c>
      <c r="T153" s="99"/>
      <c r="U153" s="87"/>
      <c r="V153" s="87"/>
      <c r="W153" s="87"/>
      <c r="X153" s="87"/>
      <c r="Y153" s="88">
        <v>1023700</v>
      </c>
      <c r="Z153" s="99">
        <f t="shared" ref="Z153:Z154" si="132">+Y153/R153*100</f>
        <v>3.8776515151515154</v>
      </c>
      <c r="AA153" s="100">
        <f t="shared" ref="AA153:AA154" si="133">Z153</f>
        <v>3.8776515151515154</v>
      </c>
      <c r="AB153" s="99">
        <f t="shared" ref="AB153:AB154" si="134">AA153*S153/100</f>
        <v>4.5717567523511929E-2</v>
      </c>
      <c r="AC153" s="88"/>
      <c r="AD153" s="88">
        <f t="shared" ref="AD153:AD154" si="135">+R153-Y153</f>
        <v>25376300</v>
      </c>
      <c r="AE153" s="114"/>
    </row>
    <row r="154" spans="1:35" ht="12.95" customHeight="1" x14ac:dyDescent="0.35">
      <c r="A154" s="199"/>
      <c r="B154" s="296" t="s">
        <v>82</v>
      </c>
      <c r="C154" s="297" t="s">
        <v>265</v>
      </c>
      <c r="D154" s="297"/>
      <c r="E154" s="297"/>
      <c r="F154" s="297"/>
      <c r="G154" s="298"/>
      <c r="H154" s="77"/>
      <c r="I154" s="78"/>
      <c r="J154" s="79"/>
      <c r="K154" s="80"/>
      <c r="L154" s="81"/>
      <c r="M154" s="81"/>
      <c r="N154" s="81"/>
      <c r="O154" s="185">
        <v>1</v>
      </c>
      <c r="P154" s="81" t="s">
        <v>83</v>
      </c>
      <c r="Q154" s="144"/>
      <c r="R154" s="77">
        <f>O154*3792000</f>
        <v>3792000</v>
      </c>
      <c r="S154" s="85">
        <f t="shared" si="122"/>
        <v>0.16934748075525763</v>
      </c>
      <c r="T154" s="99"/>
      <c r="U154" s="87"/>
      <c r="V154" s="87"/>
      <c r="W154" s="87"/>
      <c r="X154" s="87"/>
      <c r="Y154" s="88">
        <v>0</v>
      </c>
      <c r="Z154" s="99">
        <f t="shared" si="132"/>
        <v>0</v>
      </c>
      <c r="AA154" s="100">
        <f t="shared" si="133"/>
        <v>0</v>
      </c>
      <c r="AB154" s="99">
        <f t="shared" si="134"/>
        <v>0</v>
      </c>
      <c r="AC154" s="88"/>
      <c r="AD154" s="88">
        <f t="shared" si="135"/>
        <v>3792000</v>
      </c>
      <c r="AE154" s="86"/>
      <c r="AF154" s="90"/>
      <c r="AG154" s="90"/>
      <c r="AH154" s="90"/>
      <c r="AI154" s="90"/>
    </row>
    <row r="155" spans="1:35" ht="12.95" customHeight="1" x14ac:dyDescent="0.35">
      <c r="A155" s="135"/>
      <c r="B155" s="94"/>
      <c r="C155" s="105"/>
      <c r="D155" s="105"/>
      <c r="E155" s="111"/>
      <c r="F155" s="111"/>
      <c r="G155" s="137"/>
      <c r="H155" s="107"/>
      <c r="I155" s="108"/>
      <c r="J155" s="109"/>
      <c r="K155" s="110"/>
      <c r="L155" s="111"/>
      <c r="M155" s="111"/>
      <c r="N155" s="111"/>
      <c r="O155" s="134"/>
      <c r="P155" s="111"/>
      <c r="Q155" s="135"/>
      <c r="R155" s="107"/>
      <c r="S155" s="113"/>
      <c r="T155" s="114"/>
      <c r="U155" s="115"/>
      <c r="V155" s="115"/>
      <c r="W155" s="115"/>
      <c r="X155" s="115"/>
      <c r="Y155" s="116"/>
      <c r="Z155" s="114"/>
      <c r="AA155" s="114"/>
      <c r="AB155" s="114"/>
      <c r="AC155" s="116"/>
      <c r="AD155" s="116"/>
      <c r="AE155" s="114"/>
    </row>
    <row r="156" spans="1:35" ht="12.95" customHeight="1" x14ac:dyDescent="0.35">
      <c r="A156" s="210">
        <v>521114</v>
      </c>
      <c r="B156" s="236" t="s">
        <v>150</v>
      </c>
      <c r="C156" s="105"/>
      <c r="D156" s="105"/>
      <c r="E156" s="105"/>
      <c r="F156" s="105"/>
      <c r="G156" s="106"/>
      <c r="H156" s="188"/>
      <c r="I156" s="171"/>
      <c r="J156" s="170"/>
      <c r="K156" s="189"/>
      <c r="L156" s="105"/>
      <c r="M156" s="105"/>
      <c r="N156" s="105"/>
      <c r="O156" s="227"/>
      <c r="P156" s="141"/>
      <c r="Q156" s="228"/>
      <c r="R156" s="229"/>
      <c r="S156" s="113"/>
      <c r="T156" s="190"/>
      <c r="U156" s="191"/>
      <c r="V156" s="191"/>
      <c r="W156" s="191"/>
      <c r="X156" s="191"/>
      <c r="Y156" s="192"/>
      <c r="Z156" s="190"/>
      <c r="AA156" s="178"/>
      <c r="AB156" s="193"/>
      <c r="AC156" s="192"/>
      <c r="AD156" s="192"/>
      <c r="AE156" s="114"/>
    </row>
    <row r="157" spans="1:35" ht="12.95" customHeight="1" x14ac:dyDescent="0.35">
      <c r="A157" s="199"/>
      <c r="B157" s="230" t="s">
        <v>82</v>
      </c>
      <c r="C157" s="217" t="s">
        <v>151</v>
      </c>
      <c r="D157" s="217"/>
      <c r="E157" s="217"/>
      <c r="F157" s="217"/>
      <c r="G157" s="218"/>
      <c r="H157" s="107"/>
      <c r="I157" s="108"/>
      <c r="J157" s="109"/>
      <c r="K157" s="110"/>
      <c r="L157" s="111"/>
      <c r="M157" s="111"/>
      <c r="N157" s="111"/>
      <c r="O157" s="134">
        <v>12</v>
      </c>
      <c r="P157" s="111" t="s">
        <v>88</v>
      </c>
      <c r="Q157" s="207"/>
      <c r="R157" s="107">
        <f>O157*715000</f>
        <v>8580000</v>
      </c>
      <c r="S157" s="85">
        <f t="shared" ref="S157" si="136">+R157/$R$184*100</f>
        <v>0.38317547069623159</v>
      </c>
      <c r="T157" s="99"/>
      <c r="U157" s="87"/>
      <c r="V157" s="87"/>
      <c r="W157" s="87"/>
      <c r="X157" s="87"/>
      <c r="Y157" s="88">
        <f>715000</f>
        <v>715000</v>
      </c>
      <c r="Z157" s="99">
        <f t="shared" ref="Z157" si="137">+Y157/R157*100</f>
        <v>8.3333333333333321</v>
      </c>
      <c r="AA157" s="100">
        <f t="shared" ref="AA157" si="138">Z157</f>
        <v>8.3333333333333321</v>
      </c>
      <c r="AB157" s="99">
        <f t="shared" ref="AB157" si="139">AA157*S157/100</f>
        <v>3.1931289224685959E-2</v>
      </c>
      <c r="AC157" s="88"/>
      <c r="AD157" s="88">
        <f t="shared" ref="AD157" si="140">+R157-Y157</f>
        <v>7865000</v>
      </c>
      <c r="AE157" s="86"/>
    </row>
    <row r="158" spans="1:35" ht="12.95" customHeight="1" x14ac:dyDescent="0.35">
      <c r="A158" s="199"/>
      <c r="B158" s="215"/>
      <c r="C158" s="217"/>
      <c r="D158" s="217"/>
      <c r="E158" s="217"/>
      <c r="F158" s="217"/>
      <c r="G158" s="218"/>
      <c r="H158" s="107"/>
      <c r="I158" s="108"/>
      <c r="J158" s="109"/>
      <c r="K158" s="110"/>
      <c r="L158" s="111"/>
      <c r="M158" s="111"/>
      <c r="N158" s="111"/>
      <c r="O158" s="134"/>
      <c r="P158" s="111"/>
      <c r="Q158" s="207"/>
      <c r="R158" s="107"/>
      <c r="S158" s="113"/>
      <c r="T158" s="195"/>
      <c r="U158" s="198"/>
      <c r="V158" s="198"/>
      <c r="W158" s="198"/>
      <c r="X158" s="198"/>
      <c r="Y158" s="116"/>
      <c r="Z158" s="195"/>
      <c r="AA158" s="100"/>
      <c r="AB158" s="197"/>
      <c r="AC158" s="116"/>
      <c r="AD158" s="116"/>
      <c r="AE158" s="114"/>
    </row>
    <row r="159" spans="1:35" s="28" customFormat="1" ht="12.95" customHeight="1" x14ac:dyDescent="0.35">
      <c r="A159" s="210">
        <v>521115</v>
      </c>
      <c r="B159" s="236" t="s">
        <v>152</v>
      </c>
      <c r="C159" s="232"/>
      <c r="D159" s="232"/>
      <c r="E159" s="232"/>
      <c r="F159" s="232"/>
      <c r="G159" s="233"/>
      <c r="H159" s="107"/>
      <c r="I159" s="108"/>
      <c r="J159" s="109"/>
      <c r="K159" s="110"/>
      <c r="L159" s="111"/>
      <c r="M159" s="111"/>
      <c r="N159" s="111"/>
      <c r="O159" s="182"/>
      <c r="P159" s="140"/>
      <c r="Q159" s="228"/>
      <c r="R159" s="201"/>
      <c r="S159" s="113"/>
      <c r="T159" s="190"/>
      <c r="U159" s="191"/>
      <c r="V159" s="191"/>
      <c r="W159" s="191"/>
      <c r="X159" s="191"/>
      <c r="Y159" s="192"/>
      <c r="Z159" s="190"/>
      <c r="AA159" s="178"/>
      <c r="AB159" s="193"/>
      <c r="AC159" s="192"/>
      <c r="AD159" s="192"/>
      <c r="AE159" s="179"/>
    </row>
    <row r="160" spans="1:35" ht="12.95" customHeight="1" x14ac:dyDescent="0.35">
      <c r="A160" s="199"/>
      <c r="B160" s="104"/>
      <c r="C160" s="217" t="s">
        <v>153</v>
      </c>
      <c r="D160" s="217"/>
      <c r="E160" s="217"/>
      <c r="F160" s="217"/>
      <c r="G160" s="218"/>
      <c r="H160" s="107"/>
      <c r="I160" s="108"/>
      <c r="J160" s="109"/>
      <c r="K160" s="110"/>
      <c r="L160" s="111"/>
      <c r="M160" s="111"/>
      <c r="N160" s="111"/>
      <c r="O160" s="134"/>
      <c r="P160" s="111"/>
      <c r="Q160" s="207"/>
      <c r="R160" s="188"/>
      <c r="S160" s="113"/>
      <c r="T160" s="195"/>
      <c r="U160" s="198"/>
      <c r="V160" s="198"/>
      <c r="W160" s="198"/>
      <c r="X160" s="198"/>
      <c r="Y160" s="116"/>
      <c r="Z160" s="195"/>
      <c r="AA160" s="202"/>
      <c r="AB160" s="197"/>
      <c r="AC160" s="116"/>
      <c r="AD160" s="116"/>
      <c r="AE160" s="114"/>
    </row>
    <row r="161" spans="1:31" ht="12.95" customHeight="1" x14ac:dyDescent="0.35">
      <c r="A161" s="199"/>
      <c r="B161" s="234" t="s">
        <v>82</v>
      </c>
      <c r="C161" s="217" t="s">
        <v>154</v>
      </c>
      <c r="D161" s="111"/>
      <c r="E161" s="217"/>
      <c r="F161" s="217"/>
      <c r="G161" s="217"/>
      <c r="H161" s="107"/>
      <c r="I161" s="108"/>
      <c r="J161" s="109"/>
      <c r="K161" s="110"/>
      <c r="L161" s="111"/>
      <c r="M161" s="111"/>
      <c r="N161" s="111"/>
      <c r="O161" s="134">
        <v>12</v>
      </c>
      <c r="P161" s="111" t="s">
        <v>145</v>
      </c>
      <c r="Q161" s="207"/>
      <c r="R161" s="107">
        <f>O161*900000</f>
        <v>10800000</v>
      </c>
      <c r="S161" s="85">
        <f t="shared" ref="S161:S166" si="141">+R161/$R$184*100</f>
        <v>0.48231877430294889</v>
      </c>
      <c r="T161" s="99"/>
      <c r="U161" s="87"/>
      <c r="V161" s="87"/>
      <c r="W161" s="87"/>
      <c r="X161" s="87"/>
      <c r="Y161" s="88">
        <v>0</v>
      </c>
      <c r="Z161" s="99">
        <f t="shared" ref="Z161:Z166" si="142">+Y161/R161*100</f>
        <v>0</v>
      </c>
      <c r="AA161" s="100">
        <f t="shared" ref="AA161:AA166" si="143">Z161</f>
        <v>0</v>
      </c>
      <c r="AB161" s="99">
        <f t="shared" ref="AB161:AB166" si="144">AA161*S161/100</f>
        <v>0</v>
      </c>
      <c r="AC161" s="88"/>
      <c r="AD161" s="88">
        <f t="shared" ref="AD161:AD166" si="145">+R161-Y161</f>
        <v>10800000</v>
      </c>
      <c r="AE161" s="86"/>
    </row>
    <row r="162" spans="1:31" ht="12.95" customHeight="1" x14ac:dyDescent="0.35">
      <c r="A162" s="199"/>
      <c r="B162" s="234" t="s">
        <v>82</v>
      </c>
      <c r="C162" s="217" t="s">
        <v>155</v>
      </c>
      <c r="D162" s="111"/>
      <c r="E162" s="217"/>
      <c r="F162" s="217"/>
      <c r="G162" s="217"/>
      <c r="H162" s="107"/>
      <c r="I162" s="108"/>
      <c r="J162" s="109"/>
      <c r="K162" s="110"/>
      <c r="L162" s="111"/>
      <c r="M162" s="111"/>
      <c r="N162" s="111"/>
      <c r="O162" s="134">
        <v>12</v>
      </c>
      <c r="P162" s="111" t="s">
        <v>145</v>
      </c>
      <c r="Q162" s="207"/>
      <c r="R162" s="107">
        <f>O162*700000</f>
        <v>8400000</v>
      </c>
      <c r="S162" s="85">
        <f t="shared" si="141"/>
        <v>0.37513682445784913</v>
      </c>
      <c r="T162" s="99"/>
      <c r="U162" s="87"/>
      <c r="V162" s="87"/>
      <c r="W162" s="87"/>
      <c r="X162" s="87"/>
      <c r="Y162" s="88">
        <v>0</v>
      </c>
      <c r="Z162" s="99">
        <f t="shared" si="142"/>
        <v>0</v>
      </c>
      <c r="AA162" s="100">
        <f t="shared" si="143"/>
        <v>0</v>
      </c>
      <c r="AB162" s="99">
        <f t="shared" si="144"/>
        <v>0</v>
      </c>
      <c r="AC162" s="88"/>
      <c r="AD162" s="88">
        <f t="shared" si="145"/>
        <v>8400000</v>
      </c>
      <c r="AE162" s="114"/>
    </row>
    <row r="163" spans="1:31" ht="12.95" customHeight="1" x14ac:dyDescent="0.35">
      <c r="A163" s="199"/>
      <c r="B163" s="234" t="s">
        <v>82</v>
      </c>
      <c r="C163" s="111" t="s">
        <v>156</v>
      </c>
      <c r="D163" s="111"/>
      <c r="E163" s="217"/>
      <c r="F163" s="217"/>
      <c r="G163" s="217"/>
      <c r="H163" s="107"/>
      <c r="I163" s="108"/>
      <c r="J163" s="109"/>
      <c r="K163" s="110"/>
      <c r="L163" s="111"/>
      <c r="M163" s="111"/>
      <c r="N163" s="111"/>
      <c r="O163" s="134">
        <v>3</v>
      </c>
      <c r="P163" s="111" t="s">
        <v>145</v>
      </c>
      <c r="Q163" s="207"/>
      <c r="R163" s="107">
        <f>O163*400000</f>
        <v>1200000</v>
      </c>
      <c r="S163" s="85">
        <f t="shared" si="141"/>
        <v>5.3590974922549883E-2</v>
      </c>
      <c r="T163" s="99"/>
      <c r="U163" s="87"/>
      <c r="V163" s="87"/>
      <c r="W163" s="87"/>
      <c r="X163" s="87"/>
      <c r="Y163" s="88">
        <v>0</v>
      </c>
      <c r="Z163" s="99">
        <f t="shared" si="142"/>
        <v>0</v>
      </c>
      <c r="AA163" s="100">
        <f t="shared" si="143"/>
        <v>0</v>
      </c>
      <c r="AB163" s="99">
        <f t="shared" si="144"/>
        <v>0</v>
      </c>
      <c r="AC163" s="88"/>
      <c r="AD163" s="88">
        <f t="shared" si="145"/>
        <v>1200000</v>
      </c>
      <c r="AE163" s="114"/>
    </row>
    <row r="164" spans="1:31" ht="12.95" customHeight="1" x14ac:dyDescent="0.35">
      <c r="A164" s="199"/>
      <c r="B164" s="234" t="s">
        <v>82</v>
      </c>
      <c r="C164" s="217" t="s">
        <v>157</v>
      </c>
      <c r="D164" s="111"/>
      <c r="E164" s="217"/>
      <c r="F164" s="217"/>
      <c r="G164" s="217"/>
      <c r="H164" s="107"/>
      <c r="I164" s="108"/>
      <c r="J164" s="109"/>
      <c r="K164" s="110"/>
      <c r="L164" s="111"/>
      <c r="M164" s="111"/>
      <c r="N164" s="111"/>
      <c r="O164" s="134">
        <v>12</v>
      </c>
      <c r="P164" s="111" t="s">
        <v>145</v>
      </c>
      <c r="Q164" s="207"/>
      <c r="R164" s="107">
        <f>O164*700000</f>
        <v>8400000</v>
      </c>
      <c r="S164" s="85">
        <f t="shared" si="141"/>
        <v>0.37513682445784913</v>
      </c>
      <c r="T164" s="99"/>
      <c r="U164" s="87"/>
      <c r="V164" s="87"/>
      <c r="W164" s="87"/>
      <c r="X164" s="87"/>
      <c r="Y164" s="88">
        <v>0</v>
      </c>
      <c r="Z164" s="99">
        <f t="shared" si="142"/>
        <v>0</v>
      </c>
      <c r="AA164" s="100">
        <f t="shared" si="143"/>
        <v>0</v>
      </c>
      <c r="AB164" s="99">
        <f t="shared" si="144"/>
        <v>0</v>
      </c>
      <c r="AC164" s="88"/>
      <c r="AD164" s="88">
        <f t="shared" si="145"/>
        <v>8400000</v>
      </c>
      <c r="AE164" s="114"/>
    </row>
    <row r="165" spans="1:31" ht="12.95" customHeight="1" x14ac:dyDescent="0.35">
      <c r="A165" s="199"/>
      <c r="B165" s="234" t="s">
        <v>82</v>
      </c>
      <c r="C165" s="217" t="s">
        <v>158</v>
      </c>
      <c r="D165" s="111"/>
      <c r="E165" s="217"/>
      <c r="F165" s="217"/>
      <c r="G165" s="217"/>
      <c r="H165" s="107"/>
      <c r="I165" s="108"/>
      <c r="J165" s="109"/>
      <c r="K165" s="110"/>
      <c r="L165" s="111"/>
      <c r="M165" s="111"/>
      <c r="N165" s="111"/>
      <c r="O165" s="134">
        <v>12</v>
      </c>
      <c r="P165" s="111" t="s">
        <v>145</v>
      </c>
      <c r="Q165" s="207"/>
      <c r="R165" s="107">
        <f>O165*650000</f>
        <v>7800000</v>
      </c>
      <c r="S165" s="85">
        <f t="shared" si="141"/>
        <v>0.34834133699657421</v>
      </c>
      <c r="T165" s="99"/>
      <c r="U165" s="87"/>
      <c r="V165" s="87"/>
      <c r="W165" s="87"/>
      <c r="X165" s="87"/>
      <c r="Y165" s="88">
        <v>0</v>
      </c>
      <c r="Z165" s="99">
        <f t="shared" si="142"/>
        <v>0</v>
      </c>
      <c r="AA165" s="100">
        <f t="shared" si="143"/>
        <v>0</v>
      </c>
      <c r="AB165" s="99">
        <f t="shared" si="144"/>
        <v>0</v>
      </c>
      <c r="AC165" s="88"/>
      <c r="AD165" s="88">
        <f t="shared" si="145"/>
        <v>7800000</v>
      </c>
      <c r="AE165" s="114"/>
    </row>
    <row r="166" spans="1:31" ht="12.95" customHeight="1" x14ac:dyDescent="0.35">
      <c r="A166" s="199"/>
      <c r="B166" s="234" t="s">
        <v>82</v>
      </c>
      <c r="C166" s="217" t="s">
        <v>159</v>
      </c>
      <c r="D166" s="111"/>
      <c r="E166" s="217"/>
      <c r="F166" s="217"/>
      <c r="G166" s="218"/>
      <c r="H166" s="107"/>
      <c r="I166" s="108"/>
      <c r="J166" s="109"/>
      <c r="K166" s="110"/>
      <c r="L166" s="111"/>
      <c r="M166" s="111"/>
      <c r="N166" s="111"/>
      <c r="O166" s="134">
        <v>24</v>
      </c>
      <c r="P166" s="111" t="s">
        <v>145</v>
      </c>
      <c r="Q166" s="207"/>
      <c r="R166" s="107">
        <f>O166*300000</f>
        <v>7200000</v>
      </c>
      <c r="S166" s="85">
        <f t="shared" si="141"/>
        <v>0.32154584953529924</v>
      </c>
      <c r="T166" s="99"/>
      <c r="U166" s="87"/>
      <c r="V166" s="87"/>
      <c r="W166" s="87"/>
      <c r="X166" s="87"/>
      <c r="Y166" s="88">
        <v>0</v>
      </c>
      <c r="Z166" s="99">
        <f t="shared" si="142"/>
        <v>0</v>
      </c>
      <c r="AA166" s="100">
        <f t="shared" si="143"/>
        <v>0</v>
      </c>
      <c r="AB166" s="99">
        <f t="shared" si="144"/>
        <v>0</v>
      </c>
      <c r="AC166" s="88"/>
      <c r="AD166" s="88">
        <f t="shared" si="145"/>
        <v>7200000</v>
      </c>
      <c r="AE166" s="114"/>
    </row>
    <row r="167" spans="1:31" ht="12.95" customHeight="1" x14ac:dyDescent="0.35">
      <c r="A167" s="132"/>
      <c r="B167" s="104"/>
      <c r="C167" s="511" t="s">
        <v>160</v>
      </c>
      <c r="D167" s="511"/>
      <c r="E167" s="511"/>
      <c r="F167" s="511"/>
      <c r="G167" s="512"/>
      <c r="H167" s="107"/>
      <c r="I167" s="108"/>
      <c r="J167" s="109"/>
      <c r="K167" s="110"/>
      <c r="L167" s="111"/>
      <c r="M167" s="111"/>
      <c r="N167" s="111"/>
      <c r="O167" s="112"/>
      <c r="P167" s="105"/>
      <c r="Q167" s="212"/>
      <c r="R167" s="188"/>
      <c r="S167" s="113"/>
      <c r="T167" s="195"/>
      <c r="U167" s="198"/>
      <c r="V167" s="198"/>
      <c r="W167" s="198"/>
      <c r="X167" s="198"/>
      <c r="Y167" s="116"/>
      <c r="Z167" s="195"/>
      <c r="AA167" s="100"/>
      <c r="AB167" s="197"/>
      <c r="AC167" s="116"/>
      <c r="AD167" s="116"/>
      <c r="AE167" s="114"/>
    </row>
    <row r="168" spans="1:31" ht="12.95" customHeight="1" x14ac:dyDescent="0.35">
      <c r="A168" s="199"/>
      <c r="B168" s="234" t="s">
        <v>82</v>
      </c>
      <c r="C168" s="217" t="s">
        <v>161</v>
      </c>
      <c r="D168" s="111"/>
      <c r="E168" s="217"/>
      <c r="F168" s="217"/>
      <c r="G168" s="217"/>
      <c r="H168" s="107"/>
      <c r="I168" s="108"/>
      <c r="J168" s="109"/>
      <c r="K168" s="110"/>
      <c r="L168" s="111"/>
      <c r="M168" s="111"/>
      <c r="N168" s="111"/>
      <c r="O168" s="134">
        <v>12</v>
      </c>
      <c r="P168" s="111" t="s">
        <v>145</v>
      </c>
      <c r="Q168" s="207"/>
      <c r="R168" s="107">
        <f>O168*350000</f>
        <v>4200000</v>
      </c>
      <c r="S168" s="85">
        <f t="shared" ref="S168:S171" si="146">+R168/$R$184*100</f>
        <v>0.18756841222892456</v>
      </c>
      <c r="T168" s="99"/>
      <c r="U168" s="87"/>
      <c r="V168" s="87"/>
      <c r="W168" s="87"/>
      <c r="X168" s="87"/>
      <c r="Y168" s="88">
        <v>0</v>
      </c>
      <c r="Z168" s="99">
        <f t="shared" ref="Z168:Z171" si="147">+Y168/R168*100</f>
        <v>0</v>
      </c>
      <c r="AA168" s="100">
        <f t="shared" ref="AA168:AA171" si="148">Z168</f>
        <v>0</v>
      </c>
      <c r="AB168" s="99">
        <f t="shared" ref="AB168:AB171" si="149">AA168*S168/100</f>
        <v>0</v>
      </c>
      <c r="AC168" s="88"/>
      <c r="AD168" s="88">
        <f t="shared" ref="AD168:AD171" si="150">+R168-Y168</f>
        <v>4200000</v>
      </c>
      <c r="AE168" s="86"/>
    </row>
    <row r="169" spans="1:31" ht="12.95" customHeight="1" x14ac:dyDescent="0.35">
      <c r="A169" s="199"/>
      <c r="B169" s="234" t="s">
        <v>82</v>
      </c>
      <c r="C169" s="217" t="s">
        <v>162</v>
      </c>
      <c r="D169" s="111"/>
      <c r="E169" s="217"/>
      <c r="F169" s="217"/>
      <c r="G169" s="217"/>
      <c r="H169" s="107"/>
      <c r="I169" s="108"/>
      <c r="J169" s="109"/>
      <c r="K169" s="110"/>
      <c r="L169" s="111"/>
      <c r="M169" s="111"/>
      <c r="N169" s="111"/>
      <c r="O169" s="134">
        <v>12</v>
      </c>
      <c r="P169" s="111" t="s">
        <v>145</v>
      </c>
      <c r="Q169" s="207"/>
      <c r="R169" s="107">
        <f>O169*300000</f>
        <v>3600000</v>
      </c>
      <c r="S169" s="85">
        <f t="shared" si="146"/>
        <v>0.16077292476764962</v>
      </c>
      <c r="T169" s="99"/>
      <c r="U169" s="87"/>
      <c r="V169" s="87"/>
      <c r="W169" s="87"/>
      <c r="X169" s="87"/>
      <c r="Y169" s="88">
        <v>0</v>
      </c>
      <c r="Z169" s="99">
        <f t="shared" si="147"/>
        <v>0</v>
      </c>
      <c r="AA169" s="100">
        <f t="shared" si="148"/>
        <v>0</v>
      </c>
      <c r="AB169" s="99">
        <f t="shared" si="149"/>
        <v>0</v>
      </c>
      <c r="AC169" s="88"/>
      <c r="AD169" s="88">
        <f t="shared" si="150"/>
        <v>3600000</v>
      </c>
      <c r="AE169" s="114"/>
    </row>
    <row r="170" spans="1:31" ht="12.95" customHeight="1" x14ac:dyDescent="0.35">
      <c r="A170" s="199"/>
      <c r="B170" s="234" t="s">
        <v>82</v>
      </c>
      <c r="C170" s="217" t="s">
        <v>163</v>
      </c>
      <c r="D170" s="111"/>
      <c r="E170" s="217"/>
      <c r="F170" s="217"/>
      <c r="G170" s="217"/>
      <c r="H170" s="107"/>
      <c r="I170" s="108"/>
      <c r="J170" s="109"/>
      <c r="K170" s="110"/>
      <c r="L170" s="111"/>
      <c r="M170" s="111"/>
      <c r="N170" s="111"/>
      <c r="O170" s="134">
        <v>12</v>
      </c>
      <c r="P170" s="111" t="s">
        <v>145</v>
      </c>
      <c r="Q170" s="207"/>
      <c r="R170" s="107">
        <f>O170*250000</f>
        <v>3000000</v>
      </c>
      <c r="S170" s="85">
        <f t="shared" si="146"/>
        <v>0.13397743730637471</v>
      </c>
      <c r="T170" s="99"/>
      <c r="U170" s="87"/>
      <c r="V170" s="87"/>
      <c r="W170" s="87"/>
      <c r="X170" s="87"/>
      <c r="Y170" s="88">
        <v>0</v>
      </c>
      <c r="Z170" s="99">
        <f t="shared" si="147"/>
        <v>0</v>
      </c>
      <c r="AA170" s="100">
        <f t="shared" si="148"/>
        <v>0</v>
      </c>
      <c r="AB170" s="99">
        <f t="shared" si="149"/>
        <v>0</v>
      </c>
      <c r="AC170" s="88"/>
      <c r="AD170" s="88">
        <f t="shared" si="150"/>
        <v>3000000</v>
      </c>
      <c r="AE170" s="114"/>
    </row>
    <row r="171" spans="1:31" ht="12.95" customHeight="1" x14ac:dyDescent="0.35">
      <c r="A171" s="199"/>
      <c r="B171" s="234" t="s">
        <v>82</v>
      </c>
      <c r="C171" s="217" t="s">
        <v>164</v>
      </c>
      <c r="D171" s="111"/>
      <c r="E171" s="217"/>
      <c r="F171" s="217"/>
      <c r="G171" s="217"/>
      <c r="H171" s="107"/>
      <c r="I171" s="108"/>
      <c r="J171" s="109"/>
      <c r="K171" s="110"/>
      <c r="L171" s="111"/>
      <c r="M171" s="111"/>
      <c r="N171" s="111"/>
      <c r="O171" s="134">
        <v>48</v>
      </c>
      <c r="P171" s="111" t="s">
        <v>145</v>
      </c>
      <c r="Q171" s="207"/>
      <c r="R171" s="107">
        <f>O171*200000</f>
        <v>9600000</v>
      </c>
      <c r="S171" s="85">
        <f t="shared" si="146"/>
        <v>0.42872779938039907</v>
      </c>
      <c r="T171" s="99"/>
      <c r="U171" s="87"/>
      <c r="V171" s="87"/>
      <c r="W171" s="87"/>
      <c r="X171" s="87"/>
      <c r="Y171" s="88">
        <v>0</v>
      </c>
      <c r="Z171" s="99">
        <f t="shared" si="147"/>
        <v>0</v>
      </c>
      <c r="AA171" s="100">
        <f t="shared" si="148"/>
        <v>0</v>
      </c>
      <c r="AB171" s="99">
        <f t="shared" si="149"/>
        <v>0</v>
      </c>
      <c r="AC171" s="88"/>
      <c r="AD171" s="88">
        <f t="shared" si="150"/>
        <v>9600000</v>
      </c>
      <c r="AE171" s="114"/>
    </row>
    <row r="172" spans="1:31" ht="12.95" customHeight="1" x14ac:dyDescent="0.35">
      <c r="A172" s="199"/>
      <c r="B172" s="234"/>
      <c r="C172" s="217"/>
      <c r="D172" s="111"/>
      <c r="E172" s="217"/>
      <c r="F172" s="217"/>
      <c r="G172" s="217"/>
      <c r="H172" s="107"/>
      <c r="I172" s="108"/>
      <c r="J172" s="109"/>
      <c r="K172" s="110"/>
      <c r="L172" s="111"/>
      <c r="M172" s="111"/>
      <c r="N172" s="111"/>
      <c r="O172" s="134"/>
      <c r="P172" s="111"/>
      <c r="Q172" s="207"/>
      <c r="R172" s="107"/>
      <c r="S172" s="113"/>
      <c r="T172" s="195"/>
      <c r="U172" s="196"/>
      <c r="V172" s="196"/>
      <c r="W172" s="196"/>
      <c r="X172" s="196"/>
      <c r="Y172" s="116"/>
      <c r="Z172" s="195"/>
      <c r="AA172" s="100"/>
      <c r="AB172" s="197"/>
      <c r="AC172" s="116"/>
      <c r="AD172" s="116"/>
      <c r="AE172" s="114"/>
    </row>
    <row r="173" spans="1:31" ht="12.95" customHeight="1" x14ac:dyDescent="0.35">
      <c r="A173" s="219">
        <v>521219</v>
      </c>
      <c r="B173" s="211" t="s">
        <v>165</v>
      </c>
      <c r="C173" s="105"/>
      <c r="D173" s="105"/>
      <c r="E173" s="105"/>
      <c r="F173" s="105"/>
      <c r="G173" s="106"/>
      <c r="H173" s="188"/>
      <c r="I173" s="171"/>
      <c r="J173" s="170"/>
      <c r="K173" s="189"/>
      <c r="L173" s="105"/>
      <c r="M173" s="105"/>
      <c r="N173" s="105"/>
      <c r="O173" s="112"/>
      <c r="P173" s="105"/>
      <c r="Q173" s="212"/>
      <c r="R173" s="188"/>
      <c r="S173" s="113"/>
      <c r="T173" s="190"/>
      <c r="U173" s="191"/>
      <c r="V173" s="191"/>
      <c r="W173" s="191"/>
      <c r="X173" s="191"/>
      <c r="Y173" s="192"/>
      <c r="Z173" s="190"/>
      <c r="AA173" s="100"/>
      <c r="AB173" s="193"/>
      <c r="AC173" s="192"/>
      <c r="AD173" s="192"/>
      <c r="AE173" s="179"/>
    </row>
    <row r="174" spans="1:31" ht="12.95" customHeight="1" x14ac:dyDescent="0.35">
      <c r="A174" s="199"/>
      <c r="B174" s="299" t="s">
        <v>82</v>
      </c>
      <c r="C174" s="300" t="s">
        <v>166</v>
      </c>
      <c r="D174" s="81"/>
      <c r="E174" s="81"/>
      <c r="F174" s="81"/>
      <c r="G174" s="289"/>
      <c r="H174" s="77"/>
      <c r="I174" s="78"/>
      <c r="J174" s="79"/>
      <c r="K174" s="80"/>
      <c r="L174" s="81"/>
      <c r="M174" s="81"/>
      <c r="N174" s="81"/>
      <c r="O174" s="185">
        <v>1</v>
      </c>
      <c r="P174" s="81" t="s">
        <v>83</v>
      </c>
      <c r="Q174" s="144"/>
      <c r="R174" s="77">
        <f>O174*4500000</f>
        <v>4500000</v>
      </c>
      <c r="S174" s="85">
        <f t="shared" ref="S174:S175" si="151">+R174/$R$184*100</f>
        <v>0.20096615595956205</v>
      </c>
      <c r="T174" s="99"/>
      <c r="U174" s="87"/>
      <c r="V174" s="87"/>
      <c r="W174" s="87"/>
      <c r="X174" s="87"/>
      <c r="Y174" s="88">
        <v>0</v>
      </c>
      <c r="Z174" s="99">
        <f t="shared" ref="Z174:Z175" si="152">+Y174/R174*100</f>
        <v>0</v>
      </c>
      <c r="AA174" s="100">
        <f t="shared" ref="AA174:AA175" si="153">Z174</f>
        <v>0</v>
      </c>
      <c r="AB174" s="99">
        <f t="shared" ref="AB174:AB175" si="154">AA174*S174/100</f>
        <v>0</v>
      </c>
      <c r="AC174" s="88"/>
      <c r="AD174" s="88">
        <f t="shared" ref="AD174:AD175" si="155">+R174-Y174</f>
        <v>4500000</v>
      </c>
      <c r="AE174" s="86"/>
    </row>
    <row r="175" spans="1:31" ht="12.95" customHeight="1" x14ac:dyDescent="0.35">
      <c r="A175" s="199"/>
      <c r="B175" s="235" t="s">
        <v>82</v>
      </c>
      <c r="C175" s="216" t="s">
        <v>167</v>
      </c>
      <c r="D175" s="111"/>
      <c r="E175" s="111"/>
      <c r="F175" s="111"/>
      <c r="G175" s="137"/>
      <c r="H175" s="107"/>
      <c r="I175" s="108"/>
      <c r="J175" s="109"/>
      <c r="K175" s="110"/>
      <c r="L175" s="111"/>
      <c r="M175" s="111"/>
      <c r="N175" s="111"/>
      <c r="O175" s="134">
        <v>2</v>
      </c>
      <c r="P175" s="111" t="s">
        <v>147</v>
      </c>
      <c r="Q175" s="207"/>
      <c r="R175" s="107">
        <f>O175*3000000</f>
        <v>6000000</v>
      </c>
      <c r="S175" s="85">
        <f t="shared" si="151"/>
        <v>0.26795487461274942</v>
      </c>
      <c r="T175" s="99"/>
      <c r="U175" s="87"/>
      <c r="V175" s="87"/>
      <c r="W175" s="87"/>
      <c r="X175" s="87"/>
      <c r="Y175" s="88">
        <v>0</v>
      </c>
      <c r="Z175" s="99">
        <f t="shared" si="152"/>
        <v>0</v>
      </c>
      <c r="AA175" s="100">
        <f t="shared" si="153"/>
        <v>0</v>
      </c>
      <c r="AB175" s="99">
        <f t="shared" si="154"/>
        <v>0</v>
      </c>
      <c r="AC175" s="88"/>
      <c r="AD175" s="88">
        <f t="shared" si="155"/>
        <v>6000000</v>
      </c>
      <c r="AE175" s="114"/>
    </row>
    <row r="176" spans="1:31" ht="12.95" customHeight="1" x14ac:dyDescent="0.35">
      <c r="A176" s="199"/>
      <c r="B176" s="235"/>
      <c r="C176" s="216"/>
      <c r="D176" s="111"/>
      <c r="E176" s="111"/>
      <c r="F176" s="111"/>
      <c r="G176" s="137"/>
      <c r="H176" s="107"/>
      <c r="I176" s="108"/>
      <c r="J176" s="109"/>
      <c r="K176" s="110"/>
      <c r="L176" s="111"/>
      <c r="M176" s="111"/>
      <c r="N176" s="111"/>
      <c r="O176" s="134"/>
      <c r="P176" s="111"/>
      <c r="Q176" s="207"/>
      <c r="R176" s="107"/>
      <c r="S176" s="113"/>
      <c r="T176" s="195"/>
      <c r="U176" s="196"/>
      <c r="V176" s="196"/>
      <c r="W176" s="196"/>
      <c r="X176" s="196"/>
      <c r="Y176" s="116"/>
      <c r="Z176" s="195"/>
      <c r="AA176" s="100"/>
      <c r="AB176" s="197"/>
      <c r="AC176" s="116"/>
      <c r="AD176" s="116"/>
      <c r="AE176" s="114"/>
    </row>
    <row r="177" spans="1:32" ht="12.95" customHeight="1" x14ac:dyDescent="0.35">
      <c r="A177" s="219">
        <v>522141</v>
      </c>
      <c r="B177" s="513" t="s">
        <v>168</v>
      </c>
      <c r="C177" s="514"/>
      <c r="D177" s="514"/>
      <c r="E177" s="514"/>
      <c r="F177" s="514"/>
      <c r="G177" s="515"/>
      <c r="H177" s="107"/>
      <c r="I177" s="108"/>
      <c r="J177" s="109"/>
      <c r="K177" s="110"/>
      <c r="L177" s="111"/>
      <c r="M177" s="111"/>
      <c r="N177" s="111"/>
      <c r="O177" s="134"/>
      <c r="P177" s="111"/>
      <c r="Q177" s="207"/>
      <c r="R177" s="107"/>
      <c r="S177" s="113"/>
      <c r="T177" s="195"/>
      <c r="U177" s="196"/>
      <c r="V177" s="196"/>
      <c r="W177" s="196"/>
      <c r="X177" s="196"/>
      <c r="Y177" s="116"/>
      <c r="Z177" s="195"/>
      <c r="AA177" s="100"/>
      <c r="AB177" s="197"/>
      <c r="AC177" s="116"/>
      <c r="AD177" s="116"/>
      <c r="AE177" s="114"/>
    </row>
    <row r="178" spans="1:32" ht="12.95" customHeight="1" x14ac:dyDescent="0.35">
      <c r="A178" s="199"/>
      <c r="B178" s="235" t="s">
        <v>82</v>
      </c>
      <c r="C178" s="216" t="s">
        <v>169</v>
      </c>
      <c r="D178" s="111"/>
      <c r="E178" s="111"/>
      <c r="F178" s="111"/>
      <c r="G178" s="137"/>
      <c r="H178" s="107"/>
      <c r="I178" s="108"/>
      <c r="J178" s="109"/>
      <c r="K178" s="110"/>
      <c r="L178" s="111"/>
      <c r="M178" s="111"/>
      <c r="N178" s="111"/>
      <c r="O178" s="134">
        <v>1</v>
      </c>
      <c r="P178" s="111" t="s">
        <v>83</v>
      </c>
      <c r="Q178" s="207"/>
      <c r="R178" s="107">
        <f>O178*4000000</f>
        <v>4000000</v>
      </c>
      <c r="S178" s="85">
        <f t="shared" ref="S178" si="156">+R178/$R$184*100</f>
        <v>0.17863658307516625</v>
      </c>
      <c r="T178" s="99"/>
      <c r="U178" s="87"/>
      <c r="V178" s="87"/>
      <c r="W178" s="87"/>
      <c r="X178" s="87"/>
      <c r="Y178" s="88">
        <v>0</v>
      </c>
      <c r="Z178" s="99">
        <f t="shared" ref="Z178" si="157">+Y178/R178*100</f>
        <v>0</v>
      </c>
      <c r="AA178" s="100">
        <f t="shared" ref="AA178" si="158">Z178</f>
        <v>0</v>
      </c>
      <c r="AB178" s="99">
        <f t="shared" ref="AB178" si="159">AA178*S178/100</f>
        <v>0</v>
      </c>
      <c r="AC178" s="88"/>
      <c r="AD178" s="88">
        <f t="shared" ref="AD178" si="160">+R178-Y178</f>
        <v>4000000</v>
      </c>
      <c r="AE178" s="86"/>
    </row>
    <row r="179" spans="1:32" ht="12.95" customHeight="1" x14ac:dyDescent="0.35">
      <c r="A179" s="199"/>
      <c r="B179" s="235"/>
      <c r="C179" s="216"/>
      <c r="D179" s="111"/>
      <c r="E179" s="111"/>
      <c r="F179" s="111"/>
      <c r="G179" s="137"/>
      <c r="H179" s="107"/>
      <c r="I179" s="108"/>
      <c r="J179" s="109"/>
      <c r="K179" s="110"/>
      <c r="L179" s="111"/>
      <c r="M179" s="111"/>
      <c r="N179" s="111"/>
      <c r="O179" s="134"/>
      <c r="P179" s="111"/>
      <c r="Q179" s="207"/>
      <c r="R179" s="107"/>
      <c r="S179" s="113"/>
      <c r="T179" s="195"/>
      <c r="U179" s="196"/>
      <c r="V179" s="196"/>
      <c r="W179" s="196"/>
      <c r="X179" s="196"/>
      <c r="Y179" s="116"/>
      <c r="Z179" s="195"/>
      <c r="AA179" s="100"/>
      <c r="AB179" s="197"/>
      <c r="AC179" s="116"/>
      <c r="AD179" s="116"/>
      <c r="AE179" s="114"/>
    </row>
    <row r="180" spans="1:32" ht="12.95" customHeight="1" x14ac:dyDescent="0.35">
      <c r="A180" s="199">
        <v>524111</v>
      </c>
      <c r="B180" s="301" t="s">
        <v>85</v>
      </c>
      <c r="C180" s="216"/>
      <c r="D180" s="111"/>
      <c r="E180" s="111"/>
      <c r="F180" s="111"/>
      <c r="G180" s="137"/>
      <c r="H180" s="107"/>
      <c r="I180" s="108"/>
      <c r="J180" s="109"/>
      <c r="K180" s="110"/>
      <c r="L180" s="111"/>
      <c r="M180" s="111"/>
      <c r="N180" s="111"/>
      <c r="O180" s="134"/>
      <c r="P180" s="111"/>
      <c r="Q180" s="207"/>
      <c r="R180" s="107"/>
      <c r="S180" s="113"/>
      <c r="T180" s="195"/>
      <c r="U180" s="196"/>
      <c r="V180" s="196"/>
      <c r="W180" s="196"/>
      <c r="X180" s="196"/>
      <c r="Y180" s="116"/>
      <c r="Z180" s="195"/>
      <c r="AA180" s="100"/>
      <c r="AB180" s="197"/>
      <c r="AC180" s="116"/>
      <c r="AD180" s="116"/>
      <c r="AE180" s="114"/>
    </row>
    <row r="181" spans="1:32" ht="12.95" customHeight="1" x14ac:dyDescent="0.35">
      <c r="A181" s="199"/>
      <c r="B181" s="230" t="s">
        <v>82</v>
      </c>
      <c r="C181" s="217" t="s">
        <v>102</v>
      </c>
      <c r="D181" s="217"/>
      <c r="E181" s="217"/>
      <c r="F181" s="217"/>
      <c r="G181" s="218"/>
      <c r="H181" s="107"/>
      <c r="I181" s="108"/>
      <c r="J181" s="109"/>
      <c r="K181" s="110"/>
      <c r="L181" s="111"/>
      <c r="M181" s="111"/>
      <c r="N181" s="111"/>
      <c r="O181" s="134">
        <v>1</v>
      </c>
      <c r="P181" s="111" t="s">
        <v>83</v>
      </c>
      <c r="Q181" s="207"/>
      <c r="R181" s="107">
        <f>O181*40500000</f>
        <v>40500000</v>
      </c>
      <c r="S181" s="85">
        <f t="shared" ref="S181" si="161">+R181/$R$184*100</f>
        <v>1.8086954036360583</v>
      </c>
      <c r="T181" s="99"/>
      <c r="U181" s="87"/>
      <c r="V181" s="87"/>
      <c r="W181" s="87"/>
      <c r="X181" s="87"/>
      <c r="Y181" s="88">
        <f>480000+240000+120000+4605000</f>
        <v>5445000</v>
      </c>
      <c r="Z181" s="99">
        <f t="shared" ref="Z181" si="162">+Y181/R181*100</f>
        <v>13.444444444444445</v>
      </c>
      <c r="AA181" s="100">
        <f t="shared" ref="AA181" si="163">Z181</f>
        <v>13.444444444444445</v>
      </c>
      <c r="AB181" s="99">
        <f t="shared" ref="AB181" si="164">AA181*S181/100</f>
        <v>0.24316904871107006</v>
      </c>
      <c r="AC181" s="88"/>
      <c r="AD181" s="88">
        <f t="shared" ref="AD181" si="165">+R181-Y181</f>
        <v>35055000</v>
      </c>
      <c r="AE181" s="86"/>
    </row>
    <row r="182" spans="1:32" ht="12.95" customHeight="1" x14ac:dyDescent="0.35">
      <c r="A182" s="302"/>
      <c r="B182" s="303"/>
      <c r="C182" s="304"/>
      <c r="D182" s="278"/>
      <c r="E182" s="278"/>
      <c r="F182" s="278"/>
      <c r="G182" s="101"/>
      <c r="H182" s="173"/>
      <c r="I182" s="290"/>
      <c r="J182" s="291"/>
      <c r="K182" s="292"/>
      <c r="L182" s="278"/>
      <c r="M182" s="278"/>
      <c r="N182" s="278"/>
      <c r="O182" s="293"/>
      <c r="P182" s="278"/>
      <c r="Q182" s="294"/>
      <c r="R182" s="173"/>
      <c r="S182" s="305"/>
      <c r="T182" s="175"/>
      <c r="U182" s="306"/>
      <c r="V182" s="306"/>
      <c r="W182" s="306"/>
      <c r="X182" s="306"/>
      <c r="Y182" s="177"/>
      <c r="Z182" s="175"/>
      <c r="AA182" s="178"/>
      <c r="AB182" s="295"/>
      <c r="AC182" s="177"/>
      <c r="AD182" s="177"/>
      <c r="AE182" s="174"/>
      <c r="AF182" s="90"/>
    </row>
    <row r="183" spans="1:32" ht="12.95" customHeight="1" x14ac:dyDescent="0.35">
      <c r="A183" s="199"/>
      <c r="B183" s="237"/>
      <c r="C183" s="217"/>
      <c r="D183" s="111"/>
      <c r="E183" s="217"/>
      <c r="F183" s="217"/>
      <c r="G183" s="217"/>
      <c r="H183" s="107"/>
      <c r="I183" s="108"/>
      <c r="J183" s="109"/>
      <c r="K183" s="110"/>
      <c r="L183" s="111"/>
      <c r="M183" s="111"/>
      <c r="N183" s="111"/>
      <c r="O183" s="134"/>
      <c r="P183" s="111"/>
      <c r="Q183" s="207"/>
      <c r="R183" s="107"/>
      <c r="S183" s="113"/>
      <c r="T183" s="195"/>
      <c r="U183" s="196"/>
      <c r="V183" s="196"/>
      <c r="W183" s="196"/>
      <c r="X183" s="196"/>
      <c r="Y183" s="116"/>
      <c r="Z183" s="195"/>
      <c r="AA183" s="202"/>
      <c r="AB183" s="197"/>
      <c r="AC183" s="116"/>
      <c r="AD183" s="116"/>
      <c r="AE183" s="114"/>
    </row>
    <row r="184" spans="1:32" s="28" customFormat="1" ht="14.25" customHeight="1" thickBot="1" x14ac:dyDescent="0.4">
      <c r="A184" s="238"/>
      <c r="B184" s="239" t="s">
        <v>171</v>
      </c>
      <c r="C184" s="240"/>
      <c r="D184" s="241"/>
      <c r="E184" s="241"/>
      <c r="F184" s="241"/>
      <c r="G184" s="242"/>
      <c r="H184" s="243"/>
      <c r="I184" s="244"/>
      <c r="J184" s="245"/>
      <c r="K184" s="246"/>
      <c r="L184" s="241"/>
      <c r="M184" s="241"/>
      <c r="N184" s="241"/>
      <c r="O184" s="247"/>
      <c r="P184" s="248"/>
      <c r="Q184" s="249"/>
      <c r="R184" s="250">
        <f>SUM(R17:R183)</f>
        <v>2239183000</v>
      </c>
      <c r="S184" s="251">
        <f>SUM(S26:S183)</f>
        <v>100.00000000000001</v>
      </c>
      <c r="T184" s="251">
        <f>SUM(T66:T183)</f>
        <v>0</v>
      </c>
      <c r="U184" s="252" t="s">
        <v>82</v>
      </c>
      <c r="V184" s="252" t="s">
        <v>82</v>
      </c>
      <c r="W184" s="252" t="s">
        <v>82</v>
      </c>
      <c r="X184" s="252" t="s">
        <v>82</v>
      </c>
      <c r="Y184" s="253">
        <f>SUM(Y17:Y183)</f>
        <v>94557372</v>
      </c>
      <c r="Z184" s="251">
        <f>+Y184/R184*100</f>
        <v>4.2228514596618503</v>
      </c>
      <c r="AA184" s="254">
        <f>SUM(AA17:AA183)</f>
        <v>85.695619969152688</v>
      </c>
      <c r="AB184" s="254">
        <f>SUM(AB17:AB183)</f>
        <v>1.2367068352289969</v>
      </c>
      <c r="AC184" s="253">
        <f>SUM(AC17:AC183)</f>
        <v>0</v>
      </c>
      <c r="AD184" s="253">
        <f>SUM(AD17:AD183)</f>
        <v>2144625628</v>
      </c>
      <c r="AE184" s="255"/>
    </row>
    <row r="185" spans="1:32" ht="12.95" customHeight="1" thickTop="1" x14ac:dyDescent="0.35">
      <c r="A185" s="256"/>
      <c r="B185" s="264"/>
      <c r="C185" s="257"/>
      <c r="D185" s="13"/>
      <c r="E185" s="14"/>
      <c r="F185" s="14"/>
      <c r="G185" s="14"/>
      <c r="H185" s="258"/>
      <c r="I185" s="258"/>
      <c r="J185" s="258"/>
      <c r="K185" s="259"/>
    </row>
    <row r="186" spans="1:32" ht="12.95" customHeight="1" x14ac:dyDescent="0.35">
      <c r="A186" s="261"/>
      <c r="B186" s="262"/>
      <c r="C186" s="262"/>
      <c r="G186" s="516"/>
      <c r="H186" s="516"/>
      <c r="I186" s="516"/>
      <c r="J186" s="516"/>
      <c r="K186" s="516"/>
      <c r="AB186" s="502" t="s">
        <v>263</v>
      </c>
      <c r="AC186" s="502"/>
      <c r="AD186" s="502"/>
      <c r="AE186" s="502"/>
    </row>
    <row r="187" spans="1:32" ht="12.95" customHeight="1" x14ac:dyDescent="0.35">
      <c r="A187" s="261"/>
      <c r="B187" s="262"/>
      <c r="C187" s="262"/>
      <c r="G187" s="265"/>
      <c r="H187" s="266"/>
      <c r="I187" s="266"/>
      <c r="J187" s="266"/>
      <c r="K187" s="266"/>
      <c r="Q187" s="267" t="s">
        <v>172</v>
      </c>
    </row>
    <row r="188" spans="1:32" ht="12.95" customHeight="1" x14ac:dyDescent="0.35">
      <c r="A188" s="261"/>
      <c r="B188" s="262"/>
      <c r="C188" s="268"/>
      <c r="G188" s="265"/>
      <c r="H188" s="265"/>
      <c r="I188" s="265"/>
      <c r="J188" s="265"/>
      <c r="K188" s="265"/>
      <c r="Q188" s="267" t="s">
        <v>173</v>
      </c>
      <c r="AB188" s="502" t="s">
        <v>174</v>
      </c>
      <c r="AC188" s="502"/>
      <c r="AD188" s="502"/>
      <c r="AE188" s="502"/>
    </row>
    <row r="189" spans="1:32" ht="12.95" customHeight="1" x14ac:dyDescent="0.35">
      <c r="A189" s="261"/>
      <c r="B189" s="262"/>
      <c r="C189" s="262"/>
      <c r="G189" s="269"/>
      <c r="H189" s="269"/>
      <c r="I189" s="269"/>
      <c r="J189" s="269"/>
      <c r="K189" s="269"/>
      <c r="Q189" s="270" t="s">
        <v>175</v>
      </c>
    </row>
    <row r="190" spans="1:32" ht="12.95" customHeight="1" x14ac:dyDescent="0.35">
      <c r="A190" s="261"/>
      <c r="B190" s="262"/>
      <c r="C190" s="262"/>
      <c r="G190" s="28"/>
      <c r="H190" s="28"/>
      <c r="I190" s="271"/>
      <c r="J190" s="271"/>
      <c r="K190" s="272"/>
    </row>
    <row r="191" spans="1:32" ht="12.95" customHeight="1" x14ac:dyDescent="0.35">
      <c r="A191" s="273"/>
      <c r="G191" s="28"/>
      <c r="H191" s="28"/>
      <c r="I191" s="271"/>
      <c r="J191" s="271"/>
      <c r="K191" s="272"/>
      <c r="AB191" s="517" t="s">
        <v>176</v>
      </c>
      <c r="AC191" s="517"/>
      <c r="AD191" s="517"/>
      <c r="AE191" s="517"/>
    </row>
    <row r="192" spans="1:32" ht="12.95" customHeight="1" x14ac:dyDescent="0.35">
      <c r="A192" s="273"/>
      <c r="H192" s="13"/>
      <c r="I192" s="13"/>
      <c r="J192" s="272"/>
      <c r="K192" s="274"/>
      <c r="AB192" s="502" t="s">
        <v>177</v>
      </c>
      <c r="AC192" s="502"/>
      <c r="AD192" s="502"/>
      <c r="AE192" s="502"/>
    </row>
    <row r="193" spans="1:17" ht="18" customHeight="1" x14ac:dyDescent="0.35">
      <c r="A193" s="273"/>
      <c r="H193" s="13"/>
      <c r="I193" s="13"/>
      <c r="J193" s="272"/>
      <c r="K193" s="274"/>
      <c r="Q193" s="267" t="s">
        <v>178</v>
      </c>
    </row>
    <row r="194" spans="1:17" ht="18" customHeight="1" x14ac:dyDescent="0.35">
      <c r="A194" s="273"/>
      <c r="H194" s="268"/>
      <c r="I194" s="268"/>
      <c r="J194" s="268"/>
      <c r="K194" s="268"/>
    </row>
  </sheetData>
  <mergeCells count="34">
    <mergeCell ref="A1:S1"/>
    <mergeCell ref="A2:AE2"/>
    <mergeCell ref="A3:AE3"/>
    <mergeCell ref="F7:G7"/>
    <mergeCell ref="W11:X12"/>
    <mergeCell ref="Y11:Z11"/>
    <mergeCell ref="AA11:AB11"/>
    <mergeCell ref="AC11:AD12"/>
    <mergeCell ref="AE11:AE15"/>
    <mergeCell ref="A12:A15"/>
    <mergeCell ref="B12:G15"/>
    <mergeCell ref="H12:K12"/>
    <mergeCell ref="O12:P15"/>
    <mergeCell ref="Q12:Q15"/>
    <mergeCell ref="R12:R15"/>
    <mergeCell ref="T12:U12"/>
    <mergeCell ref="Y12:Z12"/>
    <mergeCell ref="AA12:AB12"/>
    <mergeCell ref="H13:I15"/>
    <mergeCell ref="J13:J15"/>
    <mergeCell ref="K13:K15"/>
    <mergeCell ref="S12:S15"/>
    <mergeCell ref="AB192:AE192"/>
    <mergeCell ref="B16:G16"/>
    <mergeCell ref="H16:I16"/>
    <mergeCell ref="O16:P16"/>
    <mergeCell ref="D68:G68"/>
    <mergeCell ref="B139:G139"/>
    <mergeCell ref="C167:G167"/>
    <mergeCell ref="B177:G177"/>
    <mergeCell ref="G186:K186"/>
    <mergeCell ref="AB186:AE186"/>
    <mergeCell ref="AB188:AE188"/>
    <mergeCell ref="AB191:AE191"/>
  </mergeCells>
  <printOptions horizontalCentered="1"/>
  <pageMargins left="0.25" right="0.25" top="0.5" bottom="0.5" header="0.511811023622047" footer="0.511811023622047"/>
  <pageSetup paperSize="5" scale="75" orientation="landscape" horizontalDpi="4294967294" r:id="rId1"/>
  <headerFooter alignWithMargins="0"/>
  <rowBreaks count="1" manualBreakCount="1">
    <brk id="92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3"/>
  </sheetPr>
  <dimension ref="A1:AO194"/>
  <sheetViews>
    <sheetView view="pageBreakPreview" zoomScale="91" zoomScaleSheetLayoutView="91" workbookViewId="0">
      <selection activeCell="Y158" sqref="Y158"/>
    </sheetView>
  </sheetViews>
  <sheetFormatPr defaultRowHeight="18" customHeight="1" x14ac:dyDescent="0.35"/>
  <cols>
    <col min="1" max="1" width="12.28515625" style="275" customWidth="1"/>
    <col min="2" max="2" width="2.42578125" style="263" customWidth="1"/>
    <col min="3" max="3" width="3.42578125" style="263" customWidth="1"/>
    <col min="4" max="4" width="13.28515625" style="263" customWidth="1"/>
    <col min="5" max="5" width="3.140625" style="263" customWidth="1"/>
    <col min="6" max="6" width="5.140625" style="263" customWidth="1"/>
    <col min="7" max="7" width="16.42578125" style="13" customWidth="1"/>
    <col min="8" max="8" width="6.85546875" style="263" hidden="1" customWidth="1"/>
    <col min="9" max="9" width="5.28515625" style="263" hidden="1" customWidth="1"/>
    <col min="10" max="10" width="16.140625" style="276" hidden="1" customWidth="1"/>
    <col min="11" max="11" width="22.42578125" style="277" hidden="1" customWidth="1"/>
    <col min="12" max="14" width="9.140625" style="13" hidden="1" customWidth="1"/>
    <col min="15" max="15" width="4.140625" style="13" customWidth="1"/>
    <col min="16" max="16" width="5.7109375" style="13" customWidth="1"/>
    <col min="17" max="17" width="16.140625" style="13" hidden="1" customWidth="1"/>
    <col min="18" max="18" width="15.7109375" style="13" customWidth="1"/>
    <col min="19" max="19" width="7.7109375" style="260" customWidth="1"/>
    <col min="20" max="20" width="9.140625" style="13"/>
    <col min="21" max="21" width="10.85546875" style="13" customWidth="1"/>
    <col min="22" max="22" width="9.7109375" style="13" customWidth="1"/>
    <col min="23" max="23" width="8.85546875" style="13" customWidth="1"/>
    <col min="24" max="24" width="10.7109375" style="13" customWidth="1"/>
    <col min="25" max="25" width="16" style="13" customWidth="1"/>
    <col min="26" max="26" width="8.7109375" style="13" customWidth="1"/>
    <col min="27" max="27" width="6.5703125" style="13" bestFit="1" customWidth="1"/>
    <col min="28" max="28" width="8.7109375" style="13" customWidth="1"/>
    <col min="29" max="29" width="16" style="13" customWidth="1"/>
    <col min="30" max="30" width="16.140625" style="13" bestFit="1" customWidth="1"/>
    <col min="31" max="31" width="9.42578125" style="13" customWidth="1"/>
    <col min="32" max="256" width="9.140625" style="13"/>
    <col min="257" max="257" width="12.28515625" style="13" customWidth="1"/>
    <col min="258" max="258" width="2.42578125" style="13" customWidth="1"/>
    <col min="259" max="259" width="3.42578125" style="13" customWidth="1"/>
    <col min="260" max="260" width="13.28515625" style="13" customWidth="1"/>
    <col min="261" max="261" width="3.140625" style="13" customWidth="1"/>
    <col min="262" max="262" width="5.140625" style="13" customWidth="1"/>
    <col min="263" max="263" width="16.42578125" style="13" customWidth="1"/>
    <col min="264" max="270" width="0" style="13" hidden="1" customWidth="1"/>
    <col min="271" max="271" width="4.140625" style="13" customWidth="1"/>
    <col min="272" max="272" width="5.7109375" style="13" customWidth="1"/>
    <col min="273" max="273" width="0" style="13" hidden="1" customWidth="1"/>
    <col min="274" max="274" width="15.7109375" style="13" customWidth="1"/>
    <col min="275" max="275" width="7.7109375" style="13" customWidth="1"/>
    <col min="276" max="276" width="9.140625" style="13"/>
    <col min="277" max="277" width="10.85546875" style="13" customWidth="1"/>
    <col min="278" max="278" width="9.7109375" style="13" customWidth="1"/>
    <col min="279" max="279" width="8.85546875" style="13" customWidth="1"/>
    <col min="280" max="280" width="10.7109375" style="13" customWidth="1"/>
    <col min="281" max="281" width="16" style="13" customWidth="1"/>
    <col min="282" max="282" width="8.7109375" style="13" customWidth="1"/>
    <col min="283" max="283" width="6.5703125" style="13" bestFit="1" customWidth="1"/>
    <col min="284" max="284" width="8.7109375" style="13" customWidth="1"/>
    <col min="285" max="285" width="16" style="13" customWidth="1"/>
    <col min="286" max="286" width="15" style="13" customWidth="1"/>
    <col min="287" max="287" width="9.42578125" style="13" customWidth="1"/>
    <col min="288" max="512" width="9.140625" style="13"/>
    <col min="513" max="513" width="12.28515625" style="13" customWidth="1"/>
    <col min="514" max="514" width="2.42578125" style="13" customWidth="1"/>
    <col min="515" max="515" width="3.42578125" style="13" customWidth="1"/>
    <col min="516" max="516" width="13.28515625" style="13" customWidth="1"/>
    <col min="517" max="517" width="3.140625" style="13" customWidth="1"/>
    <col min="518" max="518" width="5.140625" style="13" customWidth="1"/>
    <col min="519" max="519" width="16.42578125" style="13" customWidth="1"/>
    <col min="520" max="526" width="0" style="13" hidden="1" customWidth="1"/>
    <col min="527" max="527" width="4.140625" style="13" customWidth="1"/>
    <col min="528" max="528" width="5.7109375" style="13" customWidth="1"/>
    <col min="529" max="529" width="0" style="13" hidden="1" customWidth="1"/>
    <col min="530" max="530" width="15.7109375" style="13" customWidth="1"/>
    <col min="531" max="531" width="7.7109375" style="13" customWidth="1"/>
    <col min="532" max="532" width="9.140625" style="13"/>
    <col min="533" max="533" width="10.85546875" style="13" customWidth="1"/>
    <col min="534" max="534" width="9.7109375" style="13" customWidth="1"/>
    <col min="535" max="535" width="8.85546875" style="13" customWidth="1"/>
    <col min="536" max="536" width="10.7109375" style="13" customWidth="1"/>
    <col min="537" max="537" width="16" style="13" customWidth="1"/>
    <col min="538" max="538" width="8.7109375" style="13" customWidth="1"/>
    <col min="539" max="539" width="6.5703125" style="13" bestFit="1" customWidth="1"/>
    <col min="540" max="540" width="8.7109375" style="13" customWidth="1"/>
    <col min="541" max="541" width="16" style="13" customWidth="1"/>
    <col min="542" max="542" width="15" style="13" customWidth="1"/>
    <col min="543" max="543" width="9.42578125" style="13" customWidth="1"/>
    <col min="544" max="768" width="9.140625" style="13"/>
    <col min="769" max="769" width="12.28515625" style="13" customWidth="1"/>
    <col min="770" max="770" width="2.42578125" style="13" customWidth="1"/>
    <col min="771" max="771" width="3.42578125" style="13" customWidth="1"/>
    <col min="772" max="772" width="13.28515625" style="13" customWidth="1"/>
    <col min="773" max="773" width="3.140625" style="13" customWidth="1"/>
    <col min="774" max="774" width="5.140625" style="13" customWidth="1"/>
    <col min="775" max="775" width="16.42578125" style="13" customWidth="1"/>
    <col min="776" max="782" width="0" style="13" hidden="1" customWidth="1"/>
    <col min="783" max="783" width="4.140625" style="13" customWidth="1"/>
    <col min="784" max="784" width="5.7109375" style="13" customWidth="1"/>
    <col min="785" max="785" width="0" style="13" hidden="1" customWidth="1"/>
    <col min="786" max="786" width="15.7109375" style="13" customWidth="1"/>
    <col min="787" max="787" width="7.7109375" style="13" customWidth="1"/>
    <col min="788" max="788" width="9.140625" style="13"/>
    <col min="789" max="789" width="10.85546875" style="13" customWidth="1"/>
    <col min="790" max="790" width="9.7109375" style="13" customWidth="1"/>
    <col min="791" max="791" width="8.85546875" style="13" customWidth="1"/>
    <col min="792" max="792" width="10.7109375" style="13" customWidth="1"/>
    <col min="793" max="793" width="16" style="13" customWidth="1"/>
    <col min="794" max="794" width="8.7109375" style="13" customWidth="1"/>
    <col min="795" max="795" width="6.5703125" style="13" bestFit="1" customWidth="1"/>
    <col min="796" max="796" width="8.7109375" style="13" customWidth="1"/>
    <col min="797" max="797" width="16" style="13" customWidth="1"/>
    <col min="798" max="798" width="15" style="13" customWidth="1"/>
    <col min="799" max="799" width="9.42578125" style="13" customWidth="1"/>
    <col min="800" max="1024" width="9.140625" style="13"/>
    <col min="1025" max="1025" width="12.28515625" style="13" customWidth="1"/>
    <col min="1026" max="1026" width="2.42578125" style="13" customWidth="1"/>
    <col min="1027" max="1027" width="3.42578125" style="13" customWidth="1"/>
    <col min="1028" max="1028" width="13.28515625" style="13" customWidth="1"/>
    <col min="1029" max="1029" width="3.140625" style="13" customWidth="1"/>
    <col min="1030" max="1030" width="5.140625" style="13" customWidth="1"/>
    <col min="1031" max="1031" width="16.42578125" style="13" customWidth="1"/>
    <col min="1032" max="1038" width="0" style="13" hidden="1" customWidth="1"/>
    <col min="1039" max="1039" width="4.140625" style="13" customWidth="1"/>
    <col min="1040" max="1040" width="5.7109375" style="13" customWidth="1"/>
    <col min="1041" max="1041" width="0" style="13" hidden="1" customWidth="1"/>
    <col min="1042" max="1042" width="15.7109375" style="13" customWidth="1"/>
    <col min="1043" max="1043" width="7.7109375" style="13" customWidth="1"/>
    <col min="1044" max="1044" width="9.140625" style="13"/>
    <col min="1045" max="1045" width="10.85546875" style="13" customWidth="1"/>
    <col min="1046" max="1046" width="9.7109375" style="13" customWidth="1"/>
    <col min="1047" max="1047" width="8.85546875" style="13" customWidth="1"/>
    <col min="1048" max="1048" width="10.7109375" style="13" customWidth="1"/>
    <col min="1049" max="1049" width="16" style="13" customWidth="1"/>
    <col min="1050" max="1050" width="8.7109375" style="13" customWidth="1"/>
    <col min="1051" max="1051" width="6.5703125" style="13" bestFit="1" customWidth="1"/>
    <col min="1052" max="1052" width="8.7109375" style="13" customWidth="1"/>
    <col min="1053" max="1053" width="16" style="13" customWidth="1"/>
    <col min="1054" max="1054" width="15" style="13" customWidth="1"/>
    <col min="1055" max="1055" width="9.42578125" style="13" customWidth="1"/>
    <col min="1056" max="1280" width="9.140625" style="13"/>
    <col min="1281" max="1281" width="12.28515625" style="13" customWidth="1"/>
    <col min="1282" max="1282" width="2.42578125" style="13" customWidth="1"/>
    <col min="1283" max="1283" width="3.42578125" style="13" customWidth="1"/>
    <col min="1284" max="1284" width="13.28515625" style="13" customWidth="1"/>
    <col min="1285" max="1285" width="3.140625" style="13" customWidth="1"/>
    <col min="1286" max="1286" width="5.140625" style="13" customWidth="1"/>
    <col min="1287" max="1287" width="16.42578125" style="13" customWidth="1"/>
    <col min="1288" max="1294" width="0" style="13" hidden="1" customWidth="1"/>
    <col min="1295" max="1295" width="4.140625" style="13" customWidth="1"/>
    <col min="1296" max="1296" width="5.7109375" style="13" customWidth="1"/>
    <col min="1297" max="1297" width="0" style="13" hidden="1" customWidth="1"/>
    <col min="1298" max="1298" width="15.7109375" style="13" customWidth="1"/>
    <col min="1299" max="1299" width="7.7109375" style="13" customWidth="1"/>
    <col min="1300" max="1300" width="9.140625" style="13"/>
    <col min="1301" max="1301" width="10.85546875" style="13" customWidth="1"/>
    <col min="1302" max="1302" width="9.7109375" style="13" customWidth="1"/>
    <col min="1303" max="1303" width="8.85546875" style="13" customWidth="1"/>
    <col min="1304" max="1304" width="10.7109375" style="13" customWidth="1"/>
    <col min="1305" max="1305" width="16" style="13" customWidth="1"/>
    <col min="1306" max="1306" width="8.7109375" style="13" customWidth="1"/>
    <col min="1307" max="1307" width="6.5703125" style="13" bestFit="1" customWidth="1"/>
    <col min="1308" max="1308" width="8.7109375" style="13" customWidth="1"/>
    <col min="1309" max="1309" width="16" style="13" customWidth="1"/>
    <col min="1310" max="1310" width="15" style="13" customWidth="1"/>
    <col min="1311" max="1311" width="9.42578125" style="13" customWidth="1"/>
    <col min="1312" max="1536" width="9.140625" style="13"/>
    <col min="1537" max="1537" width="12.28515625" style="13" customWidth="1"/>
    <col min="1538" max="1538" width="2.42578125" style="13" customWidth="1"/>
    <col min="1539" max="1539" width="3.42578125" style="13" customWidth="1"/>
    <col min="1540" max="1540" width="13.28515625" style="13" customWidth="1"/>
    <col min="1541" max="1541" width="3.140625" style="13" customWidth="1"/>
    <col min="1542" max="1542" width="5.140625" style="13" customWidth="1"/>
    <col min="1543" max="1543" width="16.42578125" style="13" customWidth="1"/>
    <col min="1544" max="1550" width="0" style="13" hidden="1" customWidth="1"/>
    <col min="1551" max="1551" width="4.140625" style="13" customWidth="1"/>
    <col min="1552" max="1552" width="5.7109375" style="13" customWidth="1"/>
    <col min="1553" max="1553" width="0" style="13" hidden="1" customWidth="1"/>
    <col min="1554" max="1554" width="15.7109375" style="13" customWidth="1"/>
    <col min="1555" max="1555" width="7.7109375" style="13" customWidth="1"/>
    <col min="1556" max="1556" width="9.140625" style="13"/>
    <col min="1557" max="1557" width="10.85546875" style="13" customWidth="1"/>
    <col min="1558" max="1558" width="9.7109375" style="13" customWidth="1"/>
    <col min="1559" max="1559" width="8.85546875" style="13" customWidth="1"/>
    <col min="1560" max="1560" width="10.7109375" style="13" customWidth="1"/>
    <col min="1561" max="1561" width="16" style="13" customWidth="1"/>
    <col min="1562" max="1562" width="8.7109375" style="13" customWidth="1"/>
    <col min="1563" max="1563" width="6.5703125" style="13" bestFit="1" customWidth="1"/>
    <col min="1564" max="1564" width="8.7109375" style="13" customWidth="1"/>
    <col min="1565" max="1565" width="16" style="13" customWidth="1"/>
    <col min="1566" max="1566" width="15" style="13" customWidth="1"/>
    <col min="1567" max="1567" width="9.42578125" style="13" customWidth="1"/>
    <col min="1568" max="1792" width="9.140625" style="13"/>
    <col min="1793" max="1793" width="12.28515625" style="13" customWidth="1"/>
    <col min="1794" max="1794" width="2.42578125" style="13" customWidth="1"/>
    <col min="1795" max="1795" width="3.42578125" style="13" customWidth="1"/>
    <col min="1796" max="1796" width="13.28515625" style="13" customWidth="1"/>
    <col min="1797" max="1797" width="3.140625" style="13" customWidth="1"/>
    <col min="1798" max="1798" width="5.140625" style="13" customWidth="1"/>
    <col min="1799" max="1799" width="16.42578125" style="13" customWidth="1"/>
    <col min="1800" max="1806" width="0" style="13" hidden="1" customWidth="1"/>
    <col min="1807" max="1807" width="4.140625" style="13" customWidth="1"/>
    <col min="1808" max="1808" width="5.7109375" style="13" customWidth="1"/>
    <col min="1809" max="1809" width="0" style="13" hidden="1" customWidth="1"/>
    <col min="1810" max="1810" width="15.7109375" style="13" customWidth="1"/>
    <col min="1811" max="1811" width="7.7109375" style="13" customWidth="1"/>
    <col min="1812" max="1812" width="9.140625" style="13"/>
    <col min="1813" max="1813" width="10.85546875" style="13" customWidth="1"/>
    <col min="1814" max="1814" width="9.7109375" style="13" customWidth="1"/>
    <col min="1815" max="1815" width="8.85546875" style="13" customWidth="1"/>
    <col min="1816" max="1816" width="10.7109375" style="13" customWidth="1"/>
    <col min="1817" max="1817" width="16" style="13" customWidth="1"/>
    <col min="1818" max="1818" width="8.7109375" style="13" customWidth="1"/>
    <col min="1819" max="1819" width="6.5703125" style="13" bestFit="1" customWidth="1"/>
    <col min="1820" max="1820" width="8.7109375" style="13" customWidth="1"/>
    <col min="1821" max="1821" width="16" style="13" customWidth="1"/>
    <col min="1822" max="1822" width="15" style="13" customWidth="1"/>
    <col min="1823" max="1823" width="9.42578125" style="13" customWidth="1"/>
    <col min="1824" max="2048" width="9.140625" style="13"/>
    <col min="2049" max="2049" width="12.28515625" style="13" customWidth="1"/>
    <col min="2050" max="2050" width="2.42578125" style="13" customWidth="1"/>
    <col min="2051" max="2051" width="3.42578125" style="13" customWidth="1"/>
    <col min="2052" max="2052" width="13.28515625" style="13" customWidth="1"/>
    <col min="2053" max="2053" width="3.140625" style="13" customWidth="1"/>
    <col min="2054" max="2054" width="5.140625" style="13" customWidth="1"/>
    <col min="2055" max="2055" width="16.42578125" style="13" customWidth="1"/>
    <col min="2056" max="2062" width="0" style="13" hidden="1" customWidth="1"/>
    <col min="2063" max="2063" width="4.140625" style="13" customWidth="1"/>
    <col min="2064" max="2064" width="5.7109375" style="13" customWidth="1"/>
    <col min="2065" max="2065" width="0" style="13" hidden="1" customWidth="1"/>
    <col min="2066" max="2066" width="15.7109375" style="13" customWidth="1"/>
    <col min="2067" max="2067" width="7.7109375" style="13" customWidth="1"/>
    <col min="2068" max="2068" width="9.140625" style="13"/>
    <col min="2069" max="2069" width="10.85546875" style="13" customWidth="1"/>
    <col min="2070" max="2070" width="9.7109375" style="13" customWidth="1"/>
    <col min="2071" max="2071" width="8.85546875" style="13" customWidth="1"/>
    <col min="2072" max="2072" width="10.7109375" style="13" customWidth="1"/>
    <col min="2073" max="2073" width="16" style="13" customWidth="1"/>
    <col min="2074" max="2074" width="8.7109375" style="13" customWidth="1"/>
    <col min="2075" max="2075" width="6.5703125" style="13" bestFit="1" customWidth="1"/>
    <col min="2076" max="2076" width="8.7109375" style="13" customWidth="1"/>
    <col min="2077" max="2077" width="16" style="13" customWidth="1"/>
    <col min="2078" max="2078" width="15" style="13" customWidth="1"/>
    <col min="2079" max="2079" width="9.42578125" style="13" customWidth="1"/>
    <col min="2080" max="2304" width="9.140625" style="13"/>
    <col min="2305" max="2305" width="12.28515625" style="13" customWidth="1"/>
    <col min="2306" max="2306" width="2.42578125" style="13" customWidth="1"/>
    <col min="2307" max="2307" width="3.42578125" style="13" customWidth="1"/>
    <col min="2308" max="2308" width="13.28515625" style="13" customWidth="1"/>
    <col min="2309" max="2309" width="3.140625" style="13" customWidth="1"/>
    <col min="2310" max="2310" width="5.140625" style="13" customWidth="1"/>
    <col min="2311" max="2311" width="16.42578125" style="13" customWidth="1"/>
    <col min="2312" max="2318" width="0" style="13" hidden="1" customWidth="1"/>
    <col min="2319" max="2319" width="4.140625" style="13" customWidth="1"/>
    <col min="2320" max="2320" width="5.7109375" style="13" customWidth="1"/>
    <col min="2321" max="2321" width="0" style="13" hidden="1" customWidth="1"/>
    <col min="2322" max="2322" width="15.7109375" style="13" customWidth="1"/>
    <col min="2323" max="2323" width="7.7109375" style="13" customWidth="1"/>
    <col min="2324" max="2324" width="9.140625" style="13"/>
    <col min="2325" max="2325" width="10.85546875" style="13" customWidth="1"/>
    <col min="2326" max="2326" width="9.7109375" style="13" customWidth="1"/>
    <col min="2327" max="2327" width="8.85546875" style="13" customWidth="1"/>
    <col min="2328" max="2328" width="10.7109375" style="13" customWidth="1"/>
    <col min="2329" max="2329" width="16" style="13" customWidth="1"/>
    <col min="2330" max="2330" width="8.7109375" style="13" customWidth="1"/>
    <col min="2331" max="2331" width="6.5703125" style="13" bestFit="1" customWidth="1"/>
    <col min="2332" max="2332" width="8.7109375" style="13" customWidth="1"/>
    <col min="2333" max="2333" width="16" style="13" customWidth="1"/>
    <col min="2334" max="2334" width="15" style="13" customWidth="1"/>
    <col min="2335" max="2335" width="9.42578125" style="13" customWidth="1"/>
    <col min="2336" max="2560" width="9.140625" style="13"/>
    <col min="2561" max="2561" width="12.28515625" style="13" customWidth="1"/>
    <col min="2562" max="2562" width="2.42578125" style="13" customWidth="1"/>
    <col min="2563" max="2563" width="3.42578125" style="13" customWidth="1"/>
    <col min="2564" max="2564" width="13.28515625" style="13" customWidth="1"/>
    <col min="2565" max="2565" width="3.140625" style="13" customWidth="1"/>
    <col min="2566" max="2566" width="5.140625" style="13" customWidth="1"/>
    <col min="2567" max="2567" width="16.42578125" style="13" customWidth="1"/>
    <col min="2568" max="2574" width="0" style="13" hidden="1" customWidth="1"/>
    <col min="2575" max="2575" width="4.140625" style="13" customWidth="1"/>
    <col min="2576" max="2576" width="5.7109375" style="13" customWidth="1"/>
    <col min="2577" max="2577" width="0" style="13" hidden="1" customWidth="1"/>
    <col min="2578" max="2578" width="15.7109375" style="13" customWidth="1"/>
    <col min="2579" max="2579" width="7.7109375" style="13" customWidth="1"/>
    <col min="2580" max="2580" width="9.140625" style="13"/>
    <col min="2581" max="2581" width="10.85546875" style="13" customWidth="1"/>
    <col min="2582" max="2582" width="9.7109375" style="13" customWidth="1"/>
    <col min="2583" max="2583" width="8.85546875" style="13" customWidth="1"/>
    <col min="2584" max="2584" width="10.7109375" style="13" customWidth="1"/>
    <col min="2585" max="2585" width="16" style="13" customWidth="1"/>
    <col min="2586" max="2586" width="8.7109375" style="13" customWidth="1"/>
    <col min="2587" max="2587" width="6.5703125" style="13" bestFit="1" customWidth="1"/>
    <col min="2588" max="2588" width="8.7109375" style="13" customWidth="1"/>
    <col min="2589" max="2589" width="16" style="13" customWidth="1"/>
    <col min="2590" max="2590" width="15" style="13" customWidth="1"/>
    <col min="2591" max="2591" width="9.42578125" style="13" customWidth="1"/>
    <col min="2592" max="2816" width="9.140625" style="13"/>
    <col min="2817" max="2817" width="12.28515625" style="13" customWidth="1"/>
    <col min="2818" max="2818" width="2.42578125" style="13" customWidth="1"/>
    <col min="2819" max="2819" width="3.42578125" style="13" customWidth="1"/>
    <col min="2820" max="2820" width="13.28515625" style="13" customWidth="1"/>
    <col min="2821" max="2821" width="3.140625" style="13" customWidth="1"/>
    <col min="2822" max="2822" width="5.140625" style="13" customWidth="1"/>
    <col min="2823" max="2823" width="16.42578125" style="13" customWidth="1"/>
    <col min="2824" max="2830" width="0" style="13" hidden="1" customWidth="1"/>
    <col min="2831" max="2831" width="4.140625" style="13" customWidth="1"/>
    <col min="2832" max="2832" width="5.7109375" style="13" customWidth="1"/>
    <col min="2833" max="2833" width="0" style="13" hidden="1" customWidth="1"/>
    <col min="2834" max="2834" width="15.7109375" style="13" customWidth="1"/>
    <col min="2835" max="2835" width="7.7109375" style="13" customWidth="1"/>
    <col min="2836" max="2836" width="9.140625" style="13"/>
    <col min="2837" max="2837" width="10.85546875" style="13" customWidth="1"/>
    <col min="2838" max="2838" width="9.7109375" style="13" customWidth="1"/>
    <col min="2839" max="2839" width="8.85546875" style="13" customWidth="1"/>
    <col min="2840" max="2840" width="10.7109375" style="13" customWidth="1"/>
    <col min="2841" max="2841" width="16" style="13" customWidth="1"/>
    <col min="2842" max="2842" width="8.7109375" style="13" customWidth="1"/>
    <col min="2843" max="2843" width="6.5703125" style="13" bestFit="1" customWidth="1"/>
    <col min="2844" max="2844" width="8.7109375" style="13" customWidth="1"/>
    <col min="2845" max="2845" width="16" style="13" customWidth="1"/>
    <col min="2846" max="2846" width="15" style="13" customWidth="1"/>
    <col min="2847" max="2847" width="9.42578125" style="13" customWidth="1"/>
    <col min="2848" max="3072" width="9.140625" style="13"/>
    <col min="3073" max="3073" width="12.28515625" style="13" customWidth="1"/>
    <col min="3074" max="3074" width="2.42578125" style="13" customWidth="1"/>
    <col min="3075" max="3075" width="3.42578125" style="13" customWidth="1"/>
    <col min="3076" max="3076" width="13.28515625" style="13" customWidth="1"/>
    <col min="3077" max="3077" width="3.140625" style="13" customWidth="1"/>
    <col min="3078" max="3078" width="5.140625" style="13" customWidth="1"/>
    <col min="3079" max="3079" width="16.42578125" style="13" customWidth="1"/>
    <col min="3080" max="3086" width="0" style="13" hidden="1" customWidth="1"/>
    <col min="3087" max="3087" width="4.140625" style="13" customWidth="1"/>
    <col min="3088" max="3088" width="5.7109375" style="13" customWidth="1"/>
    <col min="3089" max="3089" width="0" style="13" hidden="1" customWidth="1"/>
    <col min="3090" max="3090" width="15.7109375" style="13" customWidth="1"/>
    <col min="3091" max="3091" width="7.7109375" style="13" customWidth="1"/>
    <col min="3092" max="3092" width="9.140625" style="13"/>
    <col min="3093" max="3093" width="10.85546875" style="13" customWidth="1"/>
    <col min="3094" max="3094" width="9.7109375" style="13" customWidth="1"/>
    <col min="3095" max="3095" width="8.85546875" style="13" customWidth="1"/>
    <col min="3096" max="3096" width="10.7109375" style="13" customWidth="1"/>
    <col min="3097" max="3097" width="16" style="13" customWidth="1"/>
    <col min="3098" max="3098" width="8.7109375" style="13" customWidth="1"/>
    <col min="3099" max="3099" width="6.5703125" style="13" bestFit="1" customWidth="1"/>
    <col min="3100" max="3100" width="8.7109375" style="13" customWidth="1"/>
    <col min="3101" max="3101" width="16" style="13" customWidth="1"/>
    <col min="3102" max="3102" width="15" style="13" customWidth="1"/>
    <col min="3103" max="3103" width="9.42578125" style="13" customWidth="1"/>
    <col min="3104" max="3328" width="9.140625" style="13"/>
    <col min="3329" max="3329" width="12.28515625" style="13" customWidth="1"/>
    <col min="3330" max="3330" width="2.42578125" style="13" customWidth="1"/>
    <col min="3331" max="3331" width="3.42578125" style="13" customWidth="1"/>
    <col min="3332" max="3332" width="13.28515625" style="13" customWidth="1"/>
    <col min="3333" max="3333" width="3.140625" style="13" customWidth="1"/>
    <col min="3334" max="3334" width="5.140625" style="13" customWidth="1"/>
    <col min="3335" max="3335" width="16.42578125" style="13" customWidth="1"/>
    <col min="3336" max="3342" width="0" style="13" hidden="1" customWidth="1"/>
    <col min="3343" max="3343" width="4.140625" style="13" customWidth="1"/>
    <col min="3344" max="3344" width="5.7109375" style="13" customWidth="1"/>
    <col min="3345" max="3345" width="0" style="13" hidden="1" customWidth="1"/>
    <col min="3346" max="3346" width="15.7109375" style="13" customWidth="1"/>
    <col min="3347" max="3347" width="7.7109375" style="13" customWidth="1"/>
    <col min="3348" max="3348" width="9.140625" style="13"/>
    <col min="3349" max="3349" width="10.85546875" style="13" customWidth="1"/>
    <col min="3350" max="3350" width="9.7109375" style="13" customWidth="1"/>
    <col min="3351" max="3351" width="8.85546875" style="13" customWidth="1"/>
    <col min="3352" max="3352" width="10.7109375" style="13" customWidth="1"/>
    <col min="3353" max="3353" width="16" style="13" customWidth="1"/>
    <col min="3354" max="3354" width="8.7109375" style="13" customWidth="1"/>
    <col min="3355" max="3355" width="6.5703125" style="13" bestFit="1" customWidth="1"/>
    <col min="3356" max="3356" width="8.7109375" style="13" customWidth="1"/>
    <col min="3357" max="3357" width="16" style="13" customWidth="1"/>
    <col min="3358" max="3358" width="15" style="13" customWidth="1"/>
    <col min="3359" max="3359" width="9.42578125" style="13" customWidth="1"/>
    <col min="3360" max="3584" width="9.140625" style="13"/>
    <col min="3585" max="3585" width="12.28515625" style="13" customWidth="1"/>
    <col min="3586" max="3586" width="2.42578125" style="13" customWidth="1"/>
    <col min="3587" max="3587" width="3.42578125" style="13" customWidth="1"/>
    <col min="3588" max="3588" width="13.28515625" style="13" customWidth="1"/>
    <col min="3589" max="3589" width="3.140625" style="13" customWidth="1"/>
    <col min="3590" max="3590" width="5.140625" style="13" customWidth="1"/>
    <col min="3591" max="3591" width="16.42578125" style="13" customWidth="1"/>
    <col min="3592" max="3598" width="0" style="13" hidden="1" customWidth="1"/>
    <col min="3599" max="3599" width="4.140625" style="13" customWidth="1"/>
    <col min="3600" max="3600" width="5.7109375" style="13" customWidth="1"/>
    <col min="3601" max="3601" width="0" style="13" hidden="1" customWidth="1"/>
    <col min="3602" max="3602" width="15.7109375" style="13" customWidth="1"/>
    <col min="3603" max="3603" width="7.7109375" style="13" customWidth="1"/>
    <col min="3604" max="3604" width="9.140625" style="13"/>
    <col min="3605" max="3605" width="10.85546875" style="13" customWidth="1"/>
    <col min="3606" max="3606" width="9.7109375" style="13" customWidth="1"/>
    <col min="3607" max="3607" width="8.85546875" style="13" customWidth="1"/>
    <col min="3608" max="3608" width="10.7109375" style="13" customWidth="1"/>
    <col min="3609" max="3609" width="16" style="13" customWidth="1"/>
    <col min="3610" max="3610" width="8.7109375" style="13" customWidth="1"/>
    <col min="3611" max="3611" width="6.5703125" style="13" bestFit="1" customWidth="1"/>
    <col min="3612" max="3612" width="8.7109375" style="13" customWidth="1"/>
    <col min="3613" max="3613" width="16" style="13" customWidth="1"/>
    <col min="3614" max="3614" width="15" style="13" customWidth="1"/>
    <col min="3615" max="3615" width="9.42578125" style="13" customWidth="1"/>
    <col min="3616" max="3840" width="9.140625" style="13"/>
    <col min="3841" max="3841" width="12.28515625" style="13" customWidth="1"/>
    <col min="3842" max="3842" width="2.42578125" style="13" customWidth="1"/>
    <col min="3843" max="3843" width="3.42578125" style="13" customWidth="1"/>
    <col min="3844" max="3844" width="13.28515625" style="13" customWidth="1"/>
    <col min="3845" max="3845" width="3.140625" style="13" customWidth="1"/>
    <col min="3846" max="3846" width="5.140625" style="13" customWidth="1"/>
    <col min="3847" max="3847" width="16.42578125" style="13" customWidth="1"/>
    <col min="3848" max="3854" width="0" style="13" hidden="1" customWidth="1"/>
    <col min="3855" max="3855" width="4.140625" style="13" customWidth="1"/>
    <col min="3856" max="3856" width="5.7109375" style="13" customWidth="1"/>
    <col min="3857" max="3857" width="0" style="13" hidden="1" customWidth="1"/>
    <col min="3858" max="3858" width="15.7109375" style="13" customWidth="1"/>
    <col min="3859" max="3859" width="7.7109375" style="13" customWidth="1"/>
    <col min="3860" max="3860" width="9.140625" style="13"/>
    <col min="3861" max="3861" width="10.85546875" style="13" customWidth="1"/>
    <col min="3862" max="3862" width="9.7109375" style="13" customWidth="1"/>
    <col min="3863" max="3863" width="8.85546875" style="13" customWidth="1"/>
    <col min="3864" max="3864" width="10.7109375" style="13" customWidth="1"/>
    <col min="3865" max="3865" width="16" style="13" customWidth="1"/>
    <col min="3866" max="3866" width="8.7109375" style="13" customWidth="1"/>
    <col min="3867" max="3867" width="6.5703125" style="13" bestFit="1" customWidth="1"/>
    <col min="3868" max="3868" width="8.7109375" style="13" customWidth="1"/>
    <col min="3869" max="3869" width="16" style="13" customWidth="1"/>
    <col min="3870" max="3870" width="15" style="13" customWidth="1"/>
    <col min="3871" max="3871" width="9.42578125" style="13" customWidth="1"/>
    <col min="3872" max="4096" width="9.140625" style="13"/>
    <col min="4097" max="4097" width="12.28515625" style="13" customWidth="1"/>
    <col min="4098" max="4098" width="2.42578125" style="13" customWidth="1"/>
    <col min="4099" max="4099" width="3.42578125" style="13" customWidth="1"/>
    <col min="4100" max="4100" width="13.28515625" style="13" customWidth="1"/>
    <col min="4101" max="4101" width="3.140625" style="13" customWidth="1"/>
    <col min="4102" max="4102" width="5.140625" style="13" customWidth="1"/>
    <col min="4103" max="4103" width="16.42578125" style="13" customWidth="1"/>
    <col min="4104" max="4110" width="0" style="13" hidden="1" customWidth="1"/>
    <col min="4111" max="4111" width="4.140625" style="13" customWidth="1"/>
    <col min="4112" max="4112" width="5.7109375" style="13" customWidth="1"/>
    <col min="4113" max="4113" width="0" style="13" hidden="1" customWidth="1"/>
    <col min="4114" max="4114" width="15.7109375" style="13" customWidth="1"/>
    <col min="4115" max="4115" width="7.7109375" style="13" customWidth="1"/>
    <col min="4116" max="4116" width="9.140625" style="13"/>
    <col min="4117" max="4117" width="10.85546875" style="13" customWidth="1"/>
    <col min="4118" max="4118" width="9.7109375" style="13" customWidth="1"/>
    <col min="4119" max="4119" width="8.85546875" style="13" customWidth="1"/>
    <col min="4120" max="4120" width="10.7109375" style="13" customWidth="1"/>
    <col min="4121" max="4121" width="16" style="13" customWidth="1"/>
    <col min="4122" max="4122" width="8.7109375" style="13" customWidth="1"/>
    <col min="4123" max="4123" width="6.5703125" style="13" bestFit="1" customWidth="1"/>
    <col min="4124" max="4124" width="8.7109375" style="13" customWidth="1"/>
    <col min="4125" max="4125" width="16" style="13" customWidth="1"/>
    <col min="4126" max="4126" width="15" style="13" customWidth="1"/>
    <col min="4127" max="4127" width="9.42578125" style="13" customWidth="1"/>
    <col min="4128" max="4352" width="9.140625" style="13"/>
    <col min="4353" max="4353" width="12.28515625" style="13" customWidth="1"/>
    <col min="4354" max="4354" width="2.42578125" style="13" customWidth="1"/>
    <col min="4355" max="4355" width="3.42578125" style="13" customWidth="1"/>
    <col min="4356" max="4356" width="13.28515625" style="13" customWidth="1"/>
    <col min="4357" max="4357" width="3.140625" style="13" customWidth="1"/>
    <col min="4358" max="4358" width="5.140625" style="13" customWidth="1"/>
    <col min="4359" max="4359" width="16.42578125" style="13" customWidth="1"/>
    <col min="4360" max="4366" width="0" style="13" hidden="1" customWidth="1"/>
    <col min="4367" max="4367" width="4.140625" style="13" customWidth="1"/>
    <col min="4368" max="4368" width="5.7109375" style="13" customWidth="1"/>
    <col min="4369" max="4369" width="0" style="13" hidden="1" customWidth="1"/>
    <col min="4370" max="4370" width="15.7109375" style="13" customWidth="1"/>
    <col min="4371" max="4371" width="7.7109375" style="13" customWidth="1"/>
    <col min="4372" max="4372" width="9.140625" style="13"/>
    <col min="4373" max="4373" width="10.85546875" style="13" customWidth="1"/>
    <col min="4374" max="4374" width="9.7109375" style="13" customWidth="1"/>
    <col min="4375" max="4375" width="8.85546875" style="13" customWidth="1"/>
    <col min="4376" max="4376" width="10.7109375" style="13" customWidth="1"/>
    <col min="4377" max="4377" width="16" style="13" customWidth="1"/>
    <col min="4378" max="4378" width="8.7109375" style="13" customWidth="1"/>
    <col min="4379" max="4379" width="6.5703125" style="13" bestFit="1" customWidth="1"/>
    <col min="4380" max="4380" width="8.7109375" style="13" customWidth="1"/>
    <col min="4381" max="4381" width="16" style="13" customWidth="1"/>
    <col min="4382" max="4382" width="15" style="13" customWidth="1"/>
    <col min="4383" max="4383" width="9.42578125" style="13" customWidth="1"/>
    <col min="4384" max="4608" width="9.140625" style="13"/>
    <col min="4609" max="4609" width="12.28515625" style="13" customWidth="1"/>
    <col min="4610" max="4610" width="2.42578125" style="13" customWidth="1"/>
    <col min="4611" max="4611" width="3.42578125" style="13" customWidth="1"/>
    <col min="4612" max="4612" width="13.28515625" style="13" customWidth="1"/>
    <col min="4613" max="4613" width="3.140625" style="13" customWidth="1"/>
    <col min="4614" max="4614" width="5.140625" style="13" customWidth="1"/>
    <col min="4615" max="4615" width="16.42578125" style="13" customWidth="1"/>
    <col min="4616" max="4622" width="0" style="13" hidden="1" customWidth="1"/>
    <col min="4623" max="4623" width="4.140625" style="13" customWidth="1"/>
    <col min="4624" max="4624" width="5.7109375" style="13" customWidth="1"/>
    <col min="4625" max="4625" width="0" style="13" hidden="1" customWidth="1"/>
    <col min="4626" max="4626" width="15.7109375" style="13" customWidth="1"/>
    <col min="4627" max="4627" width="7.7109375" style="13" customWidth="1"/>
    <col min="4628" max="4628" width="9.140625" style="13"/>
    <col min="4629" max="4629" width="10.85546875" style="13" customWidth="1"/>
    <col min="4630" max="4630" width="9.7109375" style="13" customWidth="1"/>
    <col min="4631" max="4631" width="8.85546875" style="13" customWidth="1"/>
    <col min="4632" max="4632" width="10.7109375" style="13" customWidth="1"/>
    <col min="4633" max="4633" width="16" style="13" customWidth="1"/>
    <col min="4634" max="4634" width="8.7109375" style="13" customWidth="1"/>
    <col min="4635" max="4635" width="6.5703125" style="13" bestFit="1" customWidth="1"/>
    <col min="4636" max="4636" width="8.7109375" style="13" customWidth="1"/>
    <col min="4637" max="4637" width="16" style="13" customWidth="1"/>
    <col min="4638" max="4638" width="15" style="13" customWidth="1"/>
    <col min="4639" max="4639" width="9.42578125" style="13" customWidth="1"/>
    <col min="4640" max="4864" width="9.140625" style="13"/>
    <col min="4865" max="4865" width="12.28515625" style="13" customWidth="1"/>
    <col min="4866" max="4866" width="2.42578125" style="13" customWidth="1"/>
    <col min="4867" max="4867" width="3.42578125" style="13" customWidth="1"/>
    <col min="4868" max="4868" width="13.28515625" style="13" customWidth="1"/>
    <col min="4869" max="4869" width="3.140625" style="13" customWidth="1"/>
    <col min="4870" max="4870" width="5.140625" style="13" customWidth="1"/>
    <col min="4871" max="4871" width="16.42578125" style="13" customWidth="1"/>
    <col min="4872" max="4878" width="0" style="13" hidden="1" customWidth="1"/>
    <col min="4879" max="4879" width="4.140625" style="13" customWidth="1"/>
    <col min="4880" max="4880" width="5.7109375" style="13" customWidth="1"/>
    <col min="4881" max="4881" width="0" style="13" hidden="1" customWidth="1"/>
    <col min="4882" max="4882" width="15.7109375" style="13" customWidth="1"/>
    <col min="4883" max="4883" width="7.7109375" style="13" customWidth="1"/>
    <col min="4884" max="4884" width="9.140625" style="13"/>
    <col min="4885" max="4885" width="10.85546875" style="13" customWidth="1"/>
    <col min="4886" max="4886" width="9.7109375" style="13" customWidth="1"/>
    <col min="4887" max="4887" width="8.85546875" style="13" customWidth="1"/>
    <col min="4888" max="4888" width="10.7109375" style="13" customWidth="1"/>
    <col min="4889" max="4889" width="16" style="13" customWidth="1"/>
    <col min="4890" max="4890" width="8.7109375" style="13" customWidth="1"/>
    <col min="4891" max="4891" width="6.5703125" style="13" bestFit="1" customWidth="1"/>
    <col min="4892" max="4892" width="8.7109375" style="13" customWidth="1"/>
    <col min="4893" max="4893" width="16" style="13" customWidth="1"/>
    <col min="4894" max="4894" width="15" style="13" customWidth="1"/>
    <col min="4895" max="4895" width="9.42578125" style="13" customWidth="1"/>
    <col min="4896" max="5120" width="9.140625" style="13"/>
    <col min="5121" max="5121" width="12.28515625" style="13" customWidth="1"/>
    <col min="5122" max="5122" width="2.42578125" style="13" customWidth="1"/>
    <col min="5123" max="5123" width="3.42578125" style="13" customWidth="1"/>
    <col min="5124" max="5124" width="13.28515625" style="13" customWidth="1"/>
    <col min="5125" max="5125" width="3.140625" style="13" customWidth="1"/>
    <col min="5126" max="5126" width="5.140625" style="13" customWidth="1"/>
    <col min="5127" max="5127" width="16.42578125" style="13" customWidth="1"/>
    <col min="5128" max="5134" width="0" style="13" hidden="1" customWidth="1"/>
    <col min="5135" max="5135" width="4.140625" style="13" customWidth="1"/>
    <col min="5136" max="5136" width="5.7109375" style="13" customWidth="1"/>
    <col min="5137" max="5137" width="0" style="13" hidden="1" customWidth="1"/>
    <col min="5138" max="5138" width="15.7109375" style="13" customWidth="1"/>
    <col min="5139" max="5139" width="7.7109375" style="13" customWidth="1"/>
    <col min="5140" max="5140" width="9.140625" style="13"/>
    <col min="5141" max="5141" width="10.85546875" style="13" customWidth="1"/>
    <col min="5142" max="5142" width="9.7109375" style="13" customWidth="1"/>
    <col min="5143" max="5143" width="8.85546875" style="13" customWidth="1"/>
    <col min="5144" max="5144" width="10.7109375" style="13" customWidth="1"/>
    <col min="5145" max="5145" width="16" style="13" customWidth="1"/>
    <col min="5146" max="5146" width="8.7109375" style="13" customWidth="1"/>
    <col min="5147" max="5147" width="6.5703125" style="13" bestFit="1" customWidth="1"/>
    <col min="5148" max="5148" width="8.7109375" style="13" customWidth="1"/>
    <col min="5149" max="5149" width="16" style="13" customWidth="1"/>
    <col min="5150" max="5150" width="15" style="13" customWidth="1"/>
    <col min="5151" max="5151" width="9.42578125" style="13" customWidth="1"/>
    <col min="5152" max="5376" width="9.140625" style="13"/>
    <col min="5377" max="5377" width="12.28515625" style="13" customWidth="1"/>
    <col min="5378" max="5378" width="2.42578125" style="13" customWidth="1"/>
    <col min="5379" max="5379" width="3.42578125" style="13" customWidth="1"/>
    <col min="5380" max="5380" width="13.28515625" style="13" customWidth="1"/>
    <col min="5381" max="5381" width="3.140625" style="13" customWidth="1"/>
    <col min="5382" max="5382" width="5.140625" style="13" customWidth="1"/>
    <col min="5383" max="5383" width="16.42578125" style="13" customWidth="1"/>
    <col min="5384" max="5390" width="0" style="13" hidden="1" customWidth="1"/>
    <col min="5391" max="5391" width="4.140625" style="13" customWidth="1"/>
    <col min="5392" max="5392" width="5.7109375" style="13" customWidth="1"/>
    <col min="5393" max="5393" width="0" style="13" hidden="1" customWidth="1"/>
    <col min="5394" max="5394" width="15.7109375" style="13" customWidth="1"/>
    <col min="5395" max="5395" width="7.7109375" style="13" customWidth="1"/>
    <col min="5396" max="5396" width="9.140625" style="13"/>
    <col min="5397" max="5397" width="10.85546875" style="13" customWidth="1"/>
    <col min="5398" max="5398" width="9.7109375" style="13" customWidth="1"/>
    <col min="5399" max="5399" width="8.85546875" style="13" customWidth="1"/>
    <col min="5400" max="5400" width="10.7109375" style="13" customWidth="1"/>
    <col min="5401" max="5401" width="16" style="13" customWidth="1"/>
    <col min="5402" max="5402" width="8.7109375" style="13" customWidth="1"/>
    <col min="5403" max="5403" width="6.5703125" style="13" bestFit="1" customWidth="1"/>
    <col min="5404" max="5404" width="8.7109375" style="13" customWidth="1"/>
    <col min="5405" max="5405" width="16" style="13" customWidth="1"/>
    <col min="5406" max="5406" width="15" style="13" customWidth="1"/>
    <col min="5407" max="5407" width="9.42578125" style="13" customWidth="1"/>
    <col min="5408" max="5632" width="9.140625" style="13"/>
    <col min="5633" max="5633" width="12.28515625" style="13" customWidth="1"/>
    <col min="5634" max="5634" width="2.42578125" style="13" customWidth="1"/>
    <col min="5635" max="5635" width="3.42578125" style="13" customWidth="1"/>
    <col min="5636" max="5636" width="13.28515625" style="13" customWidth="1"/>
    <col min="5637" max="5637" width="3.140625" style="13" customWidth="1"/>
    <col min="5638" max="5638" width="5.140625" style="13" customWidth="1"/>
    <col min="5639" max="5639" width="16.42578125" style="13" customWidth="1"/>
    <col min="5640" max="5646" width="0" style="13" hidden="1" customWidth="1"/>
    <col min="5647" max="5647" width="4.140625" style="13" customWidth="1"/>
    <col min="5648" max="5648" width="5.7109375" style="13" customWidth="1"/>
    <col min="5649" max="5649" width="0" style="13" hidden="1" customWidth="1"/>
    <col min="5650" max="5650" width="15.7109375" style="13" customWidth="1"/>
    <col min="5651" max="5651" width="7.7109375" style="13" customWidth="1"/>
    <col min="5652" max="5652" width="9.140625" style="13"/>
    <col min="5653" max="5653" width="10.85546875" style="13" customWidth="1"/>
    <col min="5654" max="5654" width="9.7109375" style="13" customWidth="1"/>
    <col min="5655" max="5655" width="8.85546875" style="13" customWidth="1"/>
    <col min="5656" max="5656" width="10.7109375" style="13" customWidth="1"/>
    <col min="5657" max="5657" width="16" style="13" customWidth="1"/>
    <col min="5658" max="5658" width="8.7109375" style="13" customWidth="1"/>
    <col min="5659" max="5659" width="6.5703125" style="13" bestFit="1" customWidth="1"/>
    <col min="5660" max="5660" width="8.7109375" style="13" customWidth="1"/>
    <col min="5661" max="5661" width="16" style="13" customWidth="1"/>
    <col min="5662" max="5662" width="15" style="13" customWidth="1"/>
    <col min="5663" max="5663" width="9.42578125" style="13" customWidth="1"/>
    <col min="5664" max="5888" width="9.140625" style="13"/>
    <col min="5889" max="5889" width="12.28515625" style="13" customWidth="1"/>
    <col min="5890" max="5890" width="2.42578125" style="13" customWidth="1"/>
    <col min="5891" max="5891" width="3.42578125" style="13" customWidth="1"/>
    <col min="5892" max="5892" width="13.28515625" style="13" customWidth="1"/>
    <col min="5893" max="5893" width="3.140625" style="13" customWidth="1"/>
    <col min="5894" max="5894" width="5.140625" style="13" customWidth="1"/>
    <col min="5895" max="5895" width="16.42578125" style="13" customWidth="1"/>
    <col min="5896" max="5902" width="0" style="13" hidden="1" customWidth="1"/>
    <col min="5903" max="5903" width="4.140625" style="13" customWidth="1"/>
    <col min="5904" max="5904" width="5.7109375" style="13" customWidth="1"/>
    <col min="5905" max="5905" width="0" style="13" hidden="1" customWidth="1"/>
    <col min="5906" max="5906" width="15.7109375" style="13" customWidth="1"/>
    <col min="5907" max="5907" width="7.7109375" style="13" customWidth="1"/>
    <col min="5908" max="5908" width="9.140625" style="13"/>
    <col min="5909" max="5909" width="10.85546875" style="13" customWidth="1"/>
    <col min="5910" max="5910" width="9.7109375" style="13" customWidth="1"/>
    <col min="5911" max="5911" width="8.85546875" style="13" customWidth="1"/>
    <col min="5912" max="5912" width="10.7109375" style="13" customWidth="1"/>
    <col min="5913" max="5913" width="16" style="13" customWidth="1"/>
    <col min="5914" max="5914" width="8.7109375" style="13" customWidth="1"/>
    <col min="5915" max="5915" width="6.5703125" style="13" bestFit="1" customWidth="1"/>
    <col min="5916" max="5916" width="8.7109375" style="13" customWidth="1"/>
    <col min="5917" max="5917" width="16" style="13" customWidth="1"/>
    <col min="5918" max="5918" width="15" style="13" customWidth="1"/>
    <col min="5919" max="5919" width="9.42578125" style="13" customWidth="1"/>
    <col min="5920" max="6144" width="9.140625" style="13"/>
    <col min="6145" max="6145" width="12.28515625" style="13" customWidth="1"/>
    <col min="6146" max="6146" width="2.42578125" style="13" customWidth="1"/>
    <col min="6147" max="6147" width="3.42578125" style="13" customWidth="1"/>
    <col min="6148" max="6148" width="13.28515625" style="13" customWidth="1"/>
    <col min="6149" max="6149" width="3.140625" style="13" customWidth="1"/>
    <col min="6150" max="6150" width="5.140625" style="13" customWidth="1"/>
    <col min="6151" max="6151" width="16.42578125" style="13" customWidth="1"/>
    <col min="6152" max="6158" width="0" style="13" hidden="1" customWidth="1"/>
    <col min="6159" max="6159" width="4.140625" style="13" customWidth="1"/>
    <col min="6160" max="6160" width="5.7109375" style="13" customWidth="1"/>
    <col min="6161" max="6161" width="0" style="13" hidden="1" customWidth="1"/>
    <col min="6162" max="6162" width="15.7109375" style="13" customWidth="1"/>
    <col min="6163" max="6163" width="7.7109375" style="13" customWidth="1"/>
    <col min="6164" max="6164" width="9.140625" style="13"/>
    <col min="6165" max="6165" width="10.85546875" style="13" customWidth="1"/>
    <col min="6166" max="6166" width="9.7109375" style="13" customWidth="1"/>
    <col min="6167" max="6167" width="8.85546875" style="13" customWidth="1"/>
    <col min="6168" max="6168" width="10.7109375" style="13" customWidth="1"/>
    <col min="6169" max="6169" width="16" style="13" customWidth="1"/>
    <col min="6170" max="6170" width="8.7109375" style="13" customWidth="1"/>
    <col min="6171" max="6171" width="6.5703125" style="13" bestFit="1" customWidth="1"/>
    <col min="6172" max="6172" width="8.7109375" style="13" customWidth="1"/>
    <col min="6173" max="6173" width="16" style="13" customWidth="1"/>
    <col min="6174" max="6174" width="15" style="13" customWidth="1"/>
    <col min="6175" max="6175" width="9.42578125" style="13" customWidth="1"/>
    <col min="6176" max="6400" width="9.140625" style="13"/>
    <col min="6401" max="6401" width="12.28515625" style="13" customWidth="1"/>
    <col min="6402" max="6402" width="2.42578125" style="13" customWidth="1"/>
    <col min="6403" max="6403" width="3.42578125" style="13" customWidth="1"/>
    <col min="6404" max="6404" width="13.28515625" style="13" customWidth="1"/>
    <col min="6405" max="6405" width="3.140625" style="13" customWidth="1"/>
    <col min="6406" max="6406" width="5.140625" style="13" customWidth="1"/>
    <col min="6407" max="6407" width="16.42578125" style="13" customWidth="1"/>
    <col min="6408" max="6414" width="0" style="13" hidden="1" customWidth="1"/>
    <col min="6415" max="6415" width="4.140625" style="13" customWidth="1"/>
    <col min="6416" max="6416" width="5.7109375" style="13" customWidth="1"/>
    <col min="6417" max="6417" width="0" style="13" hidden="1" customWidth="1"/>
    <col min="6418" max="6418" width="15.7109375" style="13" customWidth="1"/>
    <col min="6419" max="6419" width="7.7109375" style="13" customWidth="1"/>
    <col min="6420" max="6420" width="9.140625" style="13"/>
    <col min="6421" max="6421" width="10.85546875" style="13" customWidth="1"/>
    <col min="6422" max="6422" width="9.7109375" style="13" customWidth="1"/>
    <col min="6423" max="6423" width="8.85546875" style="13" customWidth="1"/>
    <col min="6424" max="6424" width="10.7109375" style="13" customWidth="1"/>
    <col min="6425" max="6425" width="16" style="13" customWidth="1"/>
    <col min="6426" max="6426" width="8.7109375" style="13" customWidth="1"/>
    <col min="6427" max="6427" width="6.5703125" style="13" bestFit="1" customWidth="1"/>
    <col min="6428" max="6428" width="8.7109375" style="13" customWidth="1"/>
    <col min="6429" max="6429" width="16" style="13" customWidth="1"/>
    <col min="6430" max="6430" width="15" style="13" customWidth="1"/>
    <col min="6431" max="6431" width="9.42578125" style="13" customWidth="1"/>
    <col min="6432" max="6656" width="9.140625" style="13"/>
    <col min="6657" max="6657" width="12.28515625" style="13" customWidth="1"/>
    <col min="6658" max="6658" width="2.42578125" style="13" customWidth="1"/>
    <col min="6659" max="6659" width="3.42578125" style="13" customWidth="1"/>
    <col min="6660" max="6660" width="13.28515625" style="13" customWidth="1"/>
    <col min="6661" max="6661" width="3.140625" style="13" customWidth="1"/>
    <col min="6662" max="6662" width="5.140625" style="13" customWidth="1"/>
    <col min="6663" max="6663" width="16.42578125" style="13" customWidth="1"/>
    <col min="6664" max="6670" width="0" style="13" hidden="1" customWidth="1"/>
    <col min="6671" max="6671" width="4.140625" style="13" customWidth="1"/>
    <col min="6672" max="6672" width="5.7109375" style="13" customWidth="1"/>
    <col min="6673" max="6673" width="0" style="13" hidden="1" customWidth="1"/>
    <col min="6674" max="6674" width="15.7109375" style="13" customWidth="1"/>
    <col min="6675" max="6675" width="7.7109375" style="13" customWidth="1"/>
    <col min="6676" max="6676" width="9.140625" style="13"/>
    <col min="6677" max="6677" width="10.85546875" style="13" customWidth="1"/>
    <col min="6678" max="6678" width="9.7109375" style="13" customWidth="1"/>
    <col min="6679" max="6679" width="8.85546875" style="13" customWidth="1"/>
    <col min="6680" max="6680" width="10.7109375" style="13" customWidth="1"/>
    <col min="6681" max="6681" width="16" style="13" customWidth="1"/>
    <col min="6682" max="6682" width="8.7109375" style="13" customWidth="1"/>
    <col min="6683" max="6683" width="6.5703125" style="13" bestFit="1" customWidth="1"/>
    <col min="6684" max="6684" width="8.7109375" style="13" customWidth="1"/>
    <col min="6685" max="6685" width="16" style="13" customWidth="1"/>
    <col min="6686" max="6686" width="15" style="13" customWidth="1"/>
    <col min="6687" max="6687" width="9.42578125" style="13" customWidth="1"/>
    <col min="6688" max="6912" width="9.140625" style="13"/>
    <col min="6913" max="6913" width="12.28515625" style="13" customWidth="1"/>
    <col min="6914" max="6914" width="2.42578125" style="13" customWidth="1"/>
    <col min="6915" max="6915" width="3.42578125" style="13" customWidth="1"/>
    <col min="6916" max="6916" width="13.28515625" style="13" customWidth="1"/>
    <col min="6917" max="6917" width="3.140625" style="13" customWidth="1"/>
    <col min="6918" max="6918" width="5.140625" style="13" customWidth="1"/>
    <col min="6919" max="6919" width="16.42578125" style="13" customWidth="1"/>
    <col min="6920" max="6926" width="0" style="13" hidden="1" customWidth="1"/>
    <col min="6927" max="6927" width="4.140625" style="13" customWidth="1"/>
    <col min="6928" max="6928" width="5.7109375" style="13" customWidth="1"/>
    <col min="6929" max="6929" width="0" style="13" hidden="1" customWidth="1"/>
    <col min="6930" max="6930" width="15.7109375" style="13" customWidth="1"/>
    <col min="6931" max="6931" width="7.7109375" style="13" customWidth="1"/>
    <col min="6932" max="6932" width="9.140625" style="13"/>
    <col min="6933" max="6933" width="10.85546875" style="13" customWidth="1"/>
    <col min="6934" max="6934" width="9.7109375" style="13" customWidth="1"/>
    <col min="6935" max="6935" width="8.85546875" style="13" customWidth="1"/>
    <col min="6936" max="6936" width="10.7109375" style="13" customWidth="1"/>
    <col min="6937" max="6937" width="16" style="13" customWidth="1"/>
    <col min="6938" max="6938" width="8.7109375" style="13" customWidth="1"/>
    <col min="6939" max="6939" width="6.5703125" style="13" bestFit="1" customWidth="1"/>
    <col min="6940" max="6940" width="8.7109375" style="13" customWidth="1"/>
    <col min="6941" max="6941" width="16" style="13" customWidth="1"/>
    <col min="6942" max="6942" width="15" style="13" customWidth="1"/>
    <col min="6943" max="6943" width="9.42578125" style="13" customWidth="1"/>
    <col min="6944" max="7168" width="9.140625" style="13"/>
    <col min="7169" max="7169" width="12.28515625" style="13" customWidth="1"/>
    <col min="7170" max="7170" width="2.42578125" style="13" customWidth="1"/>
    <col min="7171" max="7171" width="3.42578125" style="13" customWidth="1"/>
    <col min="7172" max="7172" width="13.28515625" style="13" customWidth="1"/>
    <col min="7173" max="7173" width="3.140625" style="13" customWidth="1"/>
    <col min="7174" max="7174" width="5.140625" style="13" customWidth="1"/>
    <col min="7175" max="7175" width="16.42578125" style="13" customWidth="1"/>
    <col min="7176" max="7182" width="0" style="13" hidden="1" customWidth="1"/>
    <col min="7183" max="7183" width="4.140625" style="13" customWidth="1"/>
    <col min="7184" max="7184" width="5.7109375" style="13" customWidth="1"/>
    <col min="7185" max="7185" width="0" style="13" hidden="1" customWidth="1"/>
    <col min="7186" max="7186" width="15.7109375" style="13" customWidth="1"/>
    <col min="7187" max="7187" width="7.7109375" style="13" customWidth="1"/>
    <col min="7188" max="7188" width="9.140625" style="13"/>
    <col min="7189" max="7189" width="10.85546875" style="13" customWidth="1"/>
    <col min="7190" max="7190" width="9.7109375" style="13" customWidth="1"/>
    <col min="7191" max="7191" width="8.85546875" style="13" customWidth="1"/>
    <col min="7192" max="7192" width="10.7109375" style="13" customWidth="1"/>
    <col min="7193" max="7193" width="16" style="13" customWidth="1"/>
    <col min="7194" max="7194" width="8.7109375" style="13" customWidth="1"/>
    <col min="7195" max="7195" width="6.5703125" style="13" bestFit="1" customWidth="1"/>
    <col min="7196" max="7196" width="8.7109375" style="13" customWidth="1"/>
    <col min="7197" max="7197" width="16" style="13" customWidth="1"/>
    <col min="7198" max="7198" width="15" style="13" customWidth="1"/>
    <col min="7199" max="7199" width="9.42578125" style="13" customWidth="1"/>
    <col min="7200" max="7424" width="9.140625" style="13"/>
    <col min="7425" max="7425" width="12.28515625" style="13" customWidth="1"/>
    <col min="7426" max="7426" width="2.42578125" style="13" customWidth="1"/>
    <col min="7427" max="7427" width="3.42578125" style="13" customWidth="1"/>
    <col min="7428" max="7428" width="13.28515625" style="13" customWidth="1"/>
    <col min="7429" max="7429" width="3.140625" style="13" customWidth="1"/>
    <col min="7430" max="7430" width="5.140625" style="13" customWidth="1"/>
    <col min="7431" max="7431" width="16.42578125" style="13" customWidth="1"/>
    <col min="7432" max="7438" width="0" style="13" hidden="1" customWidth="1"/>
    <col min="7439" max="7439" width="4.140625" style="13" customWidth="1"/>
    <col min="7440" max="7440" width="5.7109375" style="13" customWidth="1"/>
    <col min="7441" max="7441" width="0" style="13" hidden="1" customWidth="1"/>
    <col min="7442" max="7442" width="15.7109375" style="13" customWidth="1"/>
    <col min="7443" max="7443" width="7.7109375" style="13" customWidth="1"/>
    <col min="7444" max="7444" width="9.140625" style="13"/>
    <col min="7445" max="7445" width="10.85546875" style="13" customWidth="1"/>
    <col min="7446" max="7446" width="9.7109375" style="13" customWidth="1"/>
    <col min="7447" max="7447" width="8.85546875" style="13" customWidth="1"/>
    <col min="7448" max="7448" width="10.7109375" style="13" customWidth="1"/>
    <col min="7449" max="7449" width="16" style="13" customWidth="1"/>
    <col min="7450" max="7450" width="8.7109375" style="13" customWidth="1"/>
    <col min="7451" max="7451" width="6.5703125" style="13" bestFit="1" customWidth="1"/>
    <col min="7452" max="7452" width="8.7109375" style="13" customWidth="1"/>
    <col min="7453" max="7453" width="16" style="13" customWidth="1"/>
    <col min="7454" max="7454" width="15" style="13" customWidth="1"/>
    <col min="7455" max="7455" width="9.42578125" style="13" customWidth="1"/>
    <col min="7456" max="7680" width="9.140625" style="13"/>
    <col min="7681" max="7681" width="12.28515625" style="13" customWidth="1"/>
    <col min="7682" max="7682" width="2.42578125" style="13" customWidth="1"/>
    <col min="7683" max="7683" width="3.42578125" style="13" customWidth="1"/>
    <col min="7684" max="7684" width="13.28515625" style="13" customWidth="1"/>
    <col min="7685" max="7685" width="3.140625" style="13" customWidth="1"/>
    <col min="7686" max="7686" width="5.140625" style="13" customWidth="1"/>
    <col min="7687" max="7687" width="16.42578125" style="13" customWidth="1"/>
    <col min="7688" max="7694" width="0" style="13" hidden="1" customWidth="1"/>
    <col min="7695" max="7695" width="4.140625" style="13" customWidth="1"/>
    <col min="7696" max="7696" width="5.7109375" style="13" customWidth="1"/>
    <col min="7697" max="7697" width="0" style="13" hidden="1" customWidth="1"/>
    <col min="7698" max="7698" width="15.7109375" style="13" customWidth="1"/>
    <col min="7699" max="7699" width="7.7109375" style="13" customWidth="1"/>
    <col min="7700" max="7700" width="9.140625" style="13"/>
    <col min="7701" max="7701" width="10.85546875" style="13" customWidth="1"/>
    <col min="7702" max="7702" width="9.7109375" style="13" customWidth="1"/>
    <col min="7703" max="7703" width="8.85546875" style="13" customWidth="1"/>
    <col min="7704" max="7704" width="10.7109375" style="13" customWidth="1"/>
    <col min="7705" max="7705" width="16" style="13" customWidth="1"/>
    <col min="7706" max="7706" width="8.7109375" style="13" customWidth="1"/>
    <col min="7707" max="7707" width="6.5703125" style="13" bestFit="1" customWidth="1"/>
    <col min="7708" max="7708" width="8.7109375" style="13" customWidth="1"/>
    <col min="7709" max="7709" width="16" style="13" customWidth="1"/>
    <col min="7710" max="7710" width="15" style="13" customWidth="1"/>
    <col min="7711" max="7711" width="9.42578125" style="13" customWidth="1"/>
    <col min="7712" max="7936" width="9.140625" style="13"/>
    <col min="7937" max="7937" width="12.28515625" style="13" customWidth="1"/>
    <col min="7938" max="7938" width="2.42578125" style="13" customWidth="1"/>
    <col min="7939" max="7939" width="3.42578125" style="13" customWidth="1"/>
    <col min="7940" max="7940" width="13.28515625" style="13" customWidth="1"/>
    <col min="7941" max="7941" width="3.140625" style="13" customWidth="1"/>
    <col min="7942" max="7942" width="5.140625" style="13" customWidth="1"/>
    <col min="7943" max="7943" width="16.42578125" style="13" customWidth="1"/>
    <col min="7944" max="7950" width="0" style="13" hidden="1" customWidth="1"/>
    <col min="7951" max="7951" width="4.140625" style="13" customWidth="1"/>
    <col min="7952" max="7952" width="5.7109375" style="13" customWidth="1"/>
    <col min="7953" max="7953" width="0" style="13" hidden="1" customWidth="1"/>
    <col min="7954" max="7954" width="15.7109375" style="13" customWidth="1"/>
    <col min="7955" max="7955" width="7.7109375" style="13" customWidth="1"/>
    <col min="7956" max="7956" width="9.140625" style="13"/>
    <col min="7957" max="7957" width="10.85546875" style="13" customWidth="1"/>
    <col min="7958" max="7958" width="9.7109375" style="13" customWidth="1"/>
    <col min="7959" max="7959" width="8.85546875" style="13" customWidth="1"/>
    <col min="7960" max="7960" width="10.7109375" style="13" customWidth="1"/>
    <col min="7961" max="7961" width="16" style="13" customWidth="1"/>
    <col min="7962" max="7962" width="8.7109375" style="13" customWidth="1"/>
    <col min="7963" max="7963" width="6.5703125" style="13" bestFit="1" customWidth="1"/>
    <col min="7964" max="7964" width="8.7109375" style="13" customWidth="1"/>
    <col min="7965" max="7965" width="16" style="13" customWidth="1"/>
    <col min="7966" max="7966" width="15" style="13" customWidth="1"/>
    <col min="7967" max="7967" width="9.42578125" style="13" customWidth="1"/>
    <col min="7968" max="8192" width="9.140625" style="13"/>
    <col min="8193" max="8193" width="12.28515625" style="13" customWidth="1"/>
    <col min="8194" max="8194" width="2.42578125" style="13" customWidth="1"/>
    <col min="8195" max="8195" width="3.42578125" style="13" customWidth="1"/>
    <col min="8196" max="8196" width="13.28515625" style="13" customWidth="1"/>
    <col min="8197" max="8197" width="3.140625" style="13" customWidth="1"/>
    <col min="8198" max="8198" width="5.140625" style="13" customWidth="1"/>
    <col min="8199" max="8199" width="16.42578125" style="13" customWidth="1"/>
    <col min="8200" max="8206" width="0" style="13" hidden="1" customWidth="1"/>
    <col min="8207" max="8207" width="4.140625" style="13" customWidth="1"/>
    <col min="8208" max="8208" width="5.7109375" style="13" customWidth="1"/>
    <col min="8209" max="8209" width="0" style="13" hidden="1" customWidth="1"/>
    <col min="8210" max="8210" width="15.7109375" style="13" customWidth="1"/>
    <col min="8211" max="8211" width="7.7109375" style="13" customWidth="1"/>
    <col min="8212" max="8212" width="9.140625" style="13"/>
    <col min="8213" max="8213" width="10.85546875" style="13" customWidth="1"/>
    <col min="8214" max="8214" width="9.7109375" style="13" customWidth="1"/>
    <col min="8215" max="8215" width="8.85546875" style="13" customWidth="1"/>
    <col min="8216" max="8216" width="10.7109375" style="13" customWidth="1"/>
    <col min="8217" max="8217" width="16" style="13" customWidth="1"/>
    <col min="8218" max="8218" width="8.7109375" style="13" customWidth="1"/>
    <col min="8219" max="8219" width="6.5703125" style="13" bestFit="1" customWidth="1"/>
    <col min="8220" max="8220" width="8.7109375" style="13" customWidth="1"/>
    <col min="8221" max="8221" width="16" style="13" customWidth="1"/>
    <col min="8222" max="8222" width="15" style="13" customWidth="1"/>
    <col min="8223" max="8223" width="9.42578125" style="13" customWidth="1"/>
    <col min="8224" max="8448" width="9.140625" style="13"/>
    <col min="8449" max="8449" width="12.28515625" style="13" customWidth="1"/>
    <col min="8450" max="8450" width="2.42578125" style="13" customWidth="1"/>
    <col min="8451" max="8451" width="3.42578125" style="13" customWidth="1"/>
    <col min="8452" max="8452" width="13.28515625" style="13" customWidth="1"/>
    <col min="8453" max="8453" width="3.140625" style="13" customWidth="1"/>
    <col min="8454" max="8454" width="5.140625" style="13" customWidth="1"/>
    <col min="8455" max="8455" width="16.42578125" style="13" customWidth="1"/>
    <col min="8456" max="8462" width="0" style="13" hidden="1" customWidth="1"/>
    <col min="8463" max="8463" width="4.140625" style="13" customWidth="1"/>
    <col min="8464" max="8464" width="5.7109375" style="13" customWidth="1"/>
    <col min="8465" max="8465" width="0" style="13" hidden="1" customWidth="1"/>
    <col min="8466" max="8466" width="15.7109375" style="13" customWidth="1"/>
    <col min="8467" max="8467" width="7.7109375" style="13" customWidth="1"/>
    <col min="8468" max="8468" width="9.140625" style="13"/>
    <col min="8469" max="8469" width="10.85546875" style="13" customWidth="1"/>
    <col min="8470" max="8470" width="9.7109375" style="13" customWidth="1"/>
    <col min="8471" max="8471" width="8.85546875" style="13" customWidth="1"/>
    <col min="8472" max="8472" width="10.7109375" style="13" customWidth="1"/>
    <col min="8473" max="8473" width="16" style="13" customWidth="1"/>
    <col min="8474" max="8474" width="8.7109375" style="13" customWidth="1"/>
    <col min="8475" max="8475" width="6.5703125" style="13" bestFit="1" customWidth="1"/>
    <col min="8476" max="8476" width="8.7109375" style="13" customWidth="1"/>
    <col min="8477" max="8477" width="16" style="13" customWidth="1"/>
    <col min="8478" max="8478" width="15" style="13" customWidth="1"/>
    <col min="8479" max="8479" width="9.42578125" style="13" customWidth="1"/>
    <col min="8480" max="8704" width="9.140625" style="13"/>
    <col min="8705" max="8705" width="12.28515625" style="13" customWidth="1"/>
    <col min="8706" max="8706" width="2.42578125" style="13" customWidth="1"/>
    <col min="8707" max="8707" width="3.42578125" style="13" customWidth="1"/>
    <col min="8708" max="8708" width="13.28515625" style="13" customWidth="1"/>
    <col min="8709" max="8709" width="3.140625" style="13" customWidth="1"/>
    <col min="8710" max="8710" width="5.140625" style="13" customWidth="1"/>
    <col min="8711" max="8711" width="16.42578125" style="13" customWidth="1"/>
    <col min="8712" max="8718" width="0" style="13" hidden="1" customWidth="1"/>
    <col min="8719" max="8719" width="4.140625" style="13" customWidth="1"/>
    <col min="8720" max="8720" width="5.7109375" style="13" customWidth="1"/>
    <col min="8721" max="8721" width="0" style="13" hidden="1" customWidth="1"/>
    <col min="8722" max="8722" width="15.7109375" style="13" customWidth="1"/>
    <col min="8723" max="8723" width="7.7109375" style="13" customWidth="1"/>
    <col min="8724" max="8724" width="9.140625" style="13"/>
    <col min="8725" max="8725" width="10.85546875" style="13" customWidth="1"/>
    <col min="8726" max="8726" width="9.7109375" style="13" customWidth="1"/>
    <col min="8727" max="8727" width="8.85546875" style="13" customWidth="1"/>
    <col min="8728" max="8728" width="10.7109375" style="13" customWidth="1"/>
    <col min="8729" max="8729" width="16" style="13" customWidth="1"/>
    <col min="8730" max="8730" width="8.7109375" style="13" customWidth="1"/>
    <col min="8731" max="8731" width="6.5703125" style="13" bestFit="1" customWidth="1"/>
    <col min="8732" max="8732" width="8.7109375" style="13" customWidth="1"/>
    <col min="8733" max="8733" width="16" style="13" customWidth="1"/>
    <col min="8734" max="8734" width="15" style="13" customWidth="1"/>
    <col min="8735" max="8735" width="9.42578125" style="13" customWidth="1"/>
    <col min="8736" max="8960" width="9.140625" style="13"/>
    <col min="8961" max="8961" width="12.28515625" style="13" customWidth="1"/>
    <col min="8962" max="8962" width="2.42578125" style="13" customWidth="1"/>
    <col min="8963" max="8963" width="3.42578125" style="13" customWidth="1"/>
    <col min="8964" max="8964" width="13.28515625" style="13" customWidth="1"/>
    <col min="8965" max="8965" width="3.140625" style="13" customWidth="1"/>
    <col min="8966" max="8966" width="5.140625" style="13" customWidth="1"/>
    <col min="8967" max="8967" width="16.42578125" style="13" customWidth="1"/>
    <col min="8968" max="8974" width="0" style="13" hidden="1" customWidth="1"/>
    <col min="8975" max="8975" width="4.140625" style="13" customWidth="1"/>
    <col min="8976" max="8976" width="5.7109375" style="13" customWidth="1"/>
    <col min="8977" max="8977" width="0" style="13" hidden="1" customWidth="1"/>
    <col min="8978" max="8978" width="15.7109375" style="13" customWidth="1"/>
    <col min="8979" max="8979" width="7.7109375" style="13" customWidth="1"/>
    <col min="8980" max="8980" width="9.140625" style="13"/>
    <col min="8981" max="8981" width="10.85546875" style="13" customWidth="1"/>
    <col min="8982" max="8982" width="9.7109375" style="13" customWidth="1"/>
    <col min="8983" max="8983" width="8.85546875" style="13" customWidth="1"/>
    <col min="8984" max="8984" width="10.7109375" style="13" customWidth="1"/>
    <col min="8985" max="8985" width="16" style="13" customWidth="1"/>
    <col min="8986" max="8986" width="8.7109375" style="13" customWidth="1"/>
    <col min="8987" max="8987" width="6.5703125" style="13" bestFit="1" customWidth="1"/>
    <col min="8988" max="8988" width="8.7109375" style="13" customWidth="1"/>
    <col min="8989" max="8989" width="16" style="13" customWidth="1"/>
    <col min="8990" max="8990" width="15" style="13" customWidth="1"/>
    <col min="8991" max="8991" width="9.42578125" style="13" customWidth="1"/>
    <col min="8992" max="9216" width="9.140625" style="13"/>
    <col min="9217" max="9217" width="12.28515625" style="13" customWidth="1"/>
    <col min="9218" max="9218" width="2.42578125" style="13" customWidth="1"/>
    <col min="9219" max="9219" width="3.42578125" style="13" customWidth="1"/>
    <col min="9220" max="9220" width="13.28515625" style="13" customWidth="1"/>
    <col min="9221" max="9221" width="3.140625" style="13" customWidth="1"/>
    <col min="9222" max="9222" width="5.140625" style="13" customWidth="1"/>
    <col min="9223" max="9223" width="16.42578125" style="13" customWidth="1"/>
    <col min="9224" max="9230" width="0" style="13" hidden="1" customWidth="1"/>
    <col min="9231" max="9231" width="4.140625" style="13" customWidth="1"/>
    <col min="9232" max="9232" width="5.7109375" style="13" customWidth="1"/>
    <col min="9233" max="9233" width="0" style="13" hidden="1" customWidth="1"/>
    <col min="9234" max="9234" width="15.7109375" style="13" customWidth="1"/>
    <col min="9235" max="9235" width="7.7109375" style="13" customWidth="1"/>
    <col min="9236" max="9236" width="9.140625" style="13"/>
    <col min="9237" max="9237" width="10.85546875" style="13" customWidth="1"/>
    <col min="9238" max="9238" width="9.7109375" style="13" customWidth="1"/>
    <col min="9239" max="9239" width="8.85546875" style="13" customWidth="1"/>
    <col min="9240" max="9240" width="10.7109375" style="13" customWidth="1"/>
    <col min="9241" max="9241" width="16" style="13" customWidth="1"/>
    <col min="9242" max="9242" width="8.7109375" style="13" customWidth="1"/>
    <col min="9243" max="9243" width="6.5703125" style="13" bestFit="1" customWidth="1"/>
    <col min="9244" max="9244" width="8.7109375" style="13" customWidth="1"/>
    <col min="9245" max="9245" width="16" style="13" customWidth="1"/>
    <col min="9246" max="9246" width="15" style="13" customWidth="1"/>
    <col min="9247" max="9247" width="9.42578125" style="13" customWidth="1"/>
    <col min="9248" max="9472" width="9.140625" style="13"/>
    <col min="9473" max="9473" width="12.28515625" style="13" customWidth="1"/>
    <col min="9474" max="9474" width="2.42578125" style="13" customWidth="1"/>
    <col min="9475" max="9475" width="3.42578125" style="13" customWidth="1"/>
    <col min="9476" max="9476" width="13.28515625" style="13" customWidth="1"/>
    <col min="9477" max="9477" width="3.140625" style="13" customWidth="1"/>
    <col min="9478" max="9478" width="5.140625" style="13" customWidth="1"/>
    <col min="9479" max="9479" width="16.42578125" style="13" customWidth="1"/>
    <col min="9480" max="9486" width="0" style="13" hidden="1" customWidth="1"/>
    <col min="9487" max="9487" width="4.140625" style="13" customWidth="1"/>
    <col min="9488" max="9488" width="5.7109375" style="13" customWidth="1"/>
    <col min="9489" max="9489" width="0" style="13" hidden="1" customWidth="1"/>
    <col min="9490" max="9490" width="15.7109375" style="13" customWidth="1"/>
    <col min="9491" max="9491" width="7.7109375" style="13" customWidth="1"/>
    <col min="9492" max="9492" width="9.140625" style="13"/>
    <col min="9493" max="9493" width="10.85546875" style="13" customWidth="1"/>
    <col min="9494" max="9494" width="9.7109375" style="13" customWidth="1"/>
    <col min="9495" max="9495" width="8.85546875" style="13" customWidth="1"/>
    <col min="9496" max="9496" width="10.7109375" style="13" customWidth="1"/>
    <col min="9497" max="9497" width="16" style="13" customWidth="1"/>
    <col min="9498" max="9498" width="8.7109375" style="13" customWidth="1"/>
    <col min="9499" max="9499" width="6.5703125" style="13" bestFit="1" customWidth="1"/>
    <col min="9500" max="9500" width="8.7109375" style="13" customWidth="1"/>
    <col min="9501" max="9501" width="16" style="13" customWidth="1"/>
    <col min="9502" max="9502" width="15" style="13" customWidth="1"/>
    <col min="9503" max="9503" width="9.42578125" style="13" customWidth="1"/>
    <col min="9504" max="9728" width="9.140625" style="13"/>
    <col min="9729" max="9729" width="12.28515625" style="13" customWidth="1"/>
    <col min="9730" max="9730" width="2.42578125" style="13" customWidth="1"/>
    <col min="9731" max="9731" width="3.42578125" style="13" customWidth="1"/>
    <col min="9732" max="9732" width="13.28515625" style="13" customWidth="1"/>
    <col min="9733" max="9733" width="3.140625" style="13" customWidth="1"/>
    <col min="9734" max="9734" width="5.140625" style="13" customWidth="1"/>
    <col min="9735" max="9735" width="16.42578125" style="13" customWidth="1"/>
    <col min="9736" max="9742" width="0" style="13" hidden="1" customWidth="1"/>
    <col min="9743" max="9743" width="4.140625" style="13" customWidth="1"/>
    <col min="9744" max="9744" width="5.7109375" style="13" customWidth="1"/>
    <col min="9745" max="9745" width="0" style="13" hidden="1" customWidth="1"/>
    <col min="9746" max="9746" width="15.7109375" style="13" customWidth="1"/>
    <col min="9747" max="9747" width="7.7109375" style="13" customWidth="1"/>
    <col min="9748" max="9748" width="9.140625" style="13"/>
    <col min="9749" max="9749" width="10.85546875" style="13" customWidth="1"/>
    <col min="9750" max="9750" width="9.7109375" style="13" customWidth="1"/>
    <col min="9751" max="9751" width="8.85546875" style="13" customWidth="1"/>
    <col min="9752" max="9752" width="10.7109375" style="13" customWidth="1"/>
    <col min="9753" max="9753" width="16" style="13" customWidth="1"/>
    <col min="9754" max="9754" width="8.7109375" style="13" customWidth="1"/>
    <col min="9755" max="9755" width="6.5703125" style="13" bestFit="1" customWidth="1"/>
    <col min="9756" max="9756" width="8.7109375" style="13" customWidth="1"/>
    <col min="9757" max="9757" width="16" style="13" customWidth="1"/>
    <col min="9758" max="9758" width="15" style="13" customWidth="1"/>
    <col min="9759" max="9759" width="9.42578125" style="13" customWidth="1"/>
    <col min="9760" max="9984" width="9.140625" style="13"/>
    <col min="9985" max="9985" width="12.28515625" style="13" customWidth="1"/>
    <col min="9986" max="9986" width="2.42578125" style="13" customWidth="1"/>
    <col min="9987" max="9987" width="3.42578125" style="13" customWidth="1"/>
    <col min="9988" max="9988" width="13.28515625" style="13" customWidth="1"/>
    <col min="9989" max="9989" width="3.140625" style="13" customWidth="1"/>
    <col min="9990" max="9990" width="5.140625" style="13" customWidth="1"/>
    <col min="9991" max="9991" width="16.42578125" style="13" customWidth="1"/>
    <col min="9992" max="9998" width="0" style="13" hidden="1" customWidth="1"/>
    <col min="9999" max="9999" width="4.140625" style="13" customWidth="1"/>
    <col min="10000" max="10000" width="5.7109375" style="13" customWidth="1"/>
    <col min="10001" max="10001" width="0" style="13" hidden="1" customWidth="1"/>
    <col min="10002" max="10002" width="15.7109375" style="13" customWidth="1"/>
    <col min="10003" max="10003" width="7.7109375" style="13" customWidth="1"/>
    <col min="10004" max="10004" width="9.140625" style="13"/>
    <col min="10005" max="10005" width="10.85546875" style="13" customWidth="1"/>
    <col min="10006" max="10006" width="9.7109375" style="13" customWidth="1"/>
    <col min="10007" max="10007" width="8.85546875" style="13" customWidth="1"/>
    <col min="10008" max="10008" width="10.7109375" style="13" customWidth="1"/>
    <col min="10009" max="10009" width="16" style="13" customWidth="1"/>
    <col min="10010" max="10010" width="8.7109375" style="13" customWidth="1"/>
    <col min="10011" max="10011" width="6.5703125" style="13" bestFit="1" customWidth="1"/>
    <col min="10012" max="10012" width="8.7109375" style="13" customWidth="1"/>
    <col min="10013" max="10013" width="16" style="13" customWidth="1"/>
    <col min="10014" max="10014" width="15" style="13" customWidth="1"/>
    <col min="10015" max="10015" width="9.42578125" style="13" customWidth="1"/>
    <col min="10016" max="10240" width="9.140625" style="13"/>
    <col min="10241" max="10241" width="12.28515625" style="13" customWidth="1"/>
    <col min="10242" max="10242" width="2.42578125" style="13" customWidth="1"/>
    <col min="10243" max="10243" width="3.42578125" style="13" customWidth="1"/>
    <col min="10244" max="10244" width="13.28515625" style="13" customWidth="1"/>
    <col min="10245" max="10245" width="3.140625" style="13" customWidth="1"/>
    <col min="10246" max="10246" width="5.140625" style="13" customWidth="1"/>
    <col min="10247" max="10247" width="16.42578125" style="13" customWidth="1"/>
    <col min="10248" max="10254" width="0" style="13" hidden="1" customWidth="1"/>
    <col min="10255" max="10255" width="4.140625" style="13" customWidth="1"/>
    <col min="10256" max="10256" width="5.7109375" style="13" customWidth="1"/>
    <col min="10257" max="10257" width="0" style="13" hidden="1" customWidth="1"/>
    <col min="10258" max="10258" width="15.7109375" style="13" customWidth="1"/>
    <col min="10259" max="10259" width="7.7109375" style="13" customWidth="1"/>
    <col min="10260" max="10260" width="9.140625" style="13"/>
    <col min="10261" max="10261" width="10.85546875" style="13" customWidth="1"/>
    <col min="10262" max="10262" width="9.7109375" style="13" customWidth="1"/>
    <col min="10263" max="10263" width="8.85546875" style="13" customWidth="1"/>
    <col min="10264" max="10264" width="10.7109375" style="13" customWidth="1"/>
    <col min="10265" max="10265" width="16" style="13" customWidth="1"/>
    <col min="10266" max="10266" width="8.7109375" style="13" customWidth="1"/>
    <col min="10267" max="10267" width="6.5703125" style="13" bestFit="1" customWidth="1"/>
    <col min="10268" max="10268" width="8.7109375" style="13" customWidth="1"/>
    <col min="10269" max="10269" width="16" style="13" customWidth="1"/>
    <col min="10270" max="10270" width="15" style="13" customWidth="1"/>
    <col min="10271" max="10271" width="9.42578125" style="13" customWidth="1"/>
    <col min="10272" max="10496" width="9.140625" style="13"/>
    <col min="10497" max="10497" width="12.28515625" style="13" customWidth="1"/>
    <col min="10498" max="10498" width="2.42578125" style="13" customWidth="1"/>
    <col min="10499" max="10499" width="3.42578125" style="13" customWidth="1"/>
    <col min="10500" max="10500" width="13.28515625" style="13" customWidth="1"/>
    <col min="10501" max="10501" width="3.140625" style="13" customWidth="1"/>
    <col min="10502" max="10502" width="5.140625" style="13" customWidth="1"/>
    <col min="10503" max="10503" width="16.42578125" style="13" customWidth="1"/>
    <col min="10504" max="10510" width="0" style="13" hidden="1" customWidth="1"/>
    <col min="10511" max="10511" width="4.140625" style="13" customWidth="1"/>
    <col min="10512" max="10512" width="5.7109375" style="13" customWidth="1"/>
    <col min="10513" max="10513" width="0" style="13" hidden="1" customWidth="1"/>
    <col min="10514" max="10514" width="15.7109375" style="13" customWidth="1"/>
    <col min="10515" max="10515" width="7.7109375" style="13" customWidth="1"/>
    <col min="10516" max="10516" width="9.140625" style="13"/>
    <col min="10517" max="10517" width="10.85546875" style="13" customWidth="1"/>
    <col min="10518" max="10518" width="9.7109375" style="13" customWidth="1"/>
    <col min="10519" max="10519" width="8.85546875" style="13" customWidth="1"/>
    <col min="10520" max="10520" width="10.7109375" style="13" customWidth="1"/>
    <col min="10521" max="10521" width="16" style="13" customWidth="1"/>
    <col min="10522" max="10522" width="8.7109375" style="13" customWidth="1"/>
    <col min="10523" max="10523" width="6.5703125" style="13" bestFit="1" customWidth="1"/>
    <col min="10524" max="10524" width="8.7109375" style="13" customWidth="1"/>
    <col min="10525" max="10525" width="16" style="13" customWidth="1"/>
    <col min="10526" max="10526" width="15" style="13" customWidth="1"/>
    <col min="10527" max="10527" width="9.42578125" style="13" customWidth="1"/>
    <col min="10528" max="10752" width="9.140625" style="13"/>
    <col min="10753" max="10753" width="12.28515625" style="13" customWidth="1"/>
    <col min="10754" max="10754" width="2.42578125" style="13" customWidth="1"/>
    <col min="10755" max="10755" width="3.42578125" style="13" customWidth="1"/>
    <col min="10756" max="10756" width="13.28515625" style="13" customWidth="1"/>
    <col min="10757" max="10757" width="3.140625" style="13" customWidth="1"/>
    <col min="10758" max="10758" width="5.140625" style="13" customWidth="1"/>
    <col min="10759" max="10759" width="16.42578125" style="13" customWidth="1"/>
    <col min="10760" max="10766" width="0" style="13" hidden="1" customWidth="1"/>
    <col min="10767" max="10767" width="4.140625" style="13" customWidth="1"/>
    <col min="10768" max="10768" width="5.7109375" style="13" customWidth="1"/>
    <col min="10769" max="10769" width="0" style="13" hidden="1" customWidth="1"/>
    <col min="10770" max="10770" width="15.7109375" style="13" customWidth="1"/>
    <col min="10771" max="10771" width="7.7109375" style="13" customWidth="1"/>
    <col min="10772" max="10772" width="9.140625" style="13"/>
    <col min="10773" max="10773" width="10.85546875" style="13" customWidth="1"/>
    <col min="10774" max="10774" width="9.7109375" style="13" customWidth="1"/>
    <col min="10775" max="10775" width="8.85546875" style="13" customWidth="1"/>
    <col min="10776" max="10776" width="10.7109375" style="13" customWidth="1"/>
    <col min="10777" max="10777" width="16" style="13" customWidth="1"/>
    <col min="10778" max="10778" width="8.7109375" style="13" customWidth="1"/>
    <col min="10779" max="10779" width="6.5703125" style="13" bestFit="1" customWidth="1"/>
    <col min="10780" max="10780" width="8.7109375" style="13" customWidth="1"/>
    <col min="10781" max="10781" width="16" style="13" customWidth="1"/>
    <col min="10782" max="10782" width="15" style="13" customWidth="1"/>
    <col min="10783" max="10783" width="9.42578125" style="13" customWidth="1"/>
    <col min="10784" max="11008" width="9.140625" style="13"/>
    <col min="11009" max="11009" width="12.28515625" style="13" customWidth="1"/>
    <col min="11010" max="11010" width="2.42578125" style="13" customWidth="1"/>
    <col min="11011" max="11011" width="3.42578125" style="13" customWidth="1"/>
    <col min="11012" max="11012" width="13.28515625" style="13" customWidth="1"/>
    <col min="11013" max="11013" width="3.140625" style="13" customWidth="1"/>
    <col min="11014" max="11014" width="5.140625" style="13" customWidth="1"/>
    <col min="11015" max="11015" width="16.42578125" style="13" customWidth="1"/>
    <col min="11016" max="11022" width="0" style="13" hidden="1" customWidth="1"/>
    <col min="11023" max="11023" width="4.140625" style="13" customWidth="1"/>
    <col min="11024" max="11024" width="5.7109375" style="13" customWidth="1"/>
    <col min="11025" max="11025" width="0" style="13" hidden="1" customWidth="1"/>
    <col min="11026" max="11026" width="15.7109375" style="13" customWidth="1"/>
    <col min="11027" max="11027" width="7.7109375" style="13" customWidth="1"/>
    <col min="11028" max="11028" width="9.140625" style="13"/>
    <col min="11029" max="11029" width="10.85546875" style="13" customWidth="1"/>
    <col min="11030" max="11030" width="9.7109375" style="13" customWidth="1"/>
    <col min="11031" max="11031" width="8.85546875" style="13" customWidth="1"/>
    <col min="11032" max="11032" width="10.7109375" style="13" customWidth="1"/>
    <col min="11033" max="11033" width="16" style="13" customWidth="1"/>
    <col min="11034" max="11034" width="8.7109375" style="13" customWidth="1"/>
    <col min="11035" max="11035" width="6.5703125" style="13" bestFit="1" customWidth="1"/>
    <col min="11036" max="11036" width="8.7109375" style="13" customWidth="1"/>
    <col min="11037" max="11037" width="16" style="13" customWidth="1"/>
    <col min="11038" max="11038" width="15" style="13" customWidth="1"/>
    <col min="11039" max="11039" width="9.42578125" style="13" customWidth="1"/>
    <col min="11040" max="11264" width="9.140625" style="13"/>
    <col min="11265" max="11265" width="12.28515625" style="13" customWidth="1"/>
    <col min="11266" max="11266" width="2.42578125" style="13" customWidth="1"/>
    <col min="11267" max="11267" width="3.42578125" style="13" customWidth="1"/>
    <col min="11268" max="11268" width="13.28515625" style="13" customWidth="1"/>
    <col min="11269" max="11269" width="3.140625" style="13" customWidth="1"/>
    <col min="11270" max="11270" width="5.140625" style="13" customWidth="1"/>
    <col min="11271" max="11271" width="16.42578125" style="13" customWidth="1"/>
    <col min="11272" max="11278" width="0" style="13" hidden="1" customWidth="1"/>
    <col min="11279" max="11279" width="4.140625" style="13" customWidth="1"/>
    <col min="11280" max="11280" width="5.7109375" style="13" customWidth="1"/>
    <col min="11281" max="11281" width="0" style="13" hidden="1" customWidth="1"/>
    <col min="11282" max="11282" width="15.7109375" style="13" customWidth="1"/>
    <col min="11283" max="11283" width="7.7109375" style="13" customWidth="1"/>
    <col min="11284" max="11284" width="9.140625" style="13"/>
    <col min="11285" max="11285" width="10.85546875" style="13" customWidth="1"/>
    <col min="11286" max="11286" width="9.7109375" style="13" customWidth="1"/>
    <col min="11287" max="11287" width="8.85546875" style="13" customWidth="1"/>
    <col min="11288" max="11288" width="10.7109375" style="13" customWidth="1"/>
    <col min="11289" max="11289" width="16" style="13" customWidth="1"/>
    <col min="11290" max="11290" width="8.7109375" style="13" customWidth="1"/>
    <col min="11291" max="11291" width="6.5703125" style="13" bestFit="1" customWidth="1"/>
    <col min="11292" max="11292" width="8.7109375" style="13" customWidth="1"/>
    <col min="11293" max="11293" width="16" style="13" customWidth="1"/>
    <col min="11294" max="11294" width="15" style="13" customWidth="1"/>
    <col min="11295" max="11295" width="9.42578125" style="13" customWidth="1"/>
    <col min="11296" max="11520" width="9.140625" style="13"/>
    <col min="11521" max="11521" width="12.28515625" style="13" customWidth="1"/>
    <col min="11522" max="11522" width="2.42578125" style="13" customWidth="1"/>
    <col min="11523" max="11523" width="3.42578125" style="13" customWidth="1"/>
    <col min="11524" max="11524" width="13.28515625" style="13" customWidth="1"/>
    <col min="11525" max="11525" width="3.140625" style="13" customWidth="1"/>
    <col min="11526" max="11526" width="5.140625" style="13" customWidth="1"/>
    <col min="11527" max="11527" width="16.42578125" style="13" customWidth="1"/>
    <col min="11528" max="11534" width="0" style="13" hidden="1" customWidth="1"/>
    <col min="11535" max="11535" width="4.140625" style="13" customWidth="1"/>
    <col min="11536" max="11536" width="5.7109375" style="13" customWidth="1"/>
    <col min="11537" max="11537" width="0" style="13" hidden="1" customWidth="1"/>
    <col min="11538" max="11538" width="15.7109375" style="13" customWidth="1"/>
    <col min="11539" max="11539" width="7.7109375" style="13" customWidth="1"/>
    <col min="11540" max="11540" width="9.140625" style="13"/>
    <col min="11541" max="11541" width="10.85546875" style="13" customWidth="1"/>
    <col min="11542" max="11542" width="9.7109375" style="13" customWidth="1"/>
    <col min="11543" max="11543" width="8.85546875" style="13" customWidth="1"/>
    <col min="11544" max="11544" width="10.7109375" style="13" customWidth="1"/>
    <col min="11545" max="11545" width="16" style="13" customWidth="1"/>
    <col min="11546" max="11546" width="8.7109375" style="13" customWidth="1"/>
    <col min="11547" max="11547" width="6.5703125" style="13" bestFit="1" customWidth="1"/>
    <col min="11548" max="11548" width="8.7109375" style="13" customWidth="1"/>
    <col min="11549" max="11549" width="16" style="13" customWidth="1"/>
    <col min="11550" max="11550" width="15" style="13" customWidth="1"/>
    <col min="11551" max="11551" width="9.42578125" style="13" customWidth="1"/>
    <col min="11552" max="11776" width="9.140625" style="13"/>
    <col min="11777" max="11777" width="12.28515625" style="13" customWidth="1"/>
    <col min="11778" max="11778" width="2.42578125" style="13" customWidth="1"/>
    <col min="11779" max="11779" width="3.42578125" style="13" customWidth="1"/>
    <col min="11780" max="11780" width="13.28515625" style="13" customWidth="1"/>
    <col min="11781" max="11781" width="3.140625" style="13" customWidth="1"/>
    <col min="11782" max="11782" width="5.140625" style="13" customWidth="1"/>
    <col min="11783" max="11783" width="16.42578125" style="13" customWidth="1"/>
    <col min="11784" max="11790" width="0" style="13" hidden="1" customWidth="1"/>
    <col min="11791" max="11791" width="4.140625" style="13" customWidth="1"/>
    <col min="11792" max="11792" width="5.7109375" style="13" customWidth="1"/>
    <col min="11793" max="11793" width="0" style="13" hidden="1" customWidth="1"/>
    <col min="11794" max="11794" width="15.7109375" style="13" customWidth="1"/>
    <col min="11795" max="11795" width="7.7109375" style="13" customWidth="1"/>
    <col min="11796" max="11796" width="9.140625" style="13"/>
    <col min="11797" max="11797" width="10.85546875" style="13" customWidth="1"/>
    <col min="11798" max="11798" width="9.7109375" style="13" customWidth="1"/>
    <col min="11799" max="11799" width="8.85546875" style="13" customWidth="1"/>
    <col min="11800" max="11800" width="10.7109375" style="13" customWidth="1"/>
    <col min="11801" max="11801" width="16" style="13" customWidth="1"/>
    <col min="11802" max="11802" width="8.7109375" style="13" customWidth="1"/>
    <col min="11803" max="11803" width="6.5703125" style="13" bestFit="1" customWidth="1"/>
    <col min="11804" max="11804" width="8.7109375" style="13" customWidth="1"/>
    <col min="11805" max="11805" width="16" style="13" customWidth="1"/>
    <col min="11806" max="11806" width="15" style="13" customWidth="1"/>
    <col min="11807" max="11807" width="9.42578125" style="13" customWidth="1"/>
    <col min="11808" max="12032" width="9.140625" style="13"/>
    <col min="12033" max="12033" width="12.28515625" style="13" customWidth="1"/>
    <col min="12034" max="12034" width="2.42578125" style="13" customWidth="1"/>
    <col min="12035" max="12035" width="3.42578125" style="13" customWidth="1"/>
    <col min="12036" max="12036" width="13.28515625" style="13" customWidth="1"/>
    <col min="12037" max="12037" width="3.140625" style="13" customWidth="1"/>
    <col min="12038" max="12038" width="5.140625" style="13" customWidth="1"/>
    <col min="12039" max="12039" width="16.42578125" style="13" customWidth="1"/>
    <col min="12040" max="12046" width="0" style="13" hidden="1" customWidth="1"/>
    <col min="12047" max="12047" width="4.140625" style="13" customWidth="1"/>
    <col min="12048" max="12048" width="5.7109375" style="13" customWidth="1"/>
    <col min="12049" max="12049" width="0" style="13" hidden="1" customWidth="1"/>
    <col min="12050" max="12050" width="15.7109375" style="13" customWidth="1"/>
    <col min="12051" max="12051" width="7.7109375" style="13" customWidth="1"/>
    <col min="12052" max="12052" width="9.140625" style="13"/>
    <col min="12053" max="12053" width="10.85546875" style="13" customWidth="1"/>
    <col min="12054" max="12054" width="9.7109375" style="13" customWidth="1"/>
    <col min="12055" max="12055" width="8.85546875" style="13" customWidth="1"/>
    <col min="12056" max="12056" width="10.7109375" style="13" customWidth="1"/>
    <col min="12057" max="12057" width="16" style="13" customWidth="1"/>
    <col min="12058" max="12058" width="8.7109375" style="13" customWidth="1"/>
    <col min="12059" max="12059" width="6.5703125" style="13" bestFit="1" customWidth="1"/>
    <col min="12060" max="12060" width="8.7109375" style="13" customWidth="1"/>
    <col min="12061" max="12061" width="16" style="13" customWidth="1"/>
    <col min="12062" max="12062" width="15" style="13" customWidth="1"/>
    <col min="12063" max="12063" width="9.42578125" style="13" customWidth="1"/>
    <col min="12064" max="12288" width="9.140625" style="13"/>
    <col min="12289" max="12289" width="12.28515625" style="13" customWidth="1"/>
    <col min="12290" max="12290" width="2.42578125" style="13" customWidth="1"/>
    <col min="12291" max="12291" width="3.42578125" style="13" customWidth="1"/>
    <col min="12292" max="12292" width="13.28515625" style="13" customWidth="1"/>
    <col min="12293" max="12293" width="3.140625" style="13" customWidth="1"/>
    <col min="12294" max="12294" width="5.140625" style="13" customWidth="1"/>
    <col min="12295" max="12295" width="16.42578125" style="13" customWidth="1"/>
    <col min="12296" max="12302" width="0" style="13" hidden="1" customWidth="1"/>
    <col min="12303" max="12303" width="4.140625" style="13" customWidth="1"/>
    <col min="12304" max="12304" width="5.7109375" style="13" customWidth="1"/>
    <col min="12305" max="12305" width="0" style="13" hidden="1" customWidth="1"/>
    <col min="12306" max="12306" width="15.7109375" style="13" customWidth="1"/>
    <col min="12307" max="12307" width="7.7109375" style="13" customWidth="1"/>
    <col min="12308" max="12308" width="9.140625" style="13"/>
    <col min="12309" max="12309" width="10.85546875" style="13" customWidth="1"/>
    <col min="12310" max="12310" width="9.7109375" style="13" customWidth="1"/>
    <col min="12311" max="12311" width="8.85546875" style="13" customWidth="1"/>
    <col min="12312" max="12312" width="10.7109375" style="13" customWidth="1"/>
    <col min="12313" max="12313" width="16" style="13" customWidth="1"/>
    <col min="12314" max="12314" width="8.7109375" style="13" customWidth="1"/>
    <col min="12315" max="12315" width="6.5703125" style="13" bestFit="1" customWidth="1"/>
    <col min="12316" max="12316" width="8.7109375" style="13" customWidth="1"/>
    <col min="12317" max="12317" width="16" style="13" customWidth="1"/>
    <col min="12318" max="12318" width="15" style="13" customWidth="1"/>
    <col min="12319" max="12319" width="9.42578125" style="13" customWidth="1"/>
    <col min="12320" max="12544" width="9.140625" style="13"/>
    <col min="12545" max="12545" width="12.28515625" style="13" customWidth="1"/>
    <col min="12546" max="12546" width="2.42578125" style="13" customWidth="1"/>
    <col min="12547" max="12547" width="3.42578125" style="13" customWidth="1"/>
    <col min="12548" max="12548" width="13.28515625" style="13" customWidth="1"/>
    <col min="12549" max="12549" width="3.140625" style="13" customWidth="1"/>
    <col min="12550" max="12550" width="5.140625" style="13" customWidth="1"/>
    <col min="12551" max="12551" width="16.42578125" style="13" customWidth="1"/>
    <col min="12552" max="12558" width="0" style="13" hidden="1" customWidth="1"/>
    <col min="12559" max="12559" width="4.140625" style="13" customWidth="1"/>
    <col min="12560" max="12560" width="5.7109375" style="13" customWidth="1"/>
    <col min="12561" max="12561" width="0" style="13" hidden="1" customWidth="1"/>
    <col min="12562" max="12562" width="15.7109375" style="13" customWidth="1"/>
    <col min="12563" max="12563" width="7.7109375" style="13" customWidth="1"/>
    <col min="12564" max="12564" width="9.140625" style="13"/>
    <col min="12565" max="12565" width="10.85546875" style="13" customWidth="1"/>
    <col min="12566" max="12566" width="9.7109375" style="13" customWidth="1"/>
    <col min="12567" max="12567" width="8.85546875" style="13" customWidth="1"/>
    <col min="12568" max="12568" width="10.7109375" style="13" customWidth="1"/>
    <col min="12569" max="12569" width="16" style="13" customWidth="1"/>
    <col min="12570" max="12570" width="8.7109375" style="13" customWidth="1"/>
    <col min="12571" max="12571" width="6.5703125" style="13" bestFit="1" customWidth="1"/>
    <col min="12572" max="12572" width="8.7109375" style="13" customWidth="1"/>
    <col min="12573" max="12573" width="16" style="13" customWidth="1"/>
    <col min="12574" max="12574" width="15" style="13" customWidth="1"/>
    <col min="12575" max="12575" width="9.42578125" style="13" customWidth="1"/>
    <col min="12576" max="12800" width="9.140625" style="13"/>
    <col min="12801" max="12801" width="12.28515625" style="13" customWidth="1"/>
    <col min="12802" max="12802" width="2.42578125" style="13" customWidth="1"/>
    <col min="12803" max="12803" width="3.42578125" style="13" customWidth="1"/>
    <col min="12804" max="12804" width="13.28515625" style="13" customWidth="1"/>
    <col min="12805" max="12805" width="3.140625" style="13" customWidth="1"/>
    <col min="12806" max="12806" width="5.140625" style="13" customWidth="1"/>
    <col min="12807" max="12807" width="16.42578125" style="13" customWidth="1"/>
    <col min="12808" max="12814" width="0" style="13" hidden="1" customWidth="1"/>
    <col min="12815" max="12815" width="4.140625" style="13" customWidth="1"/>
    <col min="12816" max="12816" width="5.7109375" style="13" customWidth="1"/>
    <col min="12817" max="12817" width="0" style="13" hidden="1" customWidth="1"/>
    <col min="12818" max="12818" width="15.7109375" style="13" customWidth="1"/>
    <col min="12819" max="12819" width="7.7109375" style="13" customWidth="1"/>
    <col min="12820" max="12820" width="9.140625" style="13"/>
    <col min="12821" max="12821" width="10.85546875" style="13" customWidth="1"/>
    <col min="12822" max="12822" width="9.7109375" style="13" customWidth="1"/>
    <col min="12823" max="12823" width="8.85546875" style="13" customWidth="1"/>
    <col min="12824" max="12824" width="10.7109375" style="13" customWidth="1"/>
    <col min="12825" max="12825" width="16" style="13" customWidth="1"/>
    <col min="12826" max="12826" width="8.7109375" style="13" customWidth="1"/>
    <col min="12827" max="12827" width="6.5703125" style="13" bestFit="1" customWidth="1"/>
    <col min="12828" max="12828" width="8.7109375" style="13" customWidth="1"/>
    <col min="12829" max="12829" width="16" style="13" customWidth="1"/>
    <col min="12830" max="12830" width="15" style="13" customWidth="1"/>
    <col min="12831" max="12831" width="9.42578125" style="13" customWidth="1"/>
    <col min="12832" max="13056" width="9.140625" style="13"/>
    <col min="13057" max="13057" width="12.28515625" style="13" customWidth="1"/>
    <col min="13058" max="13058" width="2.42578125" style="13" customWidth="1"/>
    <col min="13059" max="13059" width="3.42578125" style="13" customWidth="1"/>
    <col min="13060" max="13060" width="13.28515625" style="13" customWidth="1"/>
    <col min="13061" max="13061" width="3.140625" style="13" customWidth="1"/>
    <col min="13062" max="13062" width="5.140625" style="13" customWidth="1"/>
    <col min="13063" max="13063" width="16.42578125" style="13" customWidth="1"/>
    <col min="13064" max="13070" width="0" style="13" hidden="1" customWidth="1"/>
    <col min="13071" max="13071" width="4.140625" style="13" customWidth="1"/>
    <col min="13072" max="13072" width="5.7109375" style="13" customWidth="1"/>
    <col min="13073" max="13073" width="0" style="13" hidden="1" customWidth="1"/>
    <col min="13074" max="13074" width="15.7109375" style="13" customWidth="1"/>
    <col min="13075" max="13075" width="7.7109375" style="13" customWidth="1"/>
    <col min="13076" max="13076" width="9.140625" style="13"/>
    <col min="13077" max="13077" width="10.85546875" style="13" customWidth="1"/>
    <col min="13078" max="13078" width="9.7109375" style="13" customWidth="1"/>
    <col min="13079" max="13079" width="8.85546875" style="13" customWidth="1"/>
    <col min="13080" max="13080" width="10.7109375" style="13" customWidth="1"/>
    <col min="13081" max="13081" width="16" style="13" customWidth="1"/>
    <col min="13082" max="13082" width="8.7109375" style="13" customWidth="1"/>
    <col min="13083" max="13083" width="6.5703125" style="13" bestFit="1" customWidth="1"/>
    <col min="13084" max="13084" width="8.7109375" style="13" customWidth="1"/>
    <col min="13085" max="13085" width="16" style="13" customWidth="1"/>
    <col min="13086" max="13086" width="15" style="13" customWidth="1"/>
    <col min="13087" max="13087" width="9.42578125" style="13" customWidth="1"/>
    <col min="13088" max="13312" width="9.140625" style="13"/>
    <col min="13313" max="13313" width="12.28515625" style="13" customWidth="1"/>
    <col min="13314" max="13314" width="2.42578125" style="13" customWidth="1"/>
    <col min="13315" max="13315" width="3.42578125" style="13" customWidth="1"/>
    <col min="13316" max="13316" width="13.28515625" style="13" customWidth="1"/>
    <col min="13317" max="13317" width="3.140625" style="13" customWidth="1"/>
    <col min="13318" max="13318" width="5.140625" style="13" customWidth="1"/>
    <col min="13319" max="13319" width="16.42578125" style="13" customWidth="1"/>
    <col min="13320" max="13326" width="0" style="13" hidden="1" customWidth="1"/>
    <col min="13327" max="13327" width="4.140625" style="13" customWidth="1"/>
    <col min="13328" max="13328" width="5.7109375" style="13" customWidth="1"/>
    <col min="13329" max="13329" width="0" style="13" hidden="1" customWidth="1"/>
    <col min="13330" max="13330" width="15.7109375" style="13" customWidth="1"/>
    <col min="13331" max="13331" width="7.7109375" style="13" customWidth="1"/>
    <col min="13332" max="13332" width="9.140625" style="13"/>
    <col min="13333" max="13333" width="10.85546875" style="13" customWidth="1"/>
    <col min="13334" max="13334" width="9.7109375" style="13" customWidth="1"/>
    <col min="13335" max="13335" width="8.85546875" style="13" customWidth="1"/>
    <col min="13336" max="13336" width="10.7109375" style="13" customWidth="1"/>
    <col min="13337" max="13337" width="16" style="13" customWidth="1"/>
    <col min="13338" max="13338" width="8.7109375" style="13" customWidth="1"/>
    <col min="13339" max="13339" width="6.5703125" style="13" bestFit="1" customWidth="1"/>
    <col min="13340" max="13340" width="8.7109375" style="13" customWidth="1"/>
    <col min="13341" max="13341" width="16" style="13" customWidth="1"/>
    <col min="13342" max="13342" width="15" style="13" customWidth="1"/>
    <col min="13343" max="13343" width="9.42578125" style="13" customWidth="1"/>
    <col min="13344" max="13568" width="9.140625" style="13"/>
    <col min="13569" max="13569" width="12.28515625" style="13" customWidth="1"/>
    <col min="13570" max="13570" width="2.42578125" style="13" customWidth="1"/>
    <col min="13571" max="13571" width="3.42578125" style="13" customWidth="1"/>
    <col min="13572" max="13572" width="13.28515625" style="13" customWidth="1"/>
    <col min="13573" max="13573" width="3.140625" style="13" customWidth="1"/>
    <col min="13574" max="13574" width="5.140625" style="13" customWidth="1"/>
    <col min="13575" max="13575" width="16.42578125" style="13" customWidth="1"/>
    <col min="13576" max="13582" width="0" style="13" hidden="1" customWidth="1"/>
    <col min="13583" max="13583" width="4.140625" style="13" customWidth="1"/>
    <col min="13584" max="13584" width="5.7109375" style="13" customWidth="1"/>
    <col min="13585" max="13585" width="0" style="13" hidden="1" customWidth="1"/>
    <col min="13586" max="13586" width="15.7109375" style="13" customWidth="1"/>
    <col min="13587" max="13587" width="7.7109375" style="13" customWidth="1"/>
    <col min="13588" max="13588" width="9.140625" style="13"/>
    <col min="13589" max="13589" width="10.85546875" style="13" customWidth="1"/>
    <col min="13590" max="13590" width="9.7109375" style="13" customWidth="1"/>
    <col min="13591" max="13591" width="8.85546875" style="13" customWidth="1"/>
    <col min="13592" max="13592" width="10.7109375" style="13" customWidth="1"/>
    <col min="13593" max="13593" width="16" style="13" customWidth="1"/>
    <col min="13594" max="13594" width="8.7109375" style="13" customWidth="1"/>
    <col min="13595" max="13595" width="6.5703125" style="13" bestFit="1" customWidth="1"/>
    <col min="13596" max="13596" width="8.7109375" style="13" customWidth="1"/>
    <col min="13597" max="13597" width="16" style="13" customWidth="1"/>
    <col min="13598" max="13598" width="15" style="13" customWidth="1"/>
    <col min="13599" max="13599" width="9.42578125" style="13" customWidth="1"/>
    <col min="13600" max="13824" width="9.140625" style="13"/>
    <col min="13825" max="13825" width="12.28515625" style="13" customWidth="1"/>
    <col min="13826" max="13826" width="2.42578125" style="13" customWidth="1"/>
    <col min="13827" max="13827" width="3.42578125" style="13" customWidth="1"/>
    <col min="13828" max="13828" width="13.28515625" style="13" customWidth="1"/>
    <col min="13829" max="13829" width="3.140625" style="13" customWidth="1"/>
    <col min="13830" max="13830" width="5.140625" style="13" customWidth="1"/>
    <col min="13831" max="13831" width="16.42578125" style="13" customWidth="1"/>
    <col min="13832" max="13838" width="0" style="13" hidden="1" customWidth="1"/>
    <col min="13839" max="13839" width="4.140625" style="13" customWidth="1"/>
    <col min="13840" max="13840" width="5.7109375" style="13" customWidth="1"/>
    <col min="13841" max="13841" width="0" style="13" hidden="1" customWidth="1"/>
    <col min="13842" max="13842" width="15.7109375" style="13" customWidth="1"/>
    <col min="13843" max="13843" width="7.7109375" style="13" customWidth="1"/>
    <col min="13844" max="13844" width="9.140625" style="13"/>
    <col min="13845" max="13845" width="10.85546875" style="13" customWidth="1"/>
    <col min="13846" max="13846" width="9.7109375" style="13" customWidth="1"/>
    <col min="13847" max="13847" width="8.85546875" style="13" customWidth="1"/>
    <col min="13848" max="13848" width="10.7109375" style="13" customWidth="1"/>
    <col min="13849" max="13849" width="16" style="13" customWidth="1"/>
    <col min="13850" max="13850" width="8.7109375" style="13" customWidth="1"/>
    <col min="13851" max="13851" width="6.5703125" style="13" bestFit="1" customWidth="1"/>
    <col min="13852" max="13852" width="8.7109375" style="13" customWidth="1"/>
    <col min="13853" max="13853" width="16" style="13" customWidth="1"/>
    <col min="13854" max="13854" width="15" style="13" customWidth="1"/>
    <col min="13855" max="13855" width="9.42578125" style="13" customWidth="1"/>
    <col min="13856" max="14080" width="9.140625" style="13"/>
    <col min="14081" max="14081" width="12.28515625" style="13" customWidth="1"/>
    <col min="14082" max="14082" width="2.42578125" style="13" customWidth="1"/>
    <col min="14083" max="14083" width="3.42578125" style="13" customWidth="1"/>
    <col min="14084" max="14084" width="13.28515625" style="13" customWidth="1"/>
    <col min="14085" max="14085" width="3.140625" style="13" customWidth="1"/>
    <col min="14086" max="14086" width="5.140625" style="13" customWidth="1"/>
    <col min="14087" max="14087" width="16.42578125" style="13" customWidth="1"/>
    <col min="14088" max="14094" width="0" style="13" hidden="1" customWidth="1"/>
    <col min="14095" max="14095" width="4.140625" style="13" customWidth="1"/>
    <col min="14096" max="14096" width="5.7109375" style="13" customWidth="1"/>
    <col min="14097" max="14097" width="0" style="13" hidden="1" customWidth="1"/>
    <col min="14098" max="14098" width="15.7109375" style="13" customWidth="1"/>
    <col min="14099" max="14099" width="7.7109375" style="13" customWidth="1"/>
    <col min="14100" max="14100" width="9.140625" style="13"/>
    <col min="14101" max="14101" width="10.85546875" style="13" customWidth="1"/>
    <col min="14102" max="14102" width="9.7109375" style="13" customWidth="1"/>
    <col min="14103" max="14103" width="8.85546875" style="13" customWidth="1"/>
    <col min="14104" max="14104" width="10.7109375" style="13" customWidth="1"/>
    <col min="14105" max="14105" width="16" style="13" customWidth="1"/>
    <col min="14106" max="14106" width="8.7109375" style="13" customWidth="1"/>
    <col min="14107" max="14107" width="6.5703125" style="13" bestFit="1" customWidth="1"/>
    <col min="14108" max="14108" width="8.7109375" style="13" customWidth="1"/>
    <col min="14109" max="14109" width="16" style="13" customWidth="1"/>
    <col min="14110" max="14110" width="15" style="13" customWidth="1"/>
    <col min="14111" max="14111" width="9.42578125" style="13" customWidth="1"/>
    <col min="14112" max="14336" width="9.140625" style="13"/>
    <col min="14337" max="14337" width="12.28515625" style="13" customWidth="1"/>
    <col min="14338" max="14338" width="2.42578125" style="13" customWidth="1"/>
    <col min="14339" max="14339" width="3.42578125" style="13" customWidth="1"/>
    <col min="14340" max="14340" width="13.28515625" style="13" customWidth="1"/>
    <col min="14341" max="14341" width="3.140625" style="13" customWidth="1"/>
    <col min="14342" max="14342" width="5.140625" style="13" customWidth="1"/>
    <col min="14343" max="14343" width="16.42578125" style="13" customWidth="1"/>
    <col min="14344" max="14350" width="0" style="13" hidden="1" customWidth="1"/>
    <col min="14351" max="14351" width="4.140625" style="13" customWidth="1"/>
    <col min="14352" max="14352" width="5.7109375" style="13" customWidth="1"/>
    <col min="14353" max="14353" width="0" style="13" hidden="1" customWidth="1"/>
    <col min="14354" max="14354" width="15.7109375" style="13" customWidth="1"/>
    <col min="14355" max="14355" width="7.7109375" style="13" customWidth="1"/>
    <col min="14356" max="14356" width="9.140625" style="13"/>
    <col min="14357" max="14357" width="10.85546875" style="13" customWidth="1"/>
    <col min="14358" max="14358" width="9.7109375" style="13" customWidth="1"/>
    <col min="14359" max="14359" width="8.85546875" style="13" customWidth="1"/>
    <col min="14360" max="14360" width="10.7109375" style="13" customWidth="1"/>
    <col min="14361" max="14361" width="16" style="13" customWidth="1"/>
    <col min="14362" max="14362" width="8.7109375" style="13" customWidth="1"/>
    <col min="14363" max="14363" width="6.5703125" style="13" bestFit="1" customWidth="1"/>
    <col min="14364" max="14364" width="8.7109375" style="13" customWidth="1"/>
    <col min="14365" max="14365" width="16" style="13" customWidth="1"/>
    <col min="14366" max="14366" width="15" style="13" customWidth="1"/>
    <col min="14367" max="14367" width="9.42578125" style="13" customWidth="1"/>
    <col min="14368" max="14592" width="9.140625" style="13"/>
    <col min="14593" max="14593" width="12.28515625" style="13" customWidth="1"/>
    <col min="14594" max="14594" width="2.42578125" style="13" customWidth="1"/>
    <col min="14595" max="14595" width="3.42578125" style="13" customWidth="1"/>
    <col min="14596" max="14596" width="13.28515625" style="13" customWidth="1"/>
    <col min="14597" max="14597" width="3.140625" style="13" customWidth="1"/>
    <col min="14598" max="14598" width="5.140625" style="13" customWidth="1"/>
    <col min="14599" max="14599" width="16.42578125" style="13" customWidth="1"/>
    <col min="14600" max="14606" width="0" style="13" hidden="1" customWidth="1"/>
    <col min="14607" max="14607" width="4.140625" style="13" customWidth="1"/>
    <col min="14608" max="14608" width="5.7109375" style="13" customWidth="1"/>
    <col min="14609" max="14609" width="0" style="13" hidden="1" customWidth="1"/>
    <col min="14610" max="14610" width="15.7109375" style="13" customWidth="1"/>
    <col min="14611" max="14611" width="7.7109375" style="13" customWidth="1"/>
    <col min="14612" max="14612" width="9.140625" style="13"/>
    <col min="14613" max="14613" width="10.85546875" style="13" customWidth="1"/>
    <col min="14614" max="14614" width="9.7109375" style="13" customWidth="1"/>
    <col min="14615" max="14615" width="8.85546875" style="13" customWidth="1"/>
    <col min="14616" max="14616" width="10.7109375" style="13" customWidth="1"/>
    <col min="14617" max="14617" width="16" style="13" customWidth="1"/>
    <col min="14618" max="14618" width="8.7109375" style="13" customWidth="1"/>
    <col min="14619" max="14619" width="6.5703125" style="13" bestFit="1" customWidth="1"/>
    <col min="14620" max="14620" width="8.7109375" style="13" customWidth="1"/>
    <col min="14621" max="14621" width="16" style="13" customWidth="1"/>
    <col min="14622" max="14622" width="15" style="13" customWidth="1"/>
    <col min="14623" max="14623" width="9.42578125" style="13" customWidth="1"/>
    <col min="14624" max="14848" width="9.140625" style="13"/>
    <col min="14849" max="14849" width="12.28515625" style="13" customWidth="1"/>
    <col min="14850" max="14850" width="2.42578125" style="13" customWidth="1"/>
    <col min="14851" max="14851" width="3.42578125" style="13" customWidth="1"/>
    <col min="14852" max="14852" width="13.28515625" style="13" customWidth="1"/>
    <col min="14853" max="14853" width="3.140625" style="13" customWidth="1"/>
    <col min="14854" max="14854" width="5.140625" style="13" customWidth="1"/>
    <col min="14855" max="14855" width="16.42578125" style="13" customWidth="1"/>
    <col min="14856" max="14862" width="0" style="13" hidden="1" customWidth="1"/>
    <col min="14863" max="14863" width="4.140625" style="13" customWidth="1"/>
    <col min="14864" max="14864" width="5.7109375" style="13" customWidth="1"/>
    <col min="14865" max="14865" width="0" style="13" hidden="1" customWidth="1"/>
    <col min="14866" max="14866" width="15.7109375" style="13" customWidth="1"/>
    <col min="14867" max="14867" width="7.7109375" style="13" customWidth="1"/>
    <col min="14868" max="14868" width="9.140625" style="13"/>
    <col min="14869" max="14869" width="10.85546875" style="13" customWidth="1"/>
    <col min="14870" max="14870" width="9.7109375" style="13" customWidth="1"/>
    <col min="14871" max="14871" width="8.85546875" style="13" customWidth="1"/>
    <col min="14872" max="14872" width="10.7109375" style="13" customWidth="1"/>
    <col min="14873" max="14873" width="16" style="13" customWidth="1"/>
    <col min="14874" max="14874" width="8.7109375" style="13" customWidth="1"/>
    <col min="14875" max="14875" width="6.5703125" style="13" bestFit="1" customWidth="1"/>
    <col min="14876" max="14876" width="8.7109375" style="13" customWidth="1"/>
    <col min="14877" max="14877" width="16" style="13" customWidth="1"/>
    <col min="14878" max="14878" width="15" style="13" customWidth="1"/>
    <col min="14879" max="14879" width="9.42578125" style="13" customWidth="1"/>
    <col min="14880" max="15104" width="9.140625" style="13"/>
    <col min="15105" max="15105" width="12.28515625" style="13" customWidth="1"/>
    <col min="15106" max="15106" width="2.42578125" style="13" customWidth="1"/>
    <col min="15107" max="15107" width="3.42578125" style="13" customWidth="1"/>
    <col min="15108" max="15108" width="13.28515625" style="13" customWidth="1"/>
    <col min="15109" max="15109" width="3.140625" style="13" customWidth="1"/>
    <col min="15110" max="15110" width="5.140625" style="13" customWidth="1"/>
    <col min="15111" max="15111" width="16.42578125" style="13" customWidth="1"/>
    <col min="15112" max="15118" width="0" style="13" hidden="1" customWidth="1"/>
    <col min="15119" max="15119" width="4.140625" style="13" customWidth="1"/>
    <col min="15120" max="15120" width="5.7109375" style="13" customWidth="1"/>
    <col min="15121" max="15121" width="0" style="13" hidden="1" customWidth="1"/>
    <col min="15122" max="15122" width="15.7109375" style="13" customWidth="1"/>
    <col min="15123" max="15123" width="7.7109375" style="13" customWidth="1"/>
    <col min="15124" max="15124" width="9.140625" style="13"/>
    <col min="15125" max="15125" width="10.85546875" style="13" customWidth="1"/>
    <col min="15126" max="15126" width="9.7109375" style="13" customWidth="1"/>
    <col min="15127" max="15127" width="8.85546875" style="13" customWidth="1"/>
    <col min="15128" max="15128" width="10.7109375" style="13" customWidth="1"/>
    <col min="15129" max="15129" width="16" style="13" customWidth="1"/>
    <col min="15130" max="15130" width="8.7109375" style="13" customWidth="1"/>
    <col min="15131" max="15131" width="6.5703125" style="13" bestFit="1" customWidth="1"/>
    <col min="15132" max="15132" width="8.7109375" style="13" customWidth="1"/>
    <col min="15133" max="15133" width="16" style="13" customWidth="1"/>
    <col min="15134" max="15134" width="15" style="13" customWidth="1"/>
    <col min="15135" max="15135" width="9.42578125" style="13" customWidth="1"/>
    <col min="15136" max="15360" width="9.140625" style="13"/>
    <col min="15361" max="15361" width="12.28515625" style="13" customWidth="1"/>
    <col min="15362" max="15362" width="2.42578125" style="13" customWidth="1"/>
    <col min="15363" max="15363" width="3.42578125" style="13" customWidth="1"/>
    <col min="15364" max="15364" width="13.28515625" style="13" customWidth="1"/>
    <col min="15365" max="15365" width="3.140625" style="13" customWidth="1"/>
    <col min="15366" max="15366" width="5.140625" style="13" customWidth="1"/>
    <col min="15367" max="15367" width="16.42578125" style="13" customWidth="1"/>
    <col min="15368" max="15374" width="0" style="13" hidden="1" customWidth="1"/>
    <col min="15375" max="15375" width="4.140625" style="13" customWidth="1"/>
    <col min="15376" max="15376" width="5.7109375" style="13" customWidth="1"/>
    <col min="15377" max="15377" width="0" style="13" hidden="1" customWidth="1"/>
    <col min="15378" max="15378" width="15.7109375" style="13" customWidth="1"/>
    <col min="15379" max="15379" width="7.7109375" style="13" customWidth="1"/>
    <col min="15380" max="15380" width="9.140625" style="13"/>
    <col min="15381" max="15381" width="10.85546875" style="13" customWidth="1"/>
    <col min="15382" max="15382" width="9.7109375" style="13" customWidth="1"/>
    <col min="15383" max="15383" width="8.85546875" style="13" customWidth="1"/>
    <col min="15384" max="15384" width="10.7109375" style="13" customWidth="1"/>
    <col min="15385" max="15385" width="16" style="13" customWidth="1"/>
    <col min="15386" max="15386" width="8.7109375" style="13" customWidth="1"/>
    <col min="15387" max="15387" width="6.5703125" style="13" bestFit="1" customWidth="1"/>
    <col min="15388" max="15388" width="8.7109375" style="13" customWidth="1"/>
    <col min="15389" max="15389" width="16" style="13" customWidth="1"/>
    <col min="15390" max="15390" width="15" style="13" customWidth="1"/>
    <col min="15391" max="15391" width="9.42578125" style="13" customWidth="1"/>
    <col min="15392" max="15616" width="9.140625" style="13"/>
    <col min="15617" max="15617" width="12.28515625" style="13" customWidth="1"/>
    <col min="15618" max="15618" width="2.42578125" style="13" customWidth="1"/>
    <col min="15619" max="15619" width="3.42578125" style="13" customWidth="1"/>
    <col min="15620" max="15620" width="13.28515625" style="13" customWidth="1"/>
    <col min="15621" max="15621" width="3.140625" style="13" customWidth="1"/>
    <col min="15622" max="15622" width="5.140625" style="13" customWidth="1"/>
    <col min="15623" max="15623" width="16.42578125" style="13" customWidth="1"/>
    <col min="15624" max="15630" width="0" style="13" hidden="1" customWidth="1"/>
    <col min="15631" max="15631" width="4.140625" style="13" customWidth="1"/>
    <col min="15632" max="15632" width="5.7109375" style="13" customWidth="1"/>
    <col min="15633" max="15633" width="0" style="13" hidden="1" customWidth="1"/>
    <col min="15634" max="15634" width="15.7109375" style="13" customWidth="1"/>
    <col min="15635" max="15635" width="7.7109375" style="13" customWidth="1"/>
    <col min="15636" max="15636" width="9.140625" style="13"/>
    <col min="15637" max="15637" width="10.85546875" style="13" customWidth="1"/>
    <col min="15638" max="15638" width="9.7109375" style="13" customWidth="1"/>
    <col min="15639" max="15639" width="8.85546875" style="13" customWidth="1"/>
    <col min="15640" max="15640" width="10.7109375" style="13" customWidth="1"/>
    <col min="15641" max="15641" width="16" style="13" customWidth="1"/>
    <col min="15642" max="15642" width="8.7109375" style="13" customWidth="1"/>
    <col min="15643" max="15643" width="6.5703125" style="13" bestFit="1" customWidth="1"/>
    <col min="15644" max="15644" width="8.7109375" style="13" customWidth="1"/>
    <col min="15645" max="15645" width="16" style="13" customWidth="1"/>
    <col min="15646" max="15646" width="15" style="13" customWidth="1"/>
    <col min="15647" max="15647" width="9.42578125" style="13" customWidth="1"/>
    <col min="15648" max="15872" width="9.140625" style="13"/>
    <col min="15873" max="15873" width="12.28515625" style="13" customWidth="1"/>
    <col min="15874" max="15874" width="2.42578125" style="13" customWidth="1"/>
    <col min="15875" max="15875" width="3.42578125" style="13" customWidth="1"/>
    <col min="15876" max="15876" width="13.28515625" style="13" customWidth="1"/>
    <col min="15877" max="15877" width="3.140625" style="13" customWidth="1"/>
    <col min="15878" max="15878" width="5.140625" style="13" customWidth="1"/>
    <col min="15879" max="15879" width="16.42578125" style="13" customWidth="1"/>
    <col min="15880" max="15886" width="0" style="13" hidden="1" customWidth="1"/>
    <col min="15887" max="15887" width="4.140625" style="13" customWidth="1"/>
    <col min="15888" max="15888" width="5.7109375" style="13" customWidth="1"/>
    <col min="15889" max="15889" width="0" style="13" hidden="1" customWidth="1"/>
    <col min="15890" max="15890" width="15.7109375" style="13" customWidth="1"/>
    <col min="15891" max="15891" width="7.7109375" style="13" customWidth="1"/>
    <col min="15892" max="15892" width="9.140625" style="13"/>
    <col min="15893" max="15893" width="10.85546875" style="13" customWidth="1"/>
    <col min="15894" max="15894" width="9.7109375" style="13" customWidth="1"/>
    <col min="15895" max="15895" width="8.85546875" style="13" customWidth="1"/>
    <col min="15896" max="15896" width="10.7109375" style="13" customWidth="1"/>
    <col min="15897" max="15897" width="16" style="13" customWidth="1"/>
    <col min="15898" max="15898" width="8.7109375" style="13" customWidth="1"/>
    <col min="15899" max="15899" width="6.5703125" style="13" bestFit="1" customWidth="1"/>
    <col min="15900" max="15900" width="8.7109375" style="13" customWidth="1"/>
    <col min="15901" max="15901" width="16" style="13" customWidth="1"/>
    <col min="15902" max="15902" width="15" style="13" customWidth="1"/>
    <col min="15903" max="15903" width="9.42578125" style="13" customWidth="1"/>
    <col min="15904" max="16128" width="9.140625" style="13"/>
    <col min="16129" max="16129" width="12.28515625" style="13" customWidth="1"/>
    <col min="16130" max="16130" width="2.42578125" style="13" customWidth="1"/>
    <col min="16131" max="16131" width="3.42578125" style="13" customWidth="1"/>
    <col min="16132" max="16132" width="13.28515625" style="13" customWidth="1"/>
    <col min="16133" max="16133" width="3.140625" style="13" customWidth="1"/>
    <col min="16134" max="16134" width="5.140625" style="13" customWidth="1"/>
    <col min="16135" max="16135" width="16.42578125" style="13" customWidth="1"/>
    <col min="16136" max="16142" width="0" style="13" hidden="1" customWidth="1"/>
    <col min="16143" max="16143" width="4.140625" style="13" customWidth="1"/>
    <col min="16144" max="16144" width="5.7109375" style="13" customWidth="1"/>
    <col min="16145" max="16145" width="0" style="13" hidden="1" customWidth="1"/>
    <col min="16146" max="16146" width="15.7109375" style="13" customWidth="1"/>
    <col min="16147" max="16147" width="7.7109375" style="13" customWidth="1"/>
    <col min="16148" max="16148" width="9.140625" style="13"/>
    <col min="16149" max="16149" width="10.85546875" style="13" customWidth="1"/>
    <col min="16150" max="16150" width="9.7109375" style="13" customWidth="1"/>
    <col min="16151" max="16151" width="8.85546875" style="13" customWidth="1"/>
    <col min="16152" max="16152" width="10.7109375" style="13" customWidth="1"/>
    <col min="16153" max="16153" width="16" style="13" customWidth="1"/>
    <col min="16154" max="16154" width="8.7109375" style="13" customWidth="1"/>
    <col min="16155" max="16155" width="6.5703125" style="13" bestFit="1" customWidth="1"/>
    <col min="16156" max="16156" width="8.7109375" style="13" customWidth="1"/>
    <col min="16157" max="16157" width="16" style="13" customWidth="1"/>
    <col min="16158" max="16158" width="15" style="13" customWidth="1"/>
    <col min="16159" max="16159" width="9.42578125" style="13" customWidth="1"/>
    <col min="16160" max="16384" width="9.140625" style="13"/>
  </cols>
  <sheetData>
    <row r="1" spans="1:31" ht="12.95" customHeight="1" x14ac:dyDescent="0.35">
      <c r="A1" s="533"/>
      <c r="B1" s="533"/>
      <c r="C1" s="533"/>
      <c r="D1" s="533"/>
      <c r="E1" s="533"/>
      <c r="F1" s="533"/>
      <c r="G1" s="533"/>
      <c r="H1" s="533"/>
      <c r="I1" s="533"/>
      <c r="J1" s="533"/>
      <c r="K1" s="533"/>
      <c r="L1" s="533"/>
      <c r="M1" s="533"/>
      <c r="N1" s="533"/>
      <c r="O1" s="533"/>
      <c r="P1" s="533"/>
      <c r="Q1" s="533"/>
      <c r="R1" s="533"/>
      <c r="S1" s="533"/>
    </row>
    <row r="2" spans="1:31" s="14" customFormat="1" ht="15" customHeight="1" x14ac:dyDescent="0.35">
      <c r="A2" s="533" t="s">
        <v>31</v>
      </c>
      <c r="B2" s="533"/>
      <c r="C2" s="533"/>
      <c r="D2" s="533"/>
      <c r="E2" s="533"/>
      <c r="F2" s="533"/>
      <c r="G2" s="533"/>
      <c r="H2" s="533"/>
      <c r="I2" s="533"/>
      <c r="J2" s="533"/>
      <c r="K2" s="533"/>
      <c r="L2" s="533"/>
      <c r="M2" s="533"/>
      <c r="N2" s="533"/>
      <c r="O2" s="533"/>
      <c r="P2" s="533"/>
      <c r="Q2" s="533"/>
      <c r="R2" s="533"/>
      <c r="S2" s="533"/>
      <c r="T2" s="533"/>
      <c r="U2" s="533"/>
      <c r="V2" s="533"/>
      <c r="W2" s="533"/>
      <c r="X2" s="533"/>
      <c r="Y2" s="533"/>
      <c r="Z2" s="533"/>
      <c r="AA2" s="533"/>
      <c r="AB2" s="533"/>
      <c r="AC2" s="533"/>
      <c r="AD2" s="533"/>
      <c r="AE2" s="533"/>
    </row>
    <row r="3" spans="1:31" s="14" customFormat="1" ht="15" customHeight="1" x14ac:dyDescent="0.35">
      <c r="A3" s="534" t="s">
        <v>267</v>
      </c>
      <c r="B3" s="533"/>
      <c r="C3" s="533"/>
      <c r="D3" s="533"/>
      <c r="E3" s="533"/>
      <c r="F3" s="533"/>
      <c r="G3" s="533"/>
      <c r="H3" s="533"/>
      <c r="I3" s="533"/>
      <c r="J3" s="533"/>
      <c r="K3" s="533"/>
      <c r="L3" s="533"/>
      <c r="M3" s="533"/>
      <c r="N3" s="533"/>
      <c r="O3" s="533"/>
      <c r="P3" s="533"/>
      <c r="Q3" s="533"/>
      <c r="R3" s="533"/>
      <c r="S3" s="533"/>
      <c r="T3" s="533"/>
      <c r="U3" s="533"/>
      <c r="V3" s="533"/>
      <c r="W3" s="533"/>
      <c r="X3" s="533"/>
      <c r="Y3" s="533"/>
      <c r="Z3" s="533"/>
      <c r="AA3" s="533"/>
      <c r="AB3" s="533"/>
      <c r="AC3" s="533"/>
      <c r="AD3" s="533"/>
      <c r="AE3" s="533"/>
    </row>
    <row r="4" spans="1:31" s="14" customFormat="1" ht="12.95" customHeight="1" x14ac:dyDescent="0.35">
      <c r="A4" s="399"/>
      <c r="B4" s="399"/>
      <c r="C4" s="399"/>
      <c r="D4" s="399"/>
      <c r="E4" s="399"/>
      <c r="F4" s="399"/>
      <c r="G4" s="399"/>
      <c r="H4" s="399"/>
      <c r="I4" s="399"/>
      <c r="J4" s="399"/>
      <c r="K4" s="399"/>
      <c r="L4" s="399"/>
      <c r="M4" s="399"/>
      <c r="N4" s="399"/>
      <c r="O4" s="399"/>
      <c r="P4" s="399"/>
      <c r="Q4" s="399"/>
      <c r="R4" s="399"/>
      <c r="S4" s="399"/>
    </row>
    <row r="5" spans="1:31" s="14" customFormat="1" ht="12.95" customHeight="1" x14ac:dyDescent="0.35">
      <c r="A5" s="16" t="s">
        <v>32</v>
      </c>
      <c r="B5" s="399"/>
      <c r="C5" s="399"/>
      <c r="D5" s="399"/>
      <c r="E5" s="399" t="s">
        <v>33</v>
      </c>
      <c r="F5" s="16" t="s">
        <v>34</v>
      </c>
      <c r="G5" s="399"/>
      <c r="H5" s="399"/>
      <c r="I5" s="399"/>
      <c r="J5" s="399"/>
      <c r="K5" s="399"/>
      <c r="L5" s="399"/>
      <c r="M5" s="399"/>
      <c r="N5" s="399"/>
      <c r="O5" s="399"/>
      <c r="P5" s="399"/>
      <c r="Q5" s="399"/>
      <c r="R5" s="399"/>
      <c r="S5" s="399"/>
    </row>
    <row r="6" spans="1:31" s="14" customFormat="1" ht="12.95" customHeight="1" x14ac:dyDescent="0.35">
      <c r="A6" s="16" t="s">
        <v>35</v>
      </c>
      <c r="B6" s="399"/>
      <c r="C6" s="399"/>
      <c r="D6" s="399"/>
      <c r="E6" s="399" t="s">
        <v>33</v>
      </c>
      <c r="F6" s="16" t="s">
        <v>179</v>
      </c>
      <c r="G6" s="399"/>
      <c r="H6" s="399"/>
      <c r="I6" s="399"/>
      <c r="J6" s="399"/>
      <c r="K6" s="399"/>
      <c r="L6" s="399"/>
      <c r="M6" s="399"/>
      <c r="N6" s="399"/>
      <c r="O6" s="399"/>
      <c r="P6" s="399"/>
      <c r="Q6" s="399"/>
      <c r="R6" s="399"/>
      <c r="S6" s="399"/>
    </row>
    <row r="7" spans="1:31" s="14" customFormat="1" ht="12.95" customHeight="1" x14ac:dyDescent="0.35">
      <c r="A7" s="16" t="s">
        <v>36</v>
      </c>
      <c r="B7" s="399"/>
      <c r="C7" s="399"/>
      <c r="D7" s="399"/>
      <c r="E7" s="399" t="s">
        <v>33</v>
      </c>
      <c r="F7" s="535">
        <v>2239183000</v>
      </c>
      <c r="G7" s="535"/>
      <c r="H7" s="17"/>
      <c r="I7" s="17"/>
      <c r="J7" s="17"/>
      <c r="K7" s="17"/>
      <c r="L7" s="17"/>
      <c r="M7" s="17"/>
      <c r="N7" s="17"/>
      <c r="O7" s="17"/>
      <c r="P7" s="17"/>
      <c r="Q7" s="399"/>
      <c r="R7" s="399"/>
      <c r="S7" s="399"/>
    </row>
    <row r="8" spans="1:31" s="14" customFormat="1" ht="12.95" customHeight="1" x14ac:dyDescent="0.35">
      <c r="A8" s="16" t="s">
        <v>37</v>
      </c>
      <c r="B8" s="399"/>
      <c r="C8" s="399"/>
      <c r="D8" s="399"/>
      <c r="E8" s="399" t="s">
        <v>33</v>
      </c>
      <c r="F8" s="16" t="s">
        <v>38</v>
      </c>
      <c r="G8" s="399"/>
      <c r="H8" s="399"/>
      <c r="I8" s="399"/>
      <c r="J8" s="399"/>
      <c r="K8" s="399"/>
      <c r="L8" s="399"/>
      <c r="M8" s="399"/>
      <c r="N8" s="399"/>
      <c r="O8" s="399"/>
      <c r="P8" s="399"/>
      <c r="Q8" s="399"/>
      <c r="R8" s="399"/>
      <c r="S8" s="399"/>
    </row>
    <row r="9" spans="1:31" s="14" customFormat="1" ht="12.95" customHeight="1" x14ac:dyDescent="0.35">
      <c r="A9" s="16" t="s">
        <v>39</v>
      </c>
      <c r="B9" s="399"/>
      <c r="C9" s="399"/>
      <c r="D9" s="399"/>
      <c r="E9" s="399" t="s">
        <v>33</v>
      </c>
      <c r="F9" s="16" t="s">
        <v>40</v>
      </c>
      <c r="G9" s="399"/>
      <c r="H9" s="399"/>
      <c r="I9" s="399"/>
      <c r="J9" s="399"/>
      <c r="K9" s="399"/>
      <c r="L9" s="399"/>
      <c r="M9" s="399"/>
      <c r="N9" s="399"/>
      <c r="O9" s="399"/>
      <c r="P9" s="399"/>
      <c r="Q9" s="399"/>
      <c r="R9" s="399"/>
      <c r="S9" s="399"/>
    </row>
    <row r="10" spans="1:31" ht="12.95" customHeight="1" x14ac:dyDescent="0.35">
      <c r="A10" s="398"/>
      <c r="B10" s="398"/>
      <c r="C10" s="398"/>
      <c r="D10" s="398"/>
      <c r="E10" s="398"/>
      <c r="F10" s="398"/>
      <c r="G10" s="398"/>
      <c r="H10" s="398"/>
      <c r="I10" s="398"/>
      <c r="J10" s="398"/>
      <c r="K10" s="398"/>
      <c r="L10" s="398"/>
      <c r="M10" s="398"/>
      <c r="N10" s="398"/>
      <c r="O10" s="398"/>
      <c r="P10" s="398"/>
      <c r="Q10" s="398"/>
      <c r="R10" s="398"/>
      <c r="S10" s="39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</row>
    <row r="11" spans="1:31" ht="12.95" customHeight="1" x14ac:dyDescent="0.35">
      <c r="A11" s="19"/>
      <c r="B11" s="20"/>
      <c r="C11" s="21"/>
      <c r="D11" s="21"/>
      <c r="E11" s="21"/>
      <c r="F11" s="21"/>
      <c r="G11" s="22"/>
      <c r="H11" s="23"/>
      <c r="I11" s="23"/>
      <c r="J11" s="24"/>
      <c r="K11" s="25"/>
      <c r="L11" s="23"/>
      <c r="M11" s="23"/>
      <c r="N11" s="23"/>
      <c r="O11" s="20"/>
      <c r="P11" s="22"/>
      <c r="Q11" s="23"/>
      <c r="R11" s="23"/>
      <c r="S11" s="26"/>
      <c r="T11" s="21"/>
      <c r="U11" s="22"/>
      <c r="V11" s="22"/>
      <c r="W11" s="536" t="s">
        <v>41</v>
      </c>
      <c r="X11" s="537"/>
      <c r="Y11" s="540" t="s">
        <v>42</v>
      </c>
      <c r="Z11" s="541"/>
      <c r="AA11" s="542" t="s">
        <v>43</v>
      </c>
      <c r="AB11" s="543"/>
      <c r="AC11" s="536" t="s">
        <v>44</v>
      </c>
      <c r="AD11" s="544"/>
      <c r="AE11" s="546" t="s">
        <v>45</v>
      </c>
    </row>
    <row r="12" spans="1:31" s="28" customFormat="1" ht="12.95" customHeight="1" x14ac:dyDescent="0.35">
      <c r="A12" s="549" t="s">
        <v>46</v>
      </c>
      <c r="B12" s="551" t="s">
        <v>47</v>
      </c>
      <c r="C12" s="551"/>
      <c r="D12" s="551"/>
      <c r="E12" s="551"/>
      <c r="F12" s="551"/>
      <c r="G12" s="551"/>
      <c r="H12" s="518" t="s">
        <v>48</v>
      </c>
      <c r="I12" s="519"/>
      <c r="J12" s="519"/>
      <c r="K12" s="553"/>
      <c r="O12" s="554" t="s">
        <v>49</v>
      </c>
      <c r="P12" s="551"/>
      <c r="Q12" s="556" t="s">
        <v>50</v>
      </c>
      <c r="R12" s="558" t="s">
        <v>51</v>
      </c>
      <c r="S12" s="531" t="s">
        <v>52</v>
      </c>
      <c r="T12" s="518" t="s">
        <v>53</v>
      </c>
      <c r="U12" s="553"/>
      <c r="V12" s="29" t="s">
        <v>54</v>
      </c>
      <c r="W12" s="538"/>
      <c r="X12" s="539"/>
      <c r="Y12" s="518" t="s">
        <v>55</v>
      </c>
      <c r="Z12" s="519"/>
      <c r="AA12" s="520" t="s">
        <v>56</v>
      </c>
      <c r="AB12" s="521"/>
      <c r="AC12" s="538"/>
      <c r="AD12" s="545"/>
      <c r="AE12" s="547"/>
    </row>
    <row r="13" spans="1:31" s="30" customFormat="1" ht="12.95" customHeight="1" x14ac:dyDescent="0.35">
      <c r="A13" s="549"/>
      <c r="B13" s="551"/>
      <c r="C13" s="551"/>
      <c r="D13" s="551"/>
      <c r="E13" s="551"/>
      <c r="F13" s="551"/>
      <c r="G13" s="551"/>
      <c r="H13" s="522" t="s">
        <v>49</v>
      </c>
      <c r="I13" s="522"/>
      <c r="J13" s="525" t="s">
        <v>50</v>
      </c>
      <c r="K13" s="528" t="s">
        <v>57</v>
      </c>
      <c r="O13" s="554"/>
      <c r="P13" s="551"/>
      <c r="Q13" s="556"/>
      <c r="R13" s="558"/>
      <c r="S13" s="531"/>
      <c r="T13" s="31" t="s">
        <v>58</v>
      </c>
      <c r="U13" s="31" t="s">
        <v>59</v>
      </c>
      <c r="V13" s="32"/>
      <c r="W13" s="32"/>
      <c r="X13" s="32" t="s">
        <v>60</v>
      </c>
      <c r="Y13" s="32"/>
      <c r="Z13" s="32" t="s">
        <v>61</v>
      </c>
      <c r="AA13" s="32" t="s">
        <v>62</v>
      </c>
      <c r="AB13" s="32" t="s">
        <v>63</v>
      </c>
      <c r="AC13" s="32" t="s">
        <v>64</v>
      </c>
      <c r="AD13" s="33" t="s">
        <v>65</v>
      </c>
      <c r="AE13" s="547"/>
    </row>
    <row r="14" spans="1:31" s="30" customFormat="1" ht="12.95" customHeight="1" x14ac:dyDescent="0.35">
      <c r="A14" s="549"/>
      <c r="B14" s="551"/>
      <c r="C14" s="551"/>
      <c r="D14" s="551"/>
      <c r="E14" s="551"/>
      <c r="F14" s="551"/>
      <c r="G14" s="551"/>
      <c r="H14" s="523"/>
      <c r="I14" s="523"/>
      <c r="J14" s="526"/>
      <c r="K14" s="529"/>
      <c r="O14" s="554"/>
      <c r="P14" s="551"/>
      <c r="Q14" s="556"/>
      <c r="R14" s="558"/>
      <c r="S14" s="531"/>
      <c r="T14" s="31" t="s">
        <v>66</v>
      </c>
      <c r="U14" s="31" t="s">
        <v>67</v>
      </c>
      <c r="V14" s="31" t="s">
        <v>68</v>
      </c>
      <c r="W14" s="32" t="s">
        <v>69</v>
      </c>
      <c r="X14" s="32" t="s">
        <v>60</v>
      </c>
      <c r="Y14" s="32" t="s">
        <v>70</v>
      </c>
      <c r="Z14" s="32" t="s">
        <v>71</v>
      </c>
      <c r="AA14" s="32" t="s">
        <v>72</v>
      </c>
      <c r="AB14" s="32" t="s">
        <v>73</v>
      </c>
      <c r="AC14" s="32" t="s">
        <v>74</v>
      </c>
      <c r="AD14" s="33" t="s">
        <v>75</v>
      </c>
      <c r="AE14" s="547"/>
    </row>
    <row r="15" spans="1:31" s="30" customFormat="1" ht="12.95" customHeight="1" thickBot="1" x14ac:dyDescent="0.4">
      <c r="A15" s="550"/>
      <c r="B15" s="552"/>
      <c r="C15" s="552"/>
      <c r="D15" s="552"/>
      <c r="E15" s="552"/>
      <c r="F15" s="552"/>
      <c r="G15" s="552"/>
      <c r="H15" s="524"/>
      <c r="I15" s="524"/>
      <c r="J15" s="527"/>
      <c r="K15" s="530"/>
      <c r="O15" s="555"/>
      <c r="P15" s="552"/>
      <c r="Q15" s="557"/>
      <c r="R15" s="559"/>
      <c r="S15" s="532"/>
      <c r="T15" s="34" t="s">
        <v>76</v>
      </c>
      <c r="U15" s="34"/>
      <c r="V15" s="35"/>
      <c r="W15" s="35"/>
      <c r="X15" s="35"/>
      <c r="Y15" s="35"/>
      <c r="Z15" s="35"/>
      <c r="AA15" s="35"/>
      <c r="AB15" s="35"/>
      <c r="AC15" s="35" t="s">
        <v>77</v>
      </c>
      <c r="AD15" s="36" t="s">
        <v>78</v>
      </c>
      <c r="AE15" s="548"/>
    </row>
    <row r="16" spans="1:31" s="40" customFormat="1" ht="12.95" customHeight="1" thickTop="1" x14ac:dyDescent="0.35">
      <c r="A16" s="37">
        <v>1</v>
      </c>
      <c r="B16" s="503">
        <v>2</v>
      </c>
      <c r="C16" s="504"/>
      <c r="D16" s="504"/>
      <c r="E16" s="504"/>
      <c r="F16" s="504"/>
      <c r="G16" s="505"/>
      <c r="H16" s="503">
        <v>3</v>
      </c>
      <c r="I16" s="505"/>
      <c r="J16" s="390">
        <v>4</v>
      </c>
      <c r="K16" s="39">
        <v>5</v>
      </c>
      <c r="O16" s="503">
        <v>3</v>
      </c>
      <c r="P16" s="505"/>
      <c r="Q16" s="390">
        <v>4</v>
      </c>
      <c r="R16" s="41">
        <v>4</v>
      </c>
      <c r="S16" s="42">
        <v>5</v>
      </c>
      <c r="T16" s="43">
        <v>6</v>
      </c>
      <c r="U16" s="43">
        <v>7</v>
      </c>
      <c r="V16" s="43">
        <v>8</v>
      </c>
      <c r="W16" s="43">
        <v>9</v>
      </c>
      <c r="X16" s="43">
        <v>10</v>
      </c>
      <c r="Y16" s="43">
        <v>11</v>
      </c>
      <c r="Z16" s="43">
        <v>12</v>
      </c>
      <c r="AA16" s="43">
        <v>13</v>
      </c>
      <c r="AB16" s="43">
        <v>14</v>
      </c>
      <c r="AC16" s="43">
        <v>15</v>
      </c>
      <c r="AD16" s="43">
        <v>16</v>
      </c>
      <c r="AE16" s="43">
        <v>17</v>
      </c>
    </row>
    <row r="17" spans="1:37" ht="12" customHeight="1" x14ac:dyDescent="0.35">
      <c r="A17" s="44"/>
      <c r="B17" s="45"/>
      <c r="C17" s="45"/>
      <c r="D17" s="45"/>
      <c r="E17" s="45"/>
      <c r="F17" s="45"/>
      <c r="G17" s="46"/>
      <c r="H17" s="47"/>
      <c r="I17" s="46"/>
      <c r="J17" s="48"/>
      <c r="K17" s="49"/>
      <c r="L17" s="50"/>
      <c r="M17" s="50"/>
      <c r="N17" s="50"/>
      <c r="O17" s="51"/>
      <c r="P17" s="52"/>
      <c r="Q17" s="53"/>
      <c r="R17" s="54"/>
      <c r="S17" s="55"/>
      <c r="T17" s="56"/>
      <c r="U17" s="57"/>
      <c r="V17" s="57"/>
      <c r="W17" s="57"/>
      <c r="X17" s="57"/>
      <c r="Y17" s="58"/>
      <c r="Z17" s="56"/>
      <c r="AA17" s="56"/>
      <c r="AB17" s="56"/>
      <c r="AC17" s="58"/>
      <c r="AD17" s="58"/>
      <c r="AE17" s="56"/>
    </row>
    <row r="18" spans="1:37" ht="12" customHeight="1" x14ac:dyDescent="0.35">
      <c r="A18" s="59" t="s">
        <v>79</v>
      </c>
      <c r="B18" s="60" t="s">
        <v>80</v>
      </c>
      <c r="C18" s="60"/>
      <c r="D18" s="60"/>
      <c r="E18" s="60"/>
      <c r="F18" s="60"/>
      <c r="G18" s="61"/>
      <c r="H18" s="62"/>
      <c r="I18" s="63"/>
      <c r="J18" s="64"/>
      <c r="K18" s="65"/>
      <c r="L18" s="66"/>
      <c r="M18" s="66"/>
      <c r="N18" s="66"/>
      <c r="O18" s="67"/>
      <c r="P18" s="60"/>
      <c r="Q18" s="68"/>
      <c r="R18" s="69"/>
      <c r="S18" s="70"/>
      <c r="T18" s="71"/>
      <c r="U18" s="72"/>
      <c r="V18" s="72"/>
      <c r="W18" s="72"/>
      <c r="X18" s="72"/>
      <c r="Y18" s="73"/>
      <c r="Z18" s="71"/>
      <c r="AA18" s="71"/>
      <c r="AB18" s="71"/>
      <c r="AC18" s="73"/>
      <c r="AD18" s="73"/>
      <c r="AE18" s="71"/>
    </row>
    <row r="19" spans="1:37" ht="12" customHeight="1" x14ac:dyDescent="0.35">
      <c r="A19" s="74"/>
      <c r="B19" s="75"/>
      <c r="C19" s="75"/>
      <c r="D19" s="75"/>
      <c r="E19" s="75"/>
      <c r="F19" s="75"/>
      <c r="G19" s="76"/>
      <c r="H19" s="77"/>
      <c r="I19" s="78"/>
      <c r="J19" s="79"/>
      <c r="K19" s="80"/>
      <c r="L19" s="81"/>
      <c r="M19" s="81"/>
      <c r="N19" s="81"/>
      <c r="O19" s="82"/>
      <c r="P19" s="75"/>
      <c r="Q19" s="83"/>
      <c r="R19" s="84"/>
      <c r="S19" s="85"/>
      <c r="T19" s="86"/>
      <c r="U19" s="87"/>
      <c r="V19" s="87"/>
      <c r="W19" s="87"/>
      <c r="X19" s="87"/>
      <c r="Y19" s="88"/>
      <c r="Z19" s="86"/>
      <c r="AA19" s="86"/>
      <c r="AB19" s="86"/>
      <c r="AC19" s="88"/>
      <c r="AD19" s="88"/>
      <c r="AE19" s="86"/>
    </row>
    <row r="20" spans="1:37" ht="12" customHeight="1" x14ac:dyDescent="0.35">
      <c r="A20" s="89" t="s">
        <v>180</v>
      </c>
      <c r="B20" s="60" t="s">
        <v>181</v>
      </c>
      <c r="C20" s="60"/>
      <c r="D20" s="60"/>
      <c r="E20" s="60"/>
      <c r="F20" s="60"/>
      <c r="G20" s="61"/>
      <c r="H20" s="62"/>
      <c r="I20" s="63"/>
      <c r="J20" s="64"/>
      <c r="K20" s="65"/>
      <c r="L20" s="66"/>
      <c r="M20" s="66"/>
      <c r="N20" s="66"/>
      <c r="O20" s="67"/>
      <c r="P20" s="60"/>
      <c r="Q20" s="68"/>
      <c r="R20" s="69"/>
      <c r="S20" s="70"/>
      <c r="T20" s="71"/>
      <c r="U20" s="72"/>
      <c r="V20" s="72"/>
      <c r="W20" s="72"/>
      <c r="X20" s="72"/>
      <c r="Y20" s="73"/>
      <c r="Z20" s="71"/>
      <c r="AA20" s="71"/>
      <c r="AB20" s="71"/>
      <c r="AC20" s="73"/>
      <c r="AD20" s="73"/>
      <c r="AE20" s="71"/>
      <c r="AF20" s="90"/>
      <c r="AG20" s="90"/>
      <c r="AH20" s="90"/>
      <c r="AI20" s="90"/>
      <c r="AJ20" s="90"/>
      <c r="AK20" s="90"/>
    </row>
    <row r="21" spans="1:37" ht="12" customHeight="1" x14ac:dyDescent="0.35">
      <c r="A21" s="74"/>
      <c r="B21" s="75"/>
      <c r="C21" s="75"/>
      <c r="D21" s="75"/>
      <c r="E21" s="75"/>
      <c r="F21" s="75"/>
      <c r="G21" s="76"/>
      <c r="H21" s="77"/>
      <c r="I21" s="78"/>
      <c r="J21" s="79"/>
      <c r="K21" s="80"/>
      <c r="L21" s="81"/>
      <c r="M21" s="81"/>
      <c r="N21" s="81"/>
      <c r="O21" s="82"/>
      <c r="P21" s="75"/>
      <c r="Q21" s="83"/>
      <c r="R21" s="84"/>
      <c r="S21" s="85"/>
      <c r="T21" s="86"/>
      <c r="U21" s="87"/>
      <c r="V21" s="87"/>
      <c r="W21" s="87"/>
      <c r="X21" s="87"/>
      <c r="Y21" s="88"/>
      <c r="Z21" s="86"/>
      <c r="AA21" s="86"/>
      <c r="AB21" s="86"/>
      <c r="AC21" s="88"/>
      <c r="AD21" s="88"/>
      <c r="AE21" s="86"/>
    </row>
    <row r="22" spans="1:37" ht="12" customHeight="1" x14ac:dyDescent="0.35">
      <c r="A22" s="91" t="s">
        <v>182</v>
      </c>
      <c r="B22" s="75" t="s">
        <v>183</v>
      </c>
      <c r="C22" s="75"/>
      <c r="D22" s="75"/>
      <c r="E22" s="75"/>
      <c r="F22" s="75"/>
      <c r="G22" s="76"/>
      <c r="H22" s="77"/>
      <c r="I22" s="78"/>
      <c r="J22" s="79"/>
      <c r="K22" s="80"/>
      <c r="L22" s="81"/>
      <c r="M22" s="81"/>
      <c r="N22" s="81"/>
      <c r="O22" s="82"/>
      <c r="P22" s="75"/>
      <c r="Q22" s="83"/>
      <c r="R22" s="84"/>
      <c r="S22" s="85"/>
      <c r="T22" s="86"/>
      <c r="U22" s="87"/>
      <c r="V22" s="87"/>
      <c r="W22" s="87"/>
      <c r="X22" s="87"/>
      <c r="Y22" s="88"/>
      <c r="Z22" s="86"/>
      <c r="AA22" s="86"/>
      <c r="AB22" s="86"/>
      <c r="AC22" s="88"/>
      <c r="AD22" s="88"/>
      <c r="AE22" s="86"/>
    </row>
    <row r="23" spans="1:37" ht="12" customHeight="1" x14ac:dyDescent="0.35">
      <c r="A23" s="74"/>
      <c r="B23" s="75"/>
      <c r="C23" s="75"/>
      <c r="D23" s="75"/>
      <c r="E23" s="75"/>
      <c r="F23" s="75"/>
      <c r="G23" s="76"/>
      <c r="H23" s="77"/>
      <c r="I23" s="78"/>
      <c r="J23" s="79"/>
      <c r="K23" s="80"/>
      <c r="L23" s="81"/>
      <c r="M23" s="81"/>
      <c r="N23" s="81"/>
      <c r="O23" s="82"/>
      <c r="P23" s="75"/>
      <c r="Q23" s="83"/>
      <c r="R23" s="84"/>
      <c r="S23" s="85"/>
      <c r="T23" s="86"/>
      <c r="U23" s="87"/>
      <c r="V23" s="87"/>
      <c r="W23" s="87"/>
      <c r="X23" s="87"/>
      <c r="Y23" s="88"/>
      <c r="Z23" s="86"/>
      <c r="AA23" s="86"/>
      <c r="AB23" s="86"/>
      <c r="AC23" s="88"/>
      <c r="AD23" s="88"/>
      <c r="AE23" s="86"/>
    </row>
    <row r="24" spans="1:37" ht="12" customHeight="1" x14ac:dyDescent="0.35">
      <c r="A24" s="415" t="s">
        <v>184</v>
      </c>
      <c r="B24" s="416" t="s">
        <v>185</v>
      </c>
      <c r="C24" s="416"/>
      <c r="D24" s="416"/>
      <c r="E24" s="416"/>
      <c r="F24" s="416"/>
      <c r="G24" s="417"/>
      <c r="H24" s="408"/>
      <c r="I24" s="405"/>
      <c r="J24" s="404"/>
      <c r="K24" s="418"/>
      <c r="L24" s="402"/>
      <c r="M24" s="402"/>
      <c r="N24" s="402"/>
      <c r="O24" s="419"/>
      <c r="P24" s="416"/>
      <c r="Q24" s="420"/>
      <c r="R24" s="421"/>
      <c r="S24" s="409"/>
      <c r="T24" s="414"/>
      <c r="U24" s="411"/>
      <c r="V24" s="411"/>
      <c r="W24" s="411"/>
      <c r="X24" s="411"/>
      <c r="Y24" s="412"/>
      <c r="Z24" s="414"/>
      <c r="AA24" s="414"/>
      <c r="AB24" s="414"/>
      <c r="AC24" s="412"/>
      <c r="AD24" s="412"/>
      <c r="AE24" s="414"/>
    </row>
    <row r="25" spans="1:37" ht="12" customHeight="1" x14ac:dyDescent="0.35">
      <c r="A25" s="422">
        <v>521211</v>
      </c>
      <c r="B25" s="423" t="s">
        <v>186</v>
      </c>
      <c r="C25" s="407"/>
      <c r="D25" s="407"/>
      <c r="E25" s="407"/>
      <c r="F25" s="407"/>
      <c r="G25" s="424"/>
      <c r="H25" s="408"/>
      <c r="I25" s="405"/>
      <c r="J25" s="404"/>
      <c r="K25" s="418"/>
      <c r="L25" s="402"/>
      <c r="M25" s="402"/>
      <c r="N25" s="402"/>
      <c r="O25" s="419"/>
      <c r="P25" s="416"/>
      <c r="Q25" s="420"/>
      <c r="R25" s="421"/>
      <c r="S25" s="409"/>
      <c r="T25" s="414"/>
      <c r="U25" s="411"/>
      <c r="V25" s="411"/>
      <c r="W25" s="411"/>
      <c r="X25" s="411"/>
      <c r="Y25" s="412"/>
      <c r="Z25" s="414"/>
      <c r="AA25" s="414"/>
      <c r="AB25" s="414"/>
      <c r="AC25" s="412"/>
      <c r="AD25" s="412"/>
      <c r="AE25" s="414"/>
    </row>
    <row r="26" spans="1:37" ht="12" customHeight="1" x14ac:dyDescent="0.35">
      <c r="A26" s="425"/>
      <c r="B26" s="426" t="s">
        <v>82</v>
      </c>
      <c r="C26" s="407" t="s">
        <v>189</v>
      </c>
      <c r="D26" s="407"/>
      <c r="E26" s="407"/>
      <c r="F26" s="407"/>
      <c r="G26" s="424"/>
      <c r="H26" s="408"/>
      <c r="I26" s="405"/>
      <c r="J26" s="404"/>
      <c r="K26" s="418"/>
      <c r="L26" s="402"/>
      <c r="M26" s="402"/>
      <c r="N26" s="402"/>
      <c r="O26" s="427">
        <v>1</v>
      </c>
      <c r="P26" s="407" t="s">
        <v>83</v>
      </c>
      <c r="Q26" s="428"/>
      <c r="R26" s="429">
        <f>O26*2730000</f>
        <v>2730000</v>
      </c>
      <c r="S26" s="409">
        <f>+R26/$R$184*100</f>
        <v>0.12191946794880097</v>
      </c>
      <c r="T26" s="410">
        <v>0</v>
      </c>
      <c r="U26" s="411"/>
      <c r="V26" s="411"/>
      <c r="W26" s="411"/>
      <c r="X26" s="411"/>
      <c r="Y26" s="412">
        <v>0</v>
      </c>
      <c r="Z26" s="410">
        <f>+Y26/R26*100</f>
        <v>0</v>
      </c>
      <c r="AA26" s="413">
        <f>Z26</f>
        <v>0</v>
      </c>
      <c r="AB26" s="410">
        <f>AA26*S26/100</f>
        <v>0</v>
      </c>
      <c r="AC26" s="412"/>
      <c r="AD26" s="412">
        <f>+R26-Y26</f>
        <v>2730000</v>
      </c>
      <c r="AE26" s="414"/>
    </row>
    <row r="27" spans="1:37" ht="12" customHeight="1" x14ac:dyDescent="0.35">
      <c r="A27" s="425"/>
      <c r="B27" s="426" t="s">
        <v>82</v>
      </c>
      <c r="C27" s="407" t="s">
        <v>187</v>
      </c>
      <c r="D27" s="407"/>
      <c r="E27" s="407"/>
      <c r="F27" s="407"/>
      <c r="G27" s="424"/>
      <c r="H27" s="408"/>
      <c r="I27" s="405"/>
      <c r="J27" s="404"/>
      <c r="K27" s="418"/>
      <c r="L27" s="402"/>
      <c r="M27" s="402"/>
      <c r="N27" s="402"/>
      <c r="O27" s="427">
        <v>1</v>
      </c>
      <c r="P27" s="407" t="s">
        <v>83</v>
      </c>
      <c r="Q27" s="428"/>
      <c r="R27" s="429">
        <f>O27*2810000</f>
        <v>2810000</v>
      </c>
      <c r="S27" s="409">
        <f>+R27/$R$184*100</f>
        <v>0.12549219961030428</v>
      </c>
      <c r="T27" s="410"/>
      <c r="U27" s="411"/>
      <c r="V27" s="411"/>
      <c r="W27" s="411"/>
      <c r="X27" s="411"/>
      <c r="Y27" s="412">
        <v>0</v>
      </c>
      <c r="Z27" s="410">
        <f t="shared" ref="Z27:Z30" si="0">+Y27/R27*100</f>
        <v>0</v>
      </c>
      <c r="AA27" s="413">
        <f t="shared" ref="AA27:AA61" si="1">Z27</f>
        <v>0</v>
      </c>
      <c r="AB27" s="410">
        <f t="shared" ref="AB27:AB30" si="2">AA27*S27/100</f>
        <v>0</v>
      </c>
      <c r="AC27" s="412"/>
      <c r="AD27" s="412">
        <f t="shared" ref="AD27:AD34" si="3">+R27-Y27</f>
        <v>2810000</v>
      </c>
      <c r="AE27" s="414"/>
    </row>
    <row r="28" spans="1:37" ht="12" customHeight="1" x14ac:dyDescent="0.35">
      <c r="A28" s="425"/>
      <c r="B28" s="426" t="s">
        <v>82</v>
      </c>
      <c r="C28" s="407" t="s">
        <v>190</v>
      </c>
      <c r="D28" s="407"/>
      <c r="E28" s="407"/>
      <c r="F28" s="407"/>
      <c r="G28" s="424"/>
      <c r="H28" s="408"/>
      <c r="I28" s="405"/>
      <c r="J28" s="404"/>
      <c r="K28" s="418"/>
      <c r="L28" s="402"/>
      <c r="M28" s="402"/>
      <c r="N28" s="402"/>
      <c r="O28" s="427">
        <v>1</v>
      </c>
      <c r="P28" s="407" t="s">
        <v>83</v>
      </c>
      <c r="Q28" s="428"/>
      <c r="R28" s="429">
        <f>O28*8490000</f>
        <v>8490000</v>
      </c>
      <c r="S28" s="409">
        <f>+R28/$R$184*100</f>
        <v>0.37915614757704036</v>
      </c>
      <c r="T28" s="410"/>
      <c r="U28" s="411"/>
      <c r="V28" s="411"/>
      <c r="W28" s="411"/>
      <c r="X28" s="411"/>
      <c r="Y28" s="412">
        <v>0</v>
      </c>
      <c r="Z28" s="410">
        <f t="shared" si="0"/>
        <v>0</v>
      </c>
      <c r="AA28" s="413">
        <f t="shared" si="1"/>
        <v>0</v>
      </c>
      <c r="AB28" s="410">
        <f t="shared" si="2"/>
        <v>0</v>
      </c>
      <c r="AC28" s="412"/>
      <c r="AD28" s="412">
        <f t="shared" si="3"/>
        <v>8490000</v>
      </c>
      <c r="AE28" s="414"/>
    </row>
    <row r="29" spans="1:37" ht="12" customHeight="1" x14ac:dyDescent="0.35">
      <c r="A29" s="425"/>
      <c r="B29" s="426" t="s">
        <v>82</v>
      </c>
      <c r="C29" s="407" t="s">
        <v>188</v>
      </c>
      <c r="D29" s="407"/>
      <c r="E29" s="407"/>
      <c r="F29" s="407"/>
      <c r="G29" s="424"/>
      <c r="H29" s="408"/>
      <c r="I29" s="405"/>
      <c r="J29" s="404"/>
      <c r="K29" s="418"/>
      <c r="L29" s="402"/>
      <c r="M29" s="402"/>
      <c r="N29" s="402"/>
      <c r="O29" s="427">
        <v>1</v>
      </c>
      <c r="P29" s="407" t="s">
        <v>83</v>
      </c>
      <c r="Q29" s="428"/>
      <c r="R29" s="429">
        <f>O29*9990000</f>
        <v>9990000</v>
      </c>
      <c r="S29" s="409">
        <f>+R29/$R$184*100</f>
        <v>0.4461448662302277</v>
      </c>
      <c r="T29" s="410"/>
      <c r="U29" s="411"/>
      <c r="V29" s="411"/>
      <c r="W29" s="411"/>
      <c r="X29" s="411"/>
      <c r="Y29" s="412">
        <v>0</v>
      </c>
      <c r="Z29" s="410">
        <f t="shared" si="0"/>
        <v>0</v>
      </c>
      <c r="AA29" s="413">
        <f t="shared" si="1"/>
        <v>0</v>
      </c>
      <c r="AB29" s="410">
        <f t="shared" si="2"/>
        <v>0</v>
      </c>
      <c r="AC29" s="412"/>
      <c r="AD29" s="412">
        <f t="shared" si="3"/>
        <v>9990000</v>
      </c>
      <c r="AE29" s="414"/>
    </row>
    <row r="30" spans="1:37" ht="12" customHeight="1" x14ac:dyDescent="0.35">
      <c r="A30" s="425"/>
      <c r="B30" s="426" t="s">
        <v>191</v>
      </c>
      <c r="C30" s="407" t="s">
        <v>192</v>
      </c>
      <c r="D30" s="407"/>
      <c r="E30" s="407"/>
      <c r="F30" s="407"/>
      <c r="G30" s="424"/>
      <c r="H30" s="408"/>
      <c r="I30" s="405"/>
      <c r="J30" s="404"/>
      <c r="K30" s="418"/>
      <c r="L30" s="402"/>
      <c r="M30" s="402"/>
      <c r="N30" s="402"/>
      <c r="O30" s="427">
        <v>1</v>
      </c>
      <c r="P30" s="407" t="s">
        <v>83</v>
      </c>
      <c r="Q30" s="428"/>
      <c r="R30" s="429">
        <f>O30*2480000</f>
        <v>2480000</v>
      </c>
      <c r="S30" s="409">
        <f>+R30/$R$184*100</f>
        <v>0.11075468150660307</v>
      </c>
      <c r="T30" s="410"/>
      <c r="U30" s="411"/>
      <c r="V30" s="411"/>
      <c r="W30" s="411"/>
      <c r="X30" s="411"/>
      <c r="Y30" s="412">
        <v>0</v>
      </c>
      <c r="Z30" s="410">
        <f t="shared" si="0"/>
        <v>0</v>
      </c>
      <c r="AA30" s="413">
        <f t="shared" si="1"/>
        <v>0</v>
      </c>
      <c r="AB30" s="410">
        <f t="shared" si="2"/>
        <v>0</v>
      </c>
      <c r="AC30" s="412"/>
      <c r="AD30" s="412">
        <f t="shared" si="3"/>
        <v>2480000</v>
      </c>
      <c r="AE30" s="414"/>
    </row>
    <row r="31" spans="1:37" ht="12" customHeight="1" x14ac:dyDescent="0.35">
      <c r="A31" s="422">
        <v>521213</v>
      </c>
      <c r="B31" s="423" t="s">
        <v>193</v>
      </c>
      <c r="C31" s="407"/>
      <c r="D31" s="407"/>
      <c r="E31" s="407"/>
      <c r="F31" s="407"/>
      <c r="G31" s="424"/>
      <c r="H31" s="408"/>
      <c r="I31" s="405"/>
      <c r="J31" s="404"/>
      <c r="K31" s="418"/>
      <c r="L31" s="402"/>
      <c r="M31" s="402"/>
      <c r="N31" s="402"/>
      <c r="O31" s="427"/>
      <c r="P31" s="407"/>
      <c r="Q31" s="428"/>
      <c r="R31" s="429"/>
      <c r="S31" s="409"/>
      <c r="T31" s="410"/>
      <c r="U31" s="411"/>
      <c r="V31" s="411"/>
      <c r="W31" s="411"/>
      <c r="X31" s="411"/>
      <c r="Y31" s="412"/>
      <c r="Z31" s="410"/>
      <c r="AA31" s="413"/>
      <c r="AB31" s="410"/>
      <c r="AC31" s="412"/>
      <c r="AD31" s="412"/>
      <c r="AE31" s="414"/>
    </row>
    <row r="32" spans="1:37" ht="12" customHeight="1" x14ac:dyDescent="0.35">
      <c r="A32" s="425"/>
      <c r="B32" s="426" t="s">
        <v>82</v>
      </c>
      <c r="C32" s="407" t="s">
        <v>194</v>
      </c>
      <c r="D32" s="407"/>
      <c r="E32" s="407"/>
      <c r="F32" s="407"/>
      <c r="G32" s="424"/>
      <c r="H32" s="408"/>
      <c r="I32" s="405"/>
      <c r="J32" s="404"/>
      <c r="K32" s="418"/>
      <c r="L32" s="402"/>
      <c r="M32" s="402"/>
      <c r="N32" s="402"/>
      <c r="O32" s="427">
        <v>6</v>
      </c>
      <c r="P32" s="407" t="s">
        <v>147</v>
      </c>
      <c r="Q32" s="428"/>
      <c r="R32" s="429">
        <f>O32*300000</f>
        <v>1800000</v>
      </c>
      <c r="S32" s="409">
        <f>+R32/$R$184*100</f>
        <v>8.0386462383824811E-2</v>
      </c>
      <c r="T32" s="410"/>
      <c r="U32" s="411"/>
      <c r="V32" s="411"/>
      <c r="W32" s="411"/>
      <c r="X32" s="411"/>
      <c r="Y32" s="412">
        <v>0</v>
      </c>
      <c r="Z32" s="410">
        <f t="shared" ref="Z32:Z34" si="4">+Y32/R32*100</f>
        <v>0</v>
      </c>
      <c r="AA32" s="413">
        <f t="shared" si="1"/>
        <v>0</v>
      </c>
      <c r="AB32" s="410">
        <f t="shared" ref="AB32:AB34" si="5">AA32*S32/100</f>
        <v>0</v>
      </c>
      <c r="AC32" s="412"/>
      <c r="AD32" s="412">
        <f t="shared" si="3"/>
        <v>1800000</v>
      </c>
      <c r="AE32" s="414"/>
    </row>
    <row r="33" spans="1:32" ht="12" customHeight="1" x14ac:dyDescent="0.35">
      <c r="A33" s="425"/>
      <c r="B33" s="426" t="s">
        <v>82</v>
      </c>
      <c r="C33" s="407" t="s">
        <v>195</v>
      </c>
      <c r="D33" s="407"/>
      <c r="E33" s="407"/>
      <c r="F33" s="407"/>
      <c r="G33" s="424"/>
      <c r="H33" s="408"/>
      <c r="I33" s="405"/>
      <c r="J33" s="404"/>
      <c r="K33" s="418"/>
      <c r="L33" s="402"/>
      <c r="M33" s="402"/>
      <c r="N33" s="402"/>
      <c r="O33" s="427">
        <v>6</v>
      </c>
      <c r="P33" s="407" t="s">
        <v>147</v>
      </c>
      <c r="Q33" s="428"/>
      <c r="R33" s="429">
        <f>O33*250000</f>
        <v>1500000</v>
      </c>
      <c r="S33" s="409">
        <f>+R33/$R$184*100</f>
        <v>6.6988718653187354E-2</v>
      </c>
      <c r="T33" s="410"/>
      <c r="U33" s="411"/>
      <c r="V33" s="411"/>
      <c r="W33" s="411"/>
      <c r="X33" s="411"/>
      <c r="Y33" s="412">
        <v>0</v>
      </c>
      <c r="Z33" s="410">
        <f t="shared" si="4"/>
        <v>0</v>
      </c>
      <c r="AA33" s="413">
        <f t="shared" si="1"/>
        <v>0</v>
      </c>
      <c r="AB33" s="410">
        <f t="shared" si="5"/>
        <v>0</v>
      </c>
      <c r="AC33" s="412"/>
      <c r="AD33" s="412">
        <f t="shared" si="3"/>
        <v>1500000</v>
      </c>
      <c r="AE33" s="414"/>
    </row>
    <row r="34" spans="1:32" ht="12" customHeight="1" x14ac:dyDescent="0.35">
      <c r="A34" s="425"/>
      <c r="B34" s="426" t="s">
        <v>82</v>
      </c>
      <c r="C34" s="407" t="s">
        <v>196</v>
      </c>
      <c r="D34" s="407"/>
      <c r="E34" s="407"/>
      <c r="F34" s="407"/>
      <c r="G34" s="424"/>
      <c r="H34" s="408"/>
      <c r="I34" s="405"/>
      <c r="J34" s="404"/>
      <c r="K34" s="418"/>
      <c r="L34" s="402"/>
      <c r="M34" s="402"/>
      <c r="N34" s="402"/>
      <c r="O34" s="427">
        <v>30</v>
      </c>
      <c r="P34" s="407" t="s">
        <v>147</v>
      </c>
      <c r="Q34" s="428"/>
      <c r="R34" s="429">
        <f>O34*200000</f>
        <v>6000000</v>
      </c>
      <c r="S34" s="409">
        <f>+R34/$R$184*100</f>
        <v>0.26795487461274942</v>
      </c>
      <c r="T34" s="410"/>
      <c r="U34" s="411"/>
      <c r="V34" s="411"/>
      <c r="W34" s="411"/>
      <c r="X34" s="411"/>
      <c r="Y34" s="412">
        <v>0</v>
      </c>
      <c r="Z34" s="410">
        <f t="shared" si="4"/>
        <v>0</v>
      </c>
      <c r="AA34" s="413">
        <f t="shared" si="1"/>
        <v>0</v>
      </c>
      <c r="AB34" s="410">
        <f t="shared" si="5"/>
        <v>0</v>
      </c>
      <c r="AC34" s="412"/>
      <c r="AD34" s="412">
        <f t="shared" si="3"/>
        <v>6000000</v>
      </c>
      <c r="AE34" s="414"/>
    </row>
    <row r="35" spans="1:32" ht="12" customHeight="1" x14ac:dyDescent="0.35">
      <c r="A35" s="422">
        <v>521219</v>
      </c>
      <c r="B35" s="423" t="s">
        <v>197</v>
      </c>
      <c r="C35" s="407"/>
      <c r="D35" s="407"/>
      <c r="E35" s="407"/>
      <c r="F35" s="407"/>
      <c r="G35" s="424"/>
      <c r="H35" s="408"/>
      <c r="I35" s="405"/>
      <c r="J35" s="404"/>
      <c r="K35" s="418"/>
      <c r="L35" s="402"/>
      <c r="M35" s="402"/>
      <c r="N35" s="402"/>
      <c r="O35" s="427"/>
      <c r="P35" s="407"/>
      <c r="Q35" s="428"/>
      <c r="R35" s="429"/>
      <c r="S35" s="409"/>
      <c r="T35" s="410"/>
      <c r="U35" s="411"/>
      <c r="V35" s="411"/>
      <c r="W35" s="411"/>
      <c r="X35" s="411"/>
      <c r="Y35" s="412"/>
      <c r="Z35" s="410"/>
      <c r="AA35" s="413"/>
      <c r="AB35" s="410"/>
      <c r="AC35" s="412"/>
      <c r="AD35" s="412"/>
      <c r="AE35" s="414"/>
    </row>
    <row r="36" spans="1:32" ht="12" customHeight="1" x14ac:dyDescent="0.35">
      <c r="A36" s="425"/>
      <c r="B36" s="426" t="s">
        <v>82</v>
      </c>
      <c r="C36" s="407" t="s">
        <v>198</v>
      </c>
      <c r="D36" s="407"/>
      <c r="E36" s="407"/>
      <c r="F36" s="407"/>
      <c r="G36" s="424"/>
      <c r="H36" s="408"/>
      <c r="I36" s="405"/>
      <c r="J36" s="404"/>
      <c r="K36" s="418"/>
      <c r="L36" s="402"/>
      <c r="M36" s="402"/>
      <c r="N36" s="402"/>
      <c r="O36" s="427">
        <v>25</v>
      </c>
      <c r="P36" s="407" t="s">
        <v>200</v>
      </c>
      <c r="Q36" s="420"/>
      <c r="R36" s="429">
        <f>O36*50000</f>
        <v>1250000</v>
      </c>
      <c r="S36" s="409">
        <f>+R36/$R$184*100</f>
        <v>5.5823932210989448E-2</v>
      </c>
      <c r="T36" s="410"/>
      <c r="U36" s="411"/>
      <c r="V36" s="411"/>
      <c r="W36" s="411"/>
      <c r="X36" s="411"/>
      <c r="Y36" s="412">
        <v>0</v>
      </c>
      <c r="Z36" s="410">
        <f t="shared" ref="Z36:Z37" si="6">+Y36/R36*100</f>
        <v>0</v>
      </c>
      <c r="AA36" s="413">
        <f t="shared" si="1"/>
        <v>0</v>
      </c>
      <c r="AB36" s="410">
        <f t="shared" ref="AB36:AB37" si="7">AA36*S36/100</f>
        <v>0</v>
      </c>
      <c r="AC36" s="412"/>
      <c r="AD36" s="412">
        <f t="shared" ref="AD36:AD37" si="8">+R36-Y36</f>
        <v>1250000</v>
      </c>
      <c r="AE36" s="414"/>
    </row>
    <row r="37" spans="1:32" ht="12" customHeight="1" x14ac:dyDescent="0.35">
      <c r="A37" s="425"/>
      <c r="B37" s="426" t="s">
        <v>82</v>
      </c>
      <c r="C37" s="407" t="s">
        <v>199</v>
      </c>
      <c r="D37" s="407"/>
      <c r="E37" s="407"/>
      <c r="F37" s="407"/>
      <c r="G37" s="424"/>
      <c r="H37" s="408"/>
      <c r="I37" s="405"/>
      <c r="J37" s="404"/>
      <c r="K37" s="418"/>
      <c r="L37" s="402"/>
      <c r="M37" s="402"/>
      <c r="N37" s="402"/>
      <c r="O37" s="427">
        <v>30</v>
      </c>
      <c r="P37" s="407" t="s">
        <v>200</v>
      </c>
      <c r="Q37" s="428"/>
      <c r="R37" s="429">
        <f>O37*50000</f>
        <v>1500000</v>
      </c>
      <c r="S37" s="409">
        <f>+R37/$R$184*100</f>
        <v>6.6988718653187354E-2</v>
      </c>
      <c r="T37" s="410"/>
      <c r="U37" s="411"/>
      <c r="V37" s="411"/>
      <c r="W37" s="411"/>
      <c r="X37" s="411"/>
      <c r="Y37" s="412">
        <v>0</v>
      </c>
      <c r="Z37" s="410">
        <f t="shared" si="6"/>
        <v>0</v>
      </c>
      <c r="AA37" s="413">
        <f t="shared" si="1"/>
        <v>0</v>
      </c>
      <c r="AB37" s="410">
        <f t="shared" si="7"/>
        <v>0</v>
      </c>
      <c r="AC37" s="412"/>
      <c r="AD37" s="412">
        <f t="shared" si="8"/>
        <v>1500000</v>
      </c>
      <c r="AE37" s="414"/>
    </row>
    <row r="38" spans="1:32" ht="12" customHeight="1" x14ac:dyDescent="0.35">
      <c r="A38" s="422">
        <v>522141</v>
      </c>
      <c r="B38" s="423" t="s">
        <v>168</v>
      </c>
      <c r="C38" s="407"/>
      <c r="D38" s="407"/>
      <c r="E38" s="407"/>
      <c r="F38" s="407"/>
      <c r="G38" s="424"/>
      <c r="H38" s="408"/>
      <c r="I38" s="405"/>
      <c r="J38" s="404"/>
      <c r="K38" s="418"/>
      <c r="L38" s="402"/>
      <c r="M38" s="402"/>
      <c r="N38" s="402"/>
      <c r="O38" s="419"/>
      <c r="P38" s="416"/>
      <c r="Q38" s="420"/>
      <c r="R38" s="421"/>
      <c r="S38" s="409"/>
      <c r="T38" s="414"/>
      <c r="U38" s="411"/>
      <c r="V38" s="411"/>
      <c r="W38" s="411"/>
      <c r="X38" s="411"/>
      <c r="Y38" s="412"/>
      <c r="Z38" s="414"/>
      <c r="AA38" s="414"/>
      <c r="AB38" s="414"/>
      <c r="AC38" s="412"/>
      <c r="AD38" s="412"/>
      <c r="AE38" s="414"/>
    </row>
    <row r="39" spans="1:32" ht="12" customHeight="1" x14ac:dyDescent="0.35">
      <c r="A39" s="425"/>
      <c r="B39" s="426" t="s">
        <v>82</v>
      </c>
      <c r="C39" s="407" t="s">
        <v>201</v>
      </c>
      <c r="D39" s="407"/>
      <c r="E39" s="407"/>
      <c r="F39" s="407"/>
      <c r="G39" s="424"/>
      <c r="H39" s="408"/>
      <c r="I39" s="405"/>
      <c r="J39" s="404"/>
      <c r="K39" s="418"/>
      <c r="L39" s="402"/>
      <c r="M39" s="402"/>
      <c r="N39" s="402"/>
      <c r="O39" s="427">
        <v>1</v>
      </c>
      <c r="P39" s="407" t="s">
        <v>205</v>
      </c>
      <c r="Q39" s="428"/>
      <c r="R39" s="429">
        <f>O39*2000000</f>
        <v>2000000</v>
      </c>
      <c r="S39" s="409">
        <f>+R39/$R$184*100</f>
        <v>8.9318291537583125E-2</v>
      </c>
      <c r="T39" s="410"/>
      <c r="U39" s="411"/>
      <c r="V39" s="411"/>
      <c r="W39" s="411"/>
      <c r="X39" s="411"/>
      <c r="Y39" s="412">
        <v>0</v>
      </c>
      <c r="Z39" s="410">
        <f t="shared" ref="Z39:Z42" si="9">+Y39/R39*100</f>
        <v>0</v>
      </c>
      <c r="AA39" s="413">
        <f t="shared" si="1"/>
        <v>0</v>
      </c>
      <c r="AB39" s="410">
        <f t="shared" ref="AB39:AB42" si="10">AA39*S39/100</f>
        <v>0</v>
      </c>
      <c r="AC39" s="412"/>
      <c r="AD39" s="412">
        <f t="shared" ref="AD39:AD42" si="11">+R39-Y39</f>
        <v>2000000</v>
      </c>
      <c r="AE39" s="414"/>
    </row>
    <row r="40" spans="1:32" ht="12" customHeight="1" x14ac:dyDescent="0.35">
      <c r="A40" s="425"/>
      <c r="B40" s="426" t="s">
        <v>82</v>
      </c>
      <c r="C40" s="407" t="s">
        <v>202</v>
      </c>
      <c r="D40" s="407"/>
      <c r="E40" s="407"/>
      <c r="F40" s="407"/>
      <c r="G40" s="424"/>
      <c r="H40" s="408"/>
      <c r="I40" s="405"/>
      <c r="J40" s="404"/>
      <c r="K40" s="418"/>
      <c r="L40" s="402"/>
      <c r="M40" s="402"/>
      <c r="N40" s="402"/>
      <c r="O40" s="427">
        <v>6</v>
      </c>
      <c r="P40" s="407" t="s">
        <v>205</v>
      </c>
      <c r="Q40" s="428"/>
      <c r="R40" s="429">
        <f>O40*700000</f>
        <v>4200000</v>
      </c>
      <c r="S40" s="409">
        <f>+R40/$R$184*100</f>
        <v>0.18756841222892456</v>
      </c>
      <c r="T40" s="410"/>
      <c r="U40" s="411"/>
      <c r="V40" s="411"/>
      <c r="W40" s="411"/>
      <c r="X40" s="411"/>
      <c r="Y40" s="412">
        <v>0</v>
      </c>
      <c r="Z40" s="410">
        <f t="shared" si="9"/>
        <v>0</v>
      </c>
      <c r="AA40" s="413">
        <f t="shared" si="1"/>
        <v>0</v>
      </c>
      <c r="AB40" s="410">
        <f t="shared" si="10"/>
        <v>0</v>
      </c>
      <c r="AC40" s="412"/>
      <c r="AD40" s="412">
        <f t="shared" si="11"/>
        <v>4200000</v>
      </c>
      <c r="AE40" s="414"/>
      <c r="AF40" s="90"/>
    </row>
    <row r="41" spans="1:32" ht="12" customHeight="1" x14ac:dyDescent="0.35">
      <c r="A41" s="425"/>
      <c r="B41" s="426" t="s">
        <v>82</v>
      </c>
      <c r="C41" s="407" t="s">
        <v>203</v>
      </c>
      <c r="D41" s="407"/>
      <c r="E41" s="407"/>
      <c r="F41" s="407"/>
      <c r="G41" s="424"/>
      <c r="H41" s="408"/>
      <c r="I41" s="405"/>
      <c r="J41" s="404"/>
      <c r="K41" s="418"/>
      <c r="L41" s="402"/>
      <c r="M41" s="402"/>
      <c r="N41" s="402"/>
      <c r="O41" s="427">
        <v>1</v>
      </c>
      <c r="P41" s="407" t="s">
        <v>205</v>
      </c>
      <c r="Q41" s="428"/>
      <c r="R41" s="429">
        <f>O41*2000000</f>
        <v>2000000</v>
      </c>
      <c r="S41" s="409">
        <f>+R41/$R$184*100</f>
        <v>8.9318291537583125E-2</v>
      </c>
      <c r="T41" s="410"/>
      <c r="U41" s="411"/>
      <c r="V41" s="411"/>
      <c r="W41" s="411"/>
      <c r="X41" s="411"/>
      <c r="Y41" s="412">
        <v>0</v>
      </c>
      <c r="Z41" s="410">
        <f t="shared" si="9"/>
        <v>0</v>
      </c>
      <c r="AA41" s="413">
        <f t="shared" si="1"/>
        <v>0</v>
      </c>
      <c r="AB41" s="410">
        <f t="shared" si="10"/>
        <v>0</v>
      </c>
      <c r="AC41" s="412"/>
      <c r="AD41" s="412">
        <f t="shared" si="11"/>
        <v>2000000</v>
      </c>
      <c r="AE41" s="414"/>
      <c r="AF41" s="90"/>
    </row>
    <row r="42" spans="1:32" ht="12" customHeight="1" x14ac:dyDescent="0.35">
      <c r="A42" s="425"/>
      <c r="B42" s="426" t="s">
        <v>82</v>
      </c>
      <c r="C42" s="407" t="s">
        <v>204</v>
      </c>
      <c r="D42" s="407"/>
      <c r="E42" s="407"/>
      <c r="F42" s="407"/>
      <c r="G42" s="424"/>
      <c r="H42" s="408"/>
      <c r="I42" s="405"/>
      <c r="J42" s="404"/>
      <c r="K42" s="418"/>
      <c r="L42" s="402"/>
      <c r="M42" s="402"/>
      <c r="N42" s="402"/>
      <c r="O42" s="427">
        <v>6</v>
      </c>
      <c r="P42" s="407" t="s">
        <v>205</v>
      </c>
      <c r="Q42" s="428"/>
      <c r="R42" s="429">
        <f>O42*700000</f>
        <v>4200000</v>
      </c>
      <c r="S42" s="409">
        <f>+R42/$R$184*100</f>
        <v>0.18756841222892456</v>
      </c>
      <c r="T42" s="410"/>
      <c r="U42" s="411"/>
      <c r="V42" s="411"/>
      <c r="W42" s="411"/>
      <c r="X42" s="411"/>
      <c r="Y42" s="412">
        <v>0</v>
      </c>
      <c r="Z42" s="410">
        <f t="shared" si="9"/>
        <v>0</v>
      </c>
      <c r="AA42" s="413">
        <f t="shared" si="1"/>
        <v>0</v>
      </c>
      <c r="AB42" s="410">
        <f t="shared" si="10"/>
        <v>0</v>
      </c>
      <c r="AC42" s="412"/>
      <c r="AD42" s="412">
        <f t="shared" si="11"/>
        <v>4200000</v>
      </c>
      <c r="AE42" s="414"/>
      <c r="AF42" s="90"/>
    </row>
    <row r="43" spans="1:32" ht="12" customHeight="1" x14ac:dyDescent="0.35">
      <c r="A43" s="422">
        <v>522151</v>
      </c>
      <c r="B43" s="430" t="s">
        <v>84</v>
      </c>
      <c r="C43" s="407"/>
      <c r="D43" s="407"/>
      <c r="E43" s="407"/>
      <c r="F43" s="407"/>
      <c r="G43" s="424"/>
      <c r="H43" s="408"/>
      <c r="I43" s="405"/>
      <c r="J43" s="404"/>
      <c r="K43" s="418"/>
      <c r="L43" s="402"/>
      <c r="M43" s="402"/>
      <c r="N43" s="402"/>
      <c r="O43" s="427"/>
      <c r="P43" s="407"/>
      <c r="Q43" s="428"/>
      <c r="R43" s="429"/>
      <c r="S43" s="409"/>
      <c r="T43" s="414"/>
      <c r="U43" s="411"/>
      <c r="V43" s="411"/>
      <c r="W43" s="411"/>
      <c r="X43" s="411"/>
      <c r="Y43" s="412"/>
      <c r="Z43" s="414"/>
      <c r="AA43" s="414"/>
      <c r="AB43" s="414"/>
      <c r="AC43" s="412"/>
      <c r="AD43" s="412"/>
      <c r="AE43" s="414"/>
      <c r="AF43" s="90"/>
    </row>
    <row r="44" spans="1:32" ht="12" customHeight="1" x14ac:dyDescent="0.35">
      <c r="A44" s="425"/>
      <c r="B44" s="426" t="s">
        <v>82</v>
      </c>
      <c r="C44" s="407" t="s">
        <v>206</v>
      </c>
      <c r="D44" s="407"/>
      <c r="E44" s="407"/>
      <c r="F44" s="407"/>
      <c r="G44" s="424"/>
      <c r="H44" s="408"/>
      <c r="I44" s="405"/>
      <c r="J44" s="404"/>
      <c r="K44" s="418"/>
      <c r="L44" s="402"/>
      <c r="M44" s="402"/>
      <c r="N44" s="402"/>
      <c r="O44" s="427">
        <v>2</v>
      </c>
      <c r="P44" s="407" t="s">
        <v>210</v>
      </c>
      <c r="Q44" s="428"/>
      <c r="R44" s="429">
        <f>O44*1300000</f>
        <v>2600000</v>
      </c>
      <c r="S44" s="409">
        <f>+R44/$R$184*100</f>
        <v>0.11611377899885807</v>
      </c>
      <c r="T44" s="410"/>
      <c r="U44" s="411"/>
      <c r="V44" s="411"/>
      <c r="W44" s="411"/>
      <c r="X44" s="411"/>
      <c r="Y44" s="412">
        <v>0</v>
      </c>
      <c r="Z44" s="410">
        <f t="shared" ref="Z44:Z47" si="12">+Y44/R44*100</f>
        <v>0</v>
      </c>
      <c r="AA44" s="413">
        <f t="shared" si="1"/>
        <v>0</v>
      </c>
      <c r="AB44" s="410">
        <f t="shared" ref="AB44:AB47" si="13">AA44*S44/100</f>
        <v>0</v>
      </c>
      <c r="AC44" s="412"/>
      <c r="AD44" s="412">
        <f t="shared" ref="AD44:AD47" si="14">+R44-Y44</f>
        <v>2600000</v>
      </c>
      <c r="AE44" s="414"/>
      <c r="AF44" s="90"/>
    </row>
    <row r="45" spans="1:32" ht="12" customHeight="1" x14ac:dyDescent="0.35">
      <c r="A45" s="425"/>
      <c r="B45" s="426" t="s">
        <v>82</v>
      </c>
      <c r="C45" s="407" t="s">
        <v>207</v>
      </c>
      <c r="D45" s="407"/>
      <c r="E45" s="407"/>
      <c r="F45" s="407"/>
      <c r="G45" s="424"/>
      <c r="H45" s="408"/>
      <c r="I45" s="405"/>
      <c r="J45" s="404"/>
      <c r="K45" s="418"/>
      <c r="L45" s="402"/>
      <c r="M45" s="402"/>
      <c r="N45" s="402"/>
      <c r="O45" s="427">
        <v>10</v>
      </c>
      <c r="P45" s="407" t="s">
        <v>210</v>
      </c>
      <c r="Q45" s="428"/>
      <c r="R45" s="429">
        <f>O45*900000</f>
        <v>9000000</v>
      </c>
      <c r="S45" s="409">
        <f>+R45/$R$184*100</f>
        <v>0.4019323119191241</v>
      </c>
      <c r="T45" s="410"/>
      <c r="U45" s="411"/>
      <c r="V45" s="411"/>
      <c r="W45" s="411"/>
      <c r="X45" s="411"/>
      <c r="Y45" s="412">
        <v>0</v>
      </c>
      <c r="Z45" s="410">
        <f t="shared" si="12"/>
        <v>0</v>
      </c>
      <c r="AA45" s="413">
        <f t="shared" si="1"/>
        <v>0</v>
      </c>
      <c r="AB45" s="410">
        <f t="shared" si="13"/>
        <v>0</v>
      </c>
      <c r="AC45" s="412"/>
      <c r="AD45" s="412">
        <f t="shared" si="14"/>
        <v>9000000</v>
      </c>
      <c r="AE45" s="414"/>
      <c r="AF45" s="90"/>
    </row>
    <row r="46" spans="1:32" ht="12" customHeight="1" x14ac:dyDescent="0.35">
      <c r="A46" s="425"/>
      <c r="B46" s="426" t="s">
        <v>82</v>
      </c>
      <c r="C46" s="407" t="s">
        <v>208</v>
      </c>
      <c r="D46" s="407"/>
      <c r="E46" s="407"/>
      <c r="F46" s="407"/>
      <c r="G46" s="424"/>
      <c r="H46" s="408"/>
      <c r="I46" s="405"/>
      <c r="J46" s="404"/>
      <c r="K46" s="418"/>
      <c r="L46" s="402"/>
      <c r="M46" s="402"/>
      <c r="N46" s="402"/>
      <c r="O46" s="427">
        <v>2</v>
      </c>
      <c r="P46" s="407" t="s">
        <v>210</v>
      </c>
      <c r="Q46" s="428"/>
      <c r="R46" s="429">
        <f>O46*1300000</f>
        <v>2600000</v>
      </c>
      <c r="S46" s="409">
        <f>+R46/$R$184*100</f>
        <v>0.11611377899885807</v>
      </c>
      <c r="T46" s="410"/>
      <c r="U46" s="411"/>
      <c r="V46" s="411"/>
      <c r="W46" s="411"/>
      <c r="X46" s="411"/>
      <c r="Y46" s="412">
        <v>0</v>
      </c>
      <c r="Z46" s="410">
        <f t="shared" si="12"/>
        <v>0</v>
      </c>
      <c r="AA46" s="413">
        <f t="shared" si="1"/>
        <v>0</v>
      </c>
      <c r="AB46" s="410">
        <f t="shared" si="13"/>
        <v>0</v>
      </c>
      <c r="AC46" s="412"/>
      <c r="AD46" s="412">
        <f t="shared" si="14"/>
        <v>2600000</v>
      </c>
      <c r="AE46" s="414"/>
      <c r="AF46" s="90"/>
    </row>
    <row r="47" spans="1:32" ht="12" customHeight="1" x14ac:dyDescent="0.35">
      <c r="A47" s="425"/>
      <c r="B47" s="426" t="s">
        <v>82</v>
      </c>
      <c r="C47" s="407" t="s">
        <v>209</v>
      </c>
      <c r="D47" s="407"/>
      <c r="E47" s="407"/>
      <c r="F47" s="407"/>
      <c r="G47" s="424"/>
      <c r="H47" s="408"/>
      <c r="I47" s="405"/>
      <c r="J47" s="404"/>
      <c r="K47" s="418"/>
      <c r="L47" s="402"/>
      <c r="M47" s="402"/>
      <c r="N47" s="402"/>
      <c r="O47" s="427">
        <v>10</v>
      </c>
      <c r="P47" s="407" t="s">
        <v>210</v>
      </c>
      <c r="Q47" s="428"/>
      <c r="R47" s="429">
        <f>O47*900000</f>
        <v>9000000</v>
      </c>
      <c r="S47" s="409">
        <f>+R47/$R$184*100</f>
        <v>0.4019323119191241</v>
      </c>
      <c r="T47" s="410"/>
      <c r="U47" s="411"/>
      <c r="V47" s="411"/>
      <c r="W47" s="411"/>
      <c r="X47" s="411"/>
      <c r="Y47" s="412">
        <v>0</v>
      </c>
      <c r="Z47" s="410">
        <f t="shared" si="12"/>
        <v>0</v>
      </c>
      <c r="AA47" s="413">
        <f t="shared" si="1"/>
        <v>0</v>
      </c>
      <c r="AB47" s="410">
        <f t="shared" si="13"/>
        <v>0</v>
      </c>
      <c r="AC47" s="412"/>
      <c r="AD47" s="412">
        <f t="shared" si="14"/>
        <v>9000000</v>
      </c>
      <c r="AE47" s="414"/>
      <c r="AF47" s="90"/>
    </row>
    <row r="48" spans="1:32" ht="12" customHeight="1" x14ac:dyDescent="0.35">
      <c r="A48" s="422">
        <v>524111</v>
      </c>
      <c r="B48" s="430" t="s">
        <v>85</v>
      </c>
      <c r="C48" s="407"/>
      <c r="D48" s="407"/>
      <c r="E48" s="407"/>
      <c r="F48" s="407"/>
      <c r="G48" s="424"/>
      <c r="H48" s="408"/>
      <c r="I48" s="405"/>
      <c r="J48" s="404"/>
      <c r="K48" s="418"/>
      <c r="L48" s="402"/>
      <c r="M48" s="402"/>
      <c r="N48" s="402"/>
      <c r="O48" s="427"/>
      <c r="P48" s="407"/>
      <c r="Q48" s="428"/>
      <c r="R48" s="429"/>
      <c r="S48" s="409"/>
      <c r="T48" s="410"/>
      <c r="U48" s="411"/>
      <c r="V48" s="411"/>
      <c r="W48" s="411"/>
      <c r="X48" s="411"/>
      <c r="Y48" s="412"/>
      <c r="Z48" s="410"/>
      <c r="AA48" s="413"/>
      <c r="AB48" s="410"/>
      <c r="AC48" s="412"/>
      <c r="AD48" s="412"/>
      <c r="AE48" s="414"/>
      <c r="AF48" s="90"/>
    </row>
    <row r="49" spans="1:32" ht="12" customHeight="1" x14ac:dyDescent="0.35">
      <c r="A49" s="425"/>
      <c r="B49" s="426" t="s">
        <v>82</v>
      </c>
      <c r="C49" s="407" t="s">
        <v>211</v>
      </c>
      <c r="D49" s="407"/>
      <c r="E49" s="407"/>
      <c r="F49" s="407"/>
      <c r="G49" s="424"/>
      <c r="H49" s="408"/>
      <c r="I49" s="405"/>
      <c r="J49" s="404"/>
      <c r="K49" s="418"/>
      <c r="L49" s="402"/>
      <c r="M49" s="402"/>
      <c r="N49" s="402"/>
      <c r="O49" s="427">
        <v>6</v>
      </c>
      <c r="P49" s="407" t="s">
        <v>217</v>
      </c>
      <c r="Q49" s="428"/>
      <c r="R49" s="429">
        <f>O49*430000</f>
        <v>2580000</v>
      </c>
      <c r="S49" s="409">
        <f t="shared" ref="S49:S54" si="15">+R49/$R$184*100</f>
        <v>0.11522059608348224</v>
      </c>
      <c r="T49" s="410"/>
      <c r="U49" s="411"/>
      <c r="V49" s="411"/>
      <c r="W49" s="411"/>
      <c r="X49" s="411"/>
      <c r="Y49" s="412">
        <v>0</v>
      </c>
      <c r="Z49" s="410">
        <f t="shared" ref="Z49:Z54" si="16">+Y49/R49*100</f>
        <v>0</v>
      </c>
      <c r="AA49" s="413">
        <f t="shared" si="1"/>
        <v>0</v>
      </c>
      <c r="AB49" s="410">
        <f t="shared" ref="AB49:AB54" si="17">AA49*S49/100</f>
        <v>0</v>
      </c>
      <c r="AC49" s="412"/>
      <c r="AD49" s="412">
        <f t="shared" ref="AD49:AD54" si="18">+R49-Y49</f>
        <v>2580000</v>
      </c>
      <c r="AE49" s="414"/>
      <c r="AF49" s="90"/>
    </row>
    <row r="50" spans="1:32" ht="12" customHeight="1" x14ac:dyDescent="0.35">
      <c r="A50" s="425"/>
      <c r="B50" s="426" t="s">
        <v>82</v>
      </c>
      <c r="C50" s="407" t="s">
        <v>212</v>
      </c>
      <c r="D50" s="407"/>
      <c r="E50" s="407"/>
      <c r="F50" s="407"/>
      <c r="G50" s="424"/>
      <c r="H50" s="408"/>
      <c r="I50" s="405"/>
      <c r="J50" s="404"/>
      <c r="K50" s="418"/>
      <c r="L50" s="402"/>
      <c r="M50" s="402"/>
      <c r="N50" s="402"/>
      <c r="O50" s="427">
        <v>4</v>
      </c>
      <c r="P50" s="407" t="s">
        <v>217</v>
      </c>
      <c r="Q50" s="428"/>
      <c r="R50" s="429">
        <f>O50*580000</f>
        <v>2320000</v>
      </c>
      <c r="S50" s="409">
        <f t="shared" si="15"/>
        <v>0.10360921818359642</v>
      </c>
      <c r="T50" s="410"/>
      <c r="U50" s="411"/>
      <c r="V50" s="411"/>
      <c r="W50" s="411"/>
      <c r="X50" s="411"/>
      <c r="Y50" s="412">
        <v>0</v>
      </c>
      <c r="Z50" s="410">
        <f t="shared" si="16"/>
        <v>0</v>
      </c>
      <c r="AA50" s="413">
        <f t="shared" si="1"/>
        <v>0</v>
      </c>
      <c r="AB50" s="410">
        <f t="shared" si="17"/>
        <v>0</v>
      </c>
      <c r="AC50" s="412"/>
      <c r="AD50" s="412">
        <f t="shared" si="18"/>
        <v>2320000</v>
      </c>
      <c r="AE50" s="414"/>
      <c r="AF50" s="90"/>
    </row>
    <row r="51" spans="1:32" ht="12" customHeight="1" x14ac:dyDescent="0.35">
      <c r="A51" s="425"/>
      <c r="B51" s="426" t="s">
        <v>82</v>
      </c>
      <c r="C51" s="407" t="s">
        <v>213</v>
      </c>
      <c r="D51" s="407"/>
      <c r="E51" s="407"/>
      <c r="F51" s="407"/>
      <c r="G51" s="424"/>
      <c r="H51" s="408"/>
      <c r="I51" s="405"/>
      <c r="J51" s="404"/>
      <c r="K51" s="418"/>
      <c r="L51" s="402"/>
      <c r="M51" s="402"/>
      <c r="N51" s="402"/>
      <c r="O51" s="427">
        <v>2</v>
      </c>
      <c r="P51" s="407" t="s">
        <v>147</v>
      </c>
      <c r="Q51" s="428"/>
      <c r="R51" s="429">
        <f>O51*400000</f>
        <v>800000</v>
      </c>
      <c r="S51" s="409">
        <f t="shared" si="15"/>
        <v>3.5727316615033249E-2</v>
      </c>
      <c r="T51" s="410"/>
      <c r="U51" s="411"/>
      <c r="V51" s="411"/>
      <c r="W51" s="411"/>
      <c r="X51" s="411"/>
      <c r="Y51" s="412">
        <v>0</v>
      </c>
      <c r="Z51" s="410">
        <f t="shared" si="16"/>
        <v>0</v>
      </c>
      <c r="AA51" s="413">
        <f t="shared" si="1"/>
        <v>0</v>
      </c>
      <c r="AB51" s="410">
        <f t="shared" si="17"/>
        <v>0</v>
      </c>
      <c r="AC51" s="412"/>
      <c r="AD51" s="412">
        <f t="shared" si="18"/>
        <v>800000</v>
      </c>
      <c r="AE51" s="414"/>
      <c r="AF51" s="90"/>
    </row>
    <row r="52" spans="1:32" ht="12" customHeight="1" x14ac:dyDescent="0.35">
      <c r="A52" s="425"/>
      <c r="B52" s="426" t="s">
        <v>82</v>
      </c>
      <c r="C52" s="407" t="s">
        <v>214</v>
      </c>
      <c r="D52" s="407"/>
      <c r="E52" s="407"/>
      <c r="F52" s="407"/>
      <c r="G52" s="424"/>
      <c r="H52" s="408"/>
      <c r="I52" s="405"/>
      <c r="J52" s="404"/>
      <c r="K52" s="418"/>
      <c r="L52" s="402"/>
      <c r="M52" s="402"/>
      <c r="N52" s="402"/>
      <c r="O52" s="427">
        <v>5</v>
      </c>
      <c r="P52" s="407" t="s">
        <v>217</v>
      </c>
      <c r="Q52" s="428"/>
      <c r="R52" s="429">
        <f>O52*430000</f>
        <v>2150000</v>
      </c>
      <c r="S52" s="409">
        <f t="shared" si="15"/>
        <v>9.6017163402901867E-2</v>
      </c>
      <c r="T52" s="410"/>
      <c r="U52" s="411"/>
      <c r="V52" s="411"/>
      <c r="W52" s="411"/>
      <c r="X52" s="411"/>
      <c r="Y52" s="412">
        <v>0</v>
      </c>
      <c r="Z52" s="410">
        <f t="shared" si="16"/>
        <v>0</v>
      </c>
      <c r="AA52" s="413">
        <f t="shared" si="1"/>
        <v>0</v>
      </c>
      <c r="AB52" s="410">
        <f t="shared" si="17"/>
        <v>0</v>
      </c>
      <c r="AC52" s="412"/>
      <c r="AD52" s="412">
        <f t="shared" si="18"/>
        <v>2150000</v>
      </c>
      <c r="AE52" s="414"/>
      <c r="AF52" s="90"/>
    </row>
    <row r="53" spans="1:32" ht="12" customHeight="1" x14ac:dyDescent="0.35">
      <c r="A53" s="425"/>
      <c r="B53" s="426" t="s">
        <v>82</v>
      </c>
      <c r="C53" s="407" t="s">
        <v>215</v>
      </c>
      <c r="D53" s="407"/>
      <c r="E53" s="407"/>
      <c r="F53" s="407"/>
      <c r="G53" s="424"/>
      <c r="H53" s="408"/>
      <c r="I53" s="405"/>
      <c r="J53" s="404"/>
      <c r="K53" s="418"/>
      <c r="L53" s="402"/>
      <c r="M53" s="402"/>
      <c r="N53" s="402"/>
      <c r="O53" s="427">
        <v>2</v>
      </c>
      <c r="P53" s="407" t="s">
        <v>218</v>
      </c>
      <c r="Q53" s="428"/>
      <c r="R53" s="429">
        <f>O53*3000000</f>
        <v>6000000</v>
      </c>
      <c r="S53" s="409">
        <f t="shared" si="15"/>
        <v>0.26795487461274942</v>
      </c>
      <c r="T53" s="410"/>
      <c r="U53" s="411"/>
      <c r="V53" s="411"/>
      <c r="W53" s="411"/>
      <c r="X53" s="411"/>
      <c r="Y53" s="412">
        <v>0</v>
      </c>
      <c r="Z53" s="410">
        <f t="shared" si="16"/>
        <v>0</v>
      </c>
      <c r="AA53" s="413">
        <f t="shared" si="1"/>
        <v>0</v>
      </c>
      <c r="AB53" s="410">
        <f t="shared" si="17"/>
        <v>0</v>
      </c>
      <c r="AC53" s="412"/>
      <c r="AD53" s="412">
        <f t="shared" si="18"/>
        <v>6000000</v>
      </c>
      <c r="AE53" s="414"/>
      <c r="AF53" s="90"/>
    </row>
    <row r="54" spans="1:32" ht="12" customHeight="1" x14ac:dyDescent="0.35">
      <c r="A54" s="425"/>
      <c r="B54" s="426" t="s">
        <v>82</v>
      </c>
      <c r="C54" s="407" t="s">
        <v>216</v>
      </c>
      <c r="D54" s="407"/>
      <c r="E54" s="407"/>
      <c r="F54" s="407"/>
      <c r="G54" s="424"/>
      <c r="H54" s="408"/>
      <c r="I54" s="405"/>
      <c r="J54" s="404"/>
      <c r="K54" s="418"/>
      <c r="L54" s="402"/>
      <c r="M54" s="402"/>
      <c r="N54" s="402"/>
      <c r="O54" s="427">
        <v>5</v>
      </c>
      <c r="P54" s="407" t="s">
        <v>147</v>
      </c>
      <c r="Q54" s="428"/>
      <c r="R54" s="429">
        <f>O54*200000</f>
        <v>1000000</v>
      </c>
      <c r="S54" s="409">
        <f t="shared" si="15"/>
        <v>4.4659145768791562E-2</v>
      </c>
      <c r="T54" s="410"/>
      <c r="U54" s="411"/>
      <c r="V54" s="411"/>
      <c r="W54" s="411"/>
      <c r="X54" s="411"/>
      <c r="Y54" s="412">
        <v>0</v>
      </c>
      <c r="Z54" s="410">
        <f t="shared" si="16"/>
        <v>0</v>
      </c>
      <c r="AA54" s="413">
        <f t="shared" si="1"/>
        <v>0</v>
      </c>
      <c r="AB54" s="410">
        <f t="shared" si="17"/>
        <v>0</v>
      </c>
      <c r="AC54" s="412"/>
      <c r="AD54" s="412">
        <f t="shared" si="18"/>
        <v>1000000</v>
      </c>
      <c r="AE54" s="414"/>
      <c r="AF54" s="90"/>
    </row>
    <row r="55" spans="1:32" ht="12" customHeight="1" x14ac:dyDescent="0.35">
      <c r="A55" s="422">
        <v>524119</v>
      </c>
      <c r="B55" s="430" t="s">
        <v>219</v>
      </c>
      <c r="C55" s="407"/>
      <c r="D55" s="407"/>
      <c r="E55" s="407"/>
      <c r="F55" s="407"/>
      <c r="G55" s="424"/>
      <c r="H55" s="408"/>
      <c r="I55" s="405"/>
      <c r="J55" s="404"/>
      <c r="K55" s="418"/>
      <c r="L55" s="402"/>
      <c r="M55" s="402"/>
      <c r="N55" s="402"/>
      <c r="O55" s="427"/>
      <c r="P55" s="407"/>
      <c r="Q55" s="428"/>
      <c r="R55" s="429"/>
      <c r="S55" s="409"/>
      <c r="T55" s="410"/>
      <c r="U55" s="411"/>
      <c r="V55" s="411"/>
      <c r="W55" s="411"/>
      <c r="X55" s="411"/>
      <c r="Y55" s="412"/>
      <c r="Z55" s="410"/>
      <c r="AA55" s="413"/>
      <c r="AB55" s="410"/>
      <c r="AC55" s="412"/>
      <c r="AD55" s="412"/>
      <c r="AE55" s="414"/>
      <c r="AF55" s="90"/>
    </row>
    <row r="56" spans="1:32" ht="12" customHeight="1" x14ac:dyDescent="0.35">
      <c r="A56" s="425"/>
      <c r="B56" s="426" t="s">
        <v>82</v>
      </c>
      <c r="C56" s="407" t="s">
        <v>220</v>
      </c>
      <c r="D56" s="407"/>
      <c r="E56" s="407"/>
      <c r="F56" s="407"/>
      <c r="G56" s="424"/>
      <c r="H56" s="408"/>
      <c r="I56" s="405"/>
      <c r="J56" s="404"/>
      <c r="K56" s="418"/>
      <c r="L56" s="402"/>
      <c r="M56" s="402"/>
      <c r="N56" s="402"/>
      <c r="O56" s="427">
        <v>100</v>
      </c>
      <c r="P56" s="407" t="s">
        <v>217</v>
      </c>
      <c r="Q56" s="428"/>
      <c r="R56" s="429">
        <f>O56*700000</f>
        <v>70000000</v>
      </c>
      <c r="S56" s="409">
        <f t="shared" ref="S56:S61" si="19">+R56/$R$184*100</f>
        <v>3.1261402038154094</v>
      </c>
      <c r="T56" s="410"/>
      <c r="U56" s="411"/>
      <c r="V56" s="411"/>
      <c r="W56" s="411"/>
      <c r="X56" s="411"/>
      <c r="Y56" s="412">
        <v>0</v>
      </c>
      <c r="Z56" s="410">
        <f t="shared" ref="Z56:Z61" si="20">+Y56/R56*100</f>
        <v>0</v>
      </c>
      <c r="AA56" s="413">
        <f t="shared" si="1"/>
        <v>0</v>
      </c>
      <c r="AB56" s="410">
        <f t="shared" ref="AB56:AB61" si="21">AA56*S56/100</f>
        <v>0</v>
      </c>
      <c r="AC56" s="412"/>
      <c r="AD56" s="412">
        <f t="shared" ref="AD56:AD61" si="22">+R56-Y56</f>
        <v>70000000</v>
      </c>
      <c r="AE56" s="414"/>
      <c r="AF56" s="90"/>
    </row>
    <row r="57" spans="1:32" ht="12" customHeight="1" x14ac:dyDescent="0.35">
      <c r="A57" s="425"/>
      <c r="B57" s="426" t="s">
        <v>82</v>
      </c>
      <c r="C57" s="407" t="s">
        <v>221</v>
      </c>
      <c r="D57" s="407"/>
      <c r="E57" s="407"/>
      <c r="F57" s="407"/>
      <c r="G57" s="424"/>
      <c r="H57" s="408"/>
      <c r="I57" s="405"/>
      <c r="J57" s="404"/>
      <c r="K57" s="418"/>
      <c r="L57" s="402"/>
      <c r="M57" s="402"/>
      <c r="N57" s="402"/>
      <c r="O57" s="427">
        <v>80</v>
      </c>
      <c r="P57" s="407" t="s">
        <v>217</v>
      </c>
      <c r="Q57" s="428"/>
      <c r="R57" s="429">
        <f>O57*150000</f>
        <v>12000000</v>
      </c>
      <c r="S57" s="409">
        <f t="shared" si="19"/>
        <v>0.53590974922549883</v>
      </c>
      <c r="T57" s="410"/>
      <c r="U57" s="411"/>
      <c r="V57" s="411"/>
      <c r="W57" s="411"/>
      <c r="X57" s="411"/>
      <c r="Y57" s="412">
        <v>0</v>
      </c>
      <c r="Z57" s="410">
        <f t="shared" si="20"/>
        <v>0</v>
      </c>
      <c r="AA57" s="413">
        <f t="shared" si="1"/>
        <v>0</v>
      </c>
      <c r="AB57" s="410">
        <f t="shared" si="21"/>
        <v>0</v>
      </c>
      <c r="AC57" s="412"/>
      <c r="AD57" s="412">
        <f t="shared" si="22"/>
        <v>12000000</v>
      </c>
      <c r="AE57" s="414"/>
      <c r="AF57" s="90"/>
    </row>
    <row r="58" spans="1:32" ht="12" customHeight="1" x14ac:dyDescent="0.35">
      <c r="A58" s="425"/>
      <c r="B58" s="426" t="s">
        <v>82</v>
      </c>
      <c r="C58" s="407" t="s">
        <v>222</v>
      </c>
      <c r="D58" s="407"/>
      <c r="E58" s="407"/>
      <c r="F58" s="407"/>
      <c r="G58" s="424"/>
      <c r="H58" s="408"/>
      <c r="I58" s="405"/>
      <c r="J58" s="404"/>
      <c r="K58" s="418"/>
      <c r="L58" s="402"/>
      <c r="M58" s="402"/>
      <c r="N58" s="402"/>
      <c r="O58" s="427">
        <v>50</v>
      </c>
      <c r="P58" s="407" t="s">
        <v>147</v>
      </c>
      <c r="Q58" s="428"/>
      <c r="R58" s="429">
        <f>O58*500000</f>
        <v>25000000</v>
      </c>
      <c r="S58" s="409">
        <f t="shared" si="19"/>
        <v>1.1164786442197892</v>
      </c>
      <c r="T58" s="410"/>
      <c r="U58" s="411"/>
      <c r="V58" s="411"/>
      <c r="W58" s="411"/>
      <c r="X58" s="411"/>
      <c r="Y58" s="412">
        <v>0</v>
      </c>
      <c r="Z58" s="410">
        <f t="shared" si="20"/>
        <v>0</v>
      </c>
      <c r="AA58" s="413">
        <f t="shared" si="1"/>
        <v>0</v>
      </c>
      <c r="AB58" s="410">
        <f t="shared" si="21"/>
        <v>0</v>
      </c>
      <c r="AC58" s="412"/>
      <c r="AD58" s="412">
        <f t="shared" si="22"/>
        <v>25000000</v>
      </c>
      <c r="AE58" s="414"/>
      <c r="AF58" s="90"/>
    </row>
    <row r="59" spans="1:32" ht="12" customHeight="1" x14ac:dyDescent="0.35">
      <c r="A59" s="425"/>
      <c r="B59" s="426" t="s">
        <v>82</v>
      </c>
      <c r="C59" s="407" t="s">
        <v>223</v>
      </c>
      <c r="D59" s="407"/>
      <c r="E59" s="407"/>
      <c r="F59" s="407"/>
      <c r="G59" s="424"/>
      <c r="H59" s="408"/>
      <c r="I59" s="405"/>
      <c r="J59" s="404"/>
      <c r="K59" s="418"/>
      <c r="L59" s="402"/>
      <c r="M59" s="402"/>
      <c r="N59" s="402"/>
      <c r="O59" s="427">
        <v>100</v>
      </c>
      <c r="P59" s="407" t="s">
        <v>217</v>
      </c>
      <c r="Q59" s="428"/>
      <c r="R59" s="429">
        <f>O59*150000</f>
        <v>15000000</v>
      </c>
      <c r="S59" s="409">
        <f t="shared" si="19"/>
        <v>0.6698871865318734</v>
      </c>
      <c r="T59" s="410"/>
      <c r="U59" s="411"/>
      <c r="V59" s="411"/>
      <c r="W59" s="411"/>
      <c r="X59" s="411"/>
      <c r="Y59" s="412">
        <v>0</v>
      </c>
      <c r="Z59" s="410">
        <f t="shared" si="20"/>
        <v>0</v>
      </c>
      <c r="AA59" s="413">
        <f t="shared" si="1"/>
        <v>0</v>
      </c>
      <c r="AB59" s="410">
        <f t="shared" si="21"/>
        <v>0</v>
      </c>
      <c r="AC59" s="412"/>
      <c r="AD59" s="412">
        <f t="shared" si="22"/>
        <v>15000000</v>
      </c>
      <c r="AE59" s="414"/>
      <c r="AF59" s="90"/>
    </row>
    <row r="60" spans="1:32" ht="12" customHeight="1" x14ac:dyDescent="0.35">
      <c r="A60" s="425"/>
      <c r="B60" s="426" t="s">
        <v>82</v>
      </c>
      <c r="C60" s="407" t="s">
        <v>224</v>
      </c>
      <c r="D60" s="407"/>
      <c r="E60" s="407"/>
      <c r="F60" s="407"/>
      <c r="G60" s="424"/>
      <c r="H60" s="408"/>
      <c r="I60" s="405"/>
      <c r="J60" s="404"/>
      <c r="K60" s="418"/>
      <c r="L60" s="402"/>
      <c r="M60" s="402"/>
      <c r="N60" s="402"/>
      <c r="O60" s="427">
        <v>120</v>
      </c>
      <c r="P60" s="407" t="s">
        <v>217</v>
      </c>
      <c r="Q60" s="428"/>
      <c r="R60" s="429">
        <f>O60*700000</f>
        <v>84000000</v>
      </c>
      <c r="S60" s="409">
        <f t="shared" si="19"/>
        <v>3.7513682445784915</v>
      </c>
      <c r="T60" s="410"/>
      <c r="U60" s="411"/>
      <c r="V60" s="411"/>
      <c r="W60" s="411"/>
      <c r="X60" s="411"/>
      <c r="Y60" s="412">
        <v>0</v>
      </c>
      <c r="Z60" s="410">
        <f t="shared" si="20"/>
        <v>0</v>
      </c>
      <c r="AA60" s="413">
        <f t="shared" si="1"/>
        <v>0</v>
      </c>
      <c r="AB60" s="410">
        <f t="shared" si="21"/>
        <v>0</v>
      </c>
      <c r="AC60" s="412"/>
      <c r="AD60" s="412">
        <f t="shared" si="22"/>
        <v>84000000</v>
      </c>
      <c r="AE60" s="414"/>
      <c r="AF60" s="90"/>
    </row>
    <row r="61" spans="1:32" ht="12" customHeight="1" x14ac:dyDescent="0.35">
      <c r="A61" s="425"/>
      <c r="B61" s="426" t="s">
        <v>82</v>
      </c>
      <c r="C61" s="407" t="s">
        <v>225</v>
      </c>
      <c r="D61" s="407"/>
      <c r="E61" s="407"/>
      <c r="F61" s="407"/>
      <c r="G61" s="424"/>
      <c r="H61" s="408"/>
      <c r="I61" s="405"/>
      <c r="J61" s="404"/>
      <c r="K61" s="418"/>
      <c r="L61" s="402"/>
      <c r="M61" s="402"/>
      <c r="N61" s="402"/>
      <c r="O61" s="427">
        <v>60</v>
      </c>
      <c r="P61" s="407" t="s">
        <v>147</v>
      </c>
      <c r="Q61" s="428"/>
      <c r="R61" s="429">
        <f>O61*500000</f>
        <v>30000000</v>
      </c>
      <c r="S61" s="409">
        <f t="shared" si="19"/>
        <v>1.3397743730637468</v>
      </c>
      <c r="T61" s="410"/>
      <c r="U61" s="411"/>
      <c r="V61" s="411"/>
      <c r="W61" s="411"/>
      <c r="X61" s="411"/>
      <c r="Y61" s="412">
        <v>0</v>
      </c>
      <c r="Z61" s="410">
        <f t="shared" si="20"/>
        <v>0</v>
      </c>
      <c r="AA61" s="413">
        <f t="shared" si="1"/>
        <v>0</v>
      </c>
      <c r="AB61" s="410">
        <f t="shared" si="21"/>
        <v>0</v>
      </c>
      <c r="AC61" s="412"/>
      <c r="AD61" s="412">
        <f t="shared" si="22"/>
        <v>30000000</v>
      </c>
      <c r="AE61" s="414"/>
      <c r="AF61" s="90"/>
    </row>
    <row r="62" spans="1:32" ht="12" customHeight="1" x14ac:dyDescent="0.35">
      <c r="A62" s="93"/>
      <c r="B62" s="102"/>
      <c r="C62" s="94"/>
      <c r="D62" s="94"/>
      <c r="E62" s="94"/>
      <c r="F62" s="94"/>
      <c r="G62" s="95"/>
      <c r="H62" s="77"/>
      <c r="I62" s="78"/>
      <c r="J62" s="79"/>
      <c r="K62" s="80"/>
      <c r="L62" s="81"/>
      <c r="M62" s="81"/>
      <c r="N62" s="81"/>
      <c r="O62" s="96"/>
      <c r="P62" s="94"/>
      <c r="Q62" s="97"/>
      <c r="R62" s="98"/>
      <c r="S62" s="85"/>
      <c r="T62" s="86"/>
      <c r="U62" s="87"/>
      <c r="V62" s="87"/>
      <c r="W62" s="87"/>
      <c r="X62" s="87"/>
      <c r="Y62" s="88"/>
      <c r="Z62" s="86"/>
      <c r="AA62" s="86"/>
      <c r="AB62" s="86"/>
      <c r="AC62" s="88"/>
      <c r="AD62" s="88"/>
      <c r="AE62" s="86"/>
      <c r="AF62" s="90"/>
    </row>
    <row r="63" spans="1:32" ht="12.95" customHeight="1" x14ac:dyDescent="0.35">
      <c r="A63" s="117" t="s">
        <v>226</v>
      </c>
      <c r="B63" s="118" t="s">
        <v>227</v>
      </c>
      <c r="C63" s="119"/>
      <c r="D63" s="119"/>
      <c r="E63" s="119"/>
      <c r="F63" s="119"/>
      <c r="G63" s="119"/>
      <c r="H63" s="120"/>
      <c r="I63" s="121"/>
      <c r="J63" s="122"/>
      <c r="K63" s="123"/>
      <c r="L63" s="124"/>
      <c r="M63" s="124"/>
      <c r="N63" s="124"/>
      <c r="O63" s="125"/>
      <c r="P63" s="119"/>
      <c r="Q63" s="126"/>
      <c r="R63" s="127"/>
      <c r="S63" s="128"/>
      <c r="T63" s="129"/>
      <c r="U63" s="130"/>
      <c r="V63" s="130"/>
      <c r="W63" s="130"/>
      <c r="X63" s="130"/>
      <c r="Y63" s="131"/>
      <c r="Z63" s="129"/>
      <c r="AA63" s="129"/>
      <c r="AB63" s="129"/>
      <c r="AC63" s="131"/>
      <c r="AD63" s="131"/>
      <c r="AE63" s="129"/>
    </row>
    <row r="64" spans="1:32" ht="12.95" customHeight="1" x14ac:dyDescent="0.35">
      <c r="A64" s="132"/>
      <c r="B64" s="104"/>
      <c r="C64" s="105"/>
      <c r="D64" s="105"/>
      <c r="E64" s="111"/>
      <c r="F64" s="111"/>
      <c r="G64" s="111"/>
      <c r="H64" s="107"/>
      <c r="I64" s="108"/>
      <c r="J64" s="109"/>
      <c r="K64" s="110"/>
      <c r="L64" s="111"/>
      <c r="M64" s="111"/>
      <c r="N64" s="111"/>
      <c r="O64" s="133"/>
      <c r="P64" s="108"/>
      <c r="Q64" s="114"/>
      <c r="R64" s="133"/>
      <c r="S64" s="113"/>
      <c r="T64" s="114"/>
      <c r="U64" s="115"/>
      <c r="V64" s="115"/>
      <c r="W64" s="115"/>
      <c r="X64" s="115"/>
      <c r="Y64" s="116"/>
      <c r="Z64" s="114"/>
      <c r="AA64" s="114"/>
      <c r="AB64" s="114"/>
      <c r="AC64" s="116"/>
      <c r="AD64" s="116"/>
      <c r="AE64" s="114"/>
    </row>
    <row r="65" spans="1:41" ht="12.95" customHeight="1" x14ac:dyDescent="0.35">
      <c r="A65" s="132" t="s">
        <v>228</v>
      </c>
      <c r="B65" s="104" t="s">
        <v>229</v>
      </c>
      <c r="C65" s="105"/>
      <c r="D65" s="105"/>
      <c r="E65" s="105"/>
      <c r="F65" s="105"/>
      <c r="G65" s="106"/>
      <c r="H65" s="107"/>
      <c r="I65" s="108"/>
      <c r="J65" s="109"/>
      <c r="K65" s="110"/>
      <c r="L65" s="111"/>
      <c r="M65" s="111"/>
      <c r="N65" s="111"/>
      <c r="O65" s="134"/>
      <c r="P65" s="111"/>
      <c r="Q65" s="135"/>
      <c r="R65" s="136"/>
      <c r="S65" s="113"/>
      <c r="T65" s="114"/>
      <c r="U65" s="115"/>
      <c r="V65" s="115"/>
      <c r="W65" s="115"/>
      <c r="X65" s="115"/>
      <c r="Y65" s="116"/>
      <c r="Z65" s="114"/>
      <c r="AA65" s="114"/>
      <c r="AB65" s="114"/>
      <c r="AC65" s="116"/>
      <c r="AD65" s="116"/>
      <c r="AE65" s="114"/>
    </row>
    <row r="66" spans="1:41" s="164" customFormat="1" ht="12.95" hidden="1" customHeight="1" x14ac:dyDescent="0.35">
      <c r="A66" s="146"/>
      <c r="B66" s="147"/>
      <c r="C66" s="148" t="s">
        <v>89</v>
      </c>
      <c r="D66" s="149" t="s">
        <v>90</v>
      </c>
      <c r="E66" s="140"/>
      <c r="F66" s="140"/>
      <c r="G66" s="150"/>
      <c r="H66" s="151"/>
      <c r="I66" s="152"/>
      <c r="J66" s="153"/>
      <c r="K66" s="153"/>
      <c r="L66" s="154"/>
      <c r="M66" s="140"/>
      <c r="N66" s="140"/>
      <c r="O66" s="98"/>
      <c r="P66" s="155"/>
      <c r="Q66" s="156"/>
      <c r="R66" s="157"/>
      <c r="S66" s="158"/>
      <c r="T66" s="159"/>
      <c r="U66" s="160"/>
      <c r="V66" s="160"/>
      <c r="W66" s="160"/>
      <c r="X66" s="160"/>
      <c r="Y66" s="161"/>
      <c r="Z66" s="159"/>
      <c r="AA66" s="162"/>
      <c r="AB66" s="159"/>
      <c r="AC66" s="88"/>
      <c r="AD66" s="161"/>
      <c r="AE66" s="163"/>
    </row>
    <row r="67" spans="1:41" s="164" customFormat="1" ht="12.95" hidden="1" customHeight="1" x14ac:dyDescent="0.35">
      <c r="A67" s="146"/>
      <c r="B67" s="147"/>
      <c r="C67" s="148" t="s">
        <v>89</v>
      </c>
      <c r="D67" s="149" t="s">
        <v>91</v>
      </c>
      <c r="E67" s="140"/>
      <c r="F67" s="140"/>
      <c r="G67" s="150"/>
      <c r="H67" s="151"/>
      <c r="I67" s="152"/>
      <c r="J67" s="153"/>
      <c r="K67" s="153"/>
      <c r="L67" s="154"/>
      <c r="M67" s="140"/>
      <c r="N67" s="140"/>
      <c r="O67" s="98"/>
      <c r="P67" s="155"/>
      <c r="Q67" s="156"/>
      <c r="R67" s="157"/>
      <c r="S67" s="158"/>
      <c r="T67" s="159"/>
      <c r="U67" s="160"/>
      <c r="V67" s="160"/>
      <c r="W67" s="160"/>
      <c r="X67" s="160"/>
      <c r="Y67" s="161"/>
      <c r="Z67" s="159"/>
      <c r="AA67" s="162"/>
      <c r="AB67" s="159"/>
      <c r="AC67" s="88"/>
      <c r="AD67" s="161"/>
      <c r="AE67" s="163"/>
    </row>
    <row r="68" spans="1:41" s="169" customFormat="1" ht="12.95" hidden="1" customHeight="1" x14ac:dyDescent="0.35">
      <c r="A68" s="146"/>
      <c r="B68" s="147"/>
      <c r="C68" s="165" t="s">
        <v>89</v>
      </c>
      <c r="D68" s="506" t="s">
        <v>92</v>
      </c>
      <c r="E68" s="506"/>
      <c r="F68" s="506"/>
      <c r="G68" s="507"/>
      <c r="H68" s="151"/>
      <c r="I68" s="152"/>
      <c r="J68" s="153"/>
      <c r="K68" s="153"/>
      <c r="L68" s="154"/>
      <c r="M68" s="140"/>
      <c r="N68" s="140"/>
      <c r="O68" s="98"/>
      <c r="P68" s="155"/>
      <c r="Q68" s="156"/>
      <c r="R68" s="157"/>
      <c r="S68" s="158"/>
      <c r="T68" s="159"/>
      <c r="U68" s="160"/>
      <c r="V68" s="160"/>
      <c r="W68" s="160"/>
      <c r="X68" s="160"/>
      <c r="Y68" s="161"/>
      <c r="Z68" s="159"/>
      <c r="AA68" s="162"/>
      <c r="AB68" s="159"/>
      <c r="AC68" s="88"/>
      <c r="AD68" s="161"/>
      <c r="AE68" s="163"/>
      <c r="AF68" s="168"/>
      <c r="AG68" s="168"/>
      <c r="AH68" s="168"/>
      <c r="AI68" s="168"/>
      <c r="AJ68" s="168"/>
      <c r="AK68" s="168"/>
      <c r="AL68" s="168"/>
      <c r="AM68" s="168"/>
      <c r="AN68" s="168"/>
      <c r="AO68" s="168"/>
    </row>
    <row r="69" spans="1:41" s="169" customFormat="1" ht="12.95" customHeight="1" x14ac:dyDescent="0.35">
      <c r="A69" s="282">
        <v>521211</v>
      </c>
      <c r="B69" s="283" t="s">
        <v>186</v>
      </c>
      <c r="C69" s="165"/>
      <c r="D69" s="391"/>
      <c r="E69" s="391"/>
      <c r="F69" s="391"/>
      <c r="G69" s="392"/>
      <c r="H69" s="151"/>
      <c r="I69" s="152"/>
      <c r="J69" s="280"/>
      <c r="K69" s="153"/>
      <c r="L69" s="140"/>
      <c r="M69" s="140"/>
      <c r="N69" s="140"/>
      <c r="O69" s="98"/>
      <c r="P69" s="281"/>
      <c r="Q69" s="156"/>
      <c r="R69" s="157"/>
      <c r="S69" s="158"/>
      <c r="T69" s="159"/>
      <c r="U69" s="160"/>
      <c r="V69" s="160"/>
      <c r="W69" s="160"/>
      <c r="X69" s="160"/>
      <c r="Y69" s="161"/>
      <c r="Z69" s="159"/>
      <c r="AA69" s="162"/>
      <c r="AB69" s="159"/>
      <c r="AC69" s="88"/>
      <c r="AD69" s="161"/>
      <c r="AE69" s="163"/>
      <c r="AF69" s="168"/>
      <c r="AG69" s="168"/>
      <c r="AH69" s="168"/>
      <c r="AI69" s="168"/>
      <c r="AJ69" s="168"/>
      <c r="AK69" s="168"/>
      <c r="AL69" s="168"/>
      <c r="AM69" s="168"/>
      <c r="AN69" s="168"/>
      <c r="AO69" s="168"/>
    </row>
    <row r="70" spans="1:41" s="169" customFormat="1" ht="12.95" customHeight="1" x14ac:dyDescent="0.35">
      <c r="A70" s="138"/>
      <c r="B70" s="139" t="s">
        <v>82</v>
      </c>
      <c r="C70" s="140" t="s">
        <v>87</v>
      </c>
      <c r="D70" s="141"/>
      <c r="E70" s="141"/>
      <c r="F70" s="141"/>
      <c r="G70" s="142"/>
      <c r="H70" s="107"/>
      <c r="I70" s="108"/>
      <c r="J70" s="109"/>
      <c r="K70" s="110"/>
      <c r="L70" s="111"/>
      <c r="M70" s="111"/>
      <c r="N70" s="111"/>
      <c r="O70" s="143">
        <v>12</v>
      </c>
      <c r="P70" s="94" t="s">
        <v>88</v>
      </c>
      <c r="Q70" s="144">
        <v>1500000</v>
      </c>
      <c r="R70" s="77">
        <f>O70*6750000</f>
        <v>81000000</v>
      </c>
      <c r="S70" s="85">
        <f t="shared" ref="S70" si="23">+R70/$R$184*100</f>
        <v>3.6173908072721166</v>
      </c>
      <c r="T70" s="99"/>
      <c r="U70" s="87"/>
      <c r="V70" s="87"/>
      <c r="W70" s="87"/>
      <c r="X70" s="87"/>
      <c r="Y70" s="88">
        <v>844000</v>
      </c>
      <c r="Z70" s="99">
        <f t="shared" ref="Z70" si="24">+Y70/R70*100</f>
        <v>1.0419753086419754</v>
      </c>
      <c r="AA70" s="100">
        <f t="shared" ref="AA70" si="25">Z70</f>
        <v>1.0419753086419754</v>
      </c>
      <c r="AB70" s="99">
        <f t="shared" ref="AB70" si="26">AA70*S70/100</f>
        <v>3.7692319028860083E-2</v>
      </c>
      <c r="AC70" s="88"/>
      <c r="AD70" s="88">
        <f t="shared" ref="AD70" si="27">+R70-Y70</f>
        <v>80156000</v>
      </c>
      <c r="AE70" s="86"/>
      <c r="AF70" s="168"/>
      <c r="AG70" s="168"/>
      <c r="AH70" s="168"/>
      <c r="AI70" s="168"/>
      <c r="AJ70" s="168"/>
      <c r="AK70" s="168"/>
      <c r="AL70" s="168"/>
      <c r="AM70" s="168"/>
      <c r="AN70" s="168"/>
      <c r="AO70" s="168"/>
    </row>
    <row r="71" spans="1:41" s="181" customFormat="1" ht="12.95" customHeight="1" x14ac:dyDescent="0.35">
      <c r="A71" s="210">
        <v>521219</v>
      </c>
      <c r="B71" s="211" t="s">
        <v>93</v>
      </c>
      <c r="C71" s="105"/>
      <c r="D71" s="105"/>
      <c r="E71" s="105"/>
      <c r="F71" s="105"/>
      <c r="G71" s="106"/>
      <c r="H71" s="170"/>
      <c r="I71" s="171"/>
      <c r="J71" s="170"/>
      <c r="K71" s="172"/>
      <c r="L71" s="112"/>
      <c r="M71" s="105"/>
      <c r="N71" s="103"/>
      <c r="O71" s="173"/>
      <c r="P71" s="101"/>
      <c r="Q71" s="174"/>
      <c r="R71" s="173"/>
      <c r="S71" s="85"/>
      <c r="T71" s="175"/>
      <c r="U71" s="176"/>
      <c r="V71" s="176"/>
      <c r="W71" s="176"/>
      <c r="X71" s="176"/>
      <c r="Y71" s="177"/>
      <c r="Z71" s="175"/>
      <c r="AA71" s="178"/>
      <c r="AB71" s="175"/>
      <c r="AC71" s="88"/>
      <c r="AD71" s="177"/>
      <c r="AE71" s="179"/>
      <c r="AF71" s="180"/>
      <c r="AG71" s="28"/>
      <c r="AH71" s="28"/>
      <c r="AI71" s="28"/>
      <c r="AJ71" s="28"/>
      <c r="AK71" s="28"/>
      <c r="AL71" s="28"/>
      <c r="AM71" s="28"/>
      <c r="AN71" s="28"/>
      <c r="AO71" s="28"/>
    </row>
    <row r="72" spans="1:41" ht="12.95" customHeight="1" x14ac:dyDescent="0.35">
      <c r="A72" s="135"/>
      <c r="B72" s="139" t="s">
        <v>82</v>
      </c>
      <c r="C72" s="111" t="s">
        <v>94</v>
      </c>
      <c r="D72" s="105"/>
      <c r="E72" s="111"/>
      <c r="F72" s="111"/>
      <c r="G72" s="137"/>
      <c r="H72" s="109"/>
      <c r="I72" s="108"/>
      <c r="J72" s="109"/>
      <c r="K72" s="172"/>
      <c r="L72" s="182">
        <v>1095</v>
      </c>
      <c r="M72" s="140" t="s">
        <v>95</v>
      </c>
      <c r="N72" s="183">
        <v>53000</v>
      </c>
      <c r="O72" s="143">
        <v>12</v>
      </c>
      <c r="P72" s="94" t="s">
        <v>96</v>
      </c>
      <c r="Q72" s="144">
        <v>100000</v>
      </c>
      <c r="R72" s="77">
        <f>O72*3500000</f>
        <v>42000000</v>
      </c>
      <c r="S72" s="85">
        <f t="shared" ref="S72:S74" si="28">+R72/$R$184*100</f>
        <v>1.8756841222892457</v>
      </c>
      <c r="T72" s="99"/>
      <c r="U72" s="87"/>
      <c r="V72" s="87"/>
      <c r="W72" s="87"/>
      <c r="X72" s="87"/>
      <c r="Y72" s="88">
        <v>0</v>
      </c>
      <c r="Z72" s="99">
        <f t="shared" ref="Z72:Z74" si="29">+Y72/R72*100</f>
        <v>0</v>
      </c>
      <c r="AA72" s="100">
        <f t="shared" ref="AA72:AA74" si="30">Z72</f>
        <v>0</v>
      </c>
      <c r="AB72" s="99">
        <f t="shared" ref="AB72:AB74" si="31">AA72*S72/100</f>
        <v>0</v>
      </c>
      <c r="AC72" s="88"/>
      <c r="AD72" s="88">
        <f t="shared" ref="AD72:AD74" si="32">+R72-Y72</f>
        <v>42000000</v>
      </c>
      <c r="AE72" s="86"/>
    </row>
    <row r="73" spans="1:41" ht="12.95" customHeight="1" x14ac:dyDescent="0.35">
      <c r="A73" s="135"/>
      <c r="B73" s="139" t="s">
        <v>82</v>
      </c>
      <c r="C73" s="111" t="s">
        <v>97</v>
      </c>
      <c r="D73" s="105"/>
      <c r="E73" s="111"/>
      <c r="F73" s="111"/>
      <c r="G73" s="137"/>
      <c r="H73" s="109"/>
      <c r="I73" s="108"/>
      <c r="J73" s="109"/>
      <c r="K73" s="172"/>
      <c r="L73" s="182"/>
      <c r="M73" s="140"/>
      <c r="N73" s="183"/>
      <c r="O73" s="143">
        <v>12</v>
      </c>
      <c r="P73" s="94" t="s">
        <v>96</v>
      </c>
      <c r="Q73" s="144"/>
      <c r="R73" s="77">
        <f>O73*600000</f>
        <v>7200000</v>
      </c>
      <c r="S73" s="85">
        <f t="shared" si="28"/>
        <v>0.32154584953529924</v>
      </c>
      <c r="T73" s="99"/>
      <c r="U73" s="87"/>
      <c r="V73" s="87"/>
      <c r="W73" s="87"/>
      <c r="X73" s="87"/>
      <c r="Y73" s="88">
        <v>0</v>
      </c>
      <c r="Z73" s="99">
        <f t="shared" si="29"/>
        <v>0</v>
      </c>
      <c r="AA73" s="100">
        <f t="shared" si="30"/>
        <v>0</v>
      </c>
      <c r="AB73" s="99">
        <f t="shared" si="31"/>
        <v>0</v>
      </c>
      <c r="AC73" s="88"/>
      <c r="AD73" s="88">
        <f t="shared" si="32"/>
        <v>7200000</v>
      </c>
      <c r="AE73" s="114"/>
    </row>
    <row r="74" spans="1:41" ht="12.95" customHeight="1" x14ac:dyDescent="0.35">
      <c r="A74" s="400"/>
      <c r="B74" s="401" t="s">
        <v>82</v>
      </c>
      <c r="C74" s="403" t="s">
        <v>230</v>
      </c>
      <c r="D74" s="403"/>
      <c r="E74" s="403"/>
      <c r="F74" s="403"/>
      <c r="G74" s="431"/>
      <c r="H74" s="432"/>
      <c r="I74" s="433"/>
      <c r="J74" s="432"/>
      <c r="K74" s="406"/>
      <c r="L74" s="434"/>
      <c r="M74" s="416"/>
      <c r="N74" s="435"/>
      <c r="O74" s="434">
        <v>1</v>
      </c>
      <c r="P74" s="416" t="s">
        <v>231</v>
      </c>
      <c r="Q74" s="436"/>
      <c r="R74" s="437">
        <f>O74*50000000</f>
        <v>50000000</v>
      </c>
      <c r="S74" s="438">
        <f t="shared" si="28"/>
        <v>2.2329572884395783</v>
      </c>
      <c r="T74" s="439"/>
      <c r="U74" s="440"/>
      <c r="V74" s="440"/>
      <c r="W74" s="440"/>
      <c r="X74" s="440"/>
      <c r="Y74" s="441">
        <v>0</v>
      </c>
      <c r="Z74" s="439">
        <f t="shared" si="29"/>
        <v>0</v>
      </c>
      <c r="AA74" s="442">
        <f t="shared" si="30"/>
        <v>0</v>
      </c>
      <c r="AB74" s="439">
        <f t="shared" si="31"/>
        <v>0</v>
      </c>
      <c r="AC74" s="441"/>
      <c r="AD74" s="441">
        <f t="shared" si="32"/>
        <v>50000000</v>
      </c>
      <c r="AE74" s="443"/>
      <c r="AF74" s="28"/>
      <c r="AG74" s="28"/>
      <c r="AH74" s="28"/>
      <c r="AI74" s="28"/>
    </row>
    <row r="75" spans="1:41" ht="12.95" customHeight="1" x14ac:dyDescent="0.35">
      <c r="A75" s="210">
        <v>523121</v>
      </c>
      <c r="B75" s="211" t="s">
        <v>98</v>
      </c>
      <c r="C75" s="105"/>
      <c r="D75" s="105"/>
      <c r="E75" s="105"/>
      <c r="F75" s="105"/>
      <c r="G75" s="106"/>
      <c r="H75" s="170"/>
      <c r="I75" s="171"/>
      <c r="J75" s="170"/>
      <c r="K75" s="172"/>
      <c r="L75" s="112"/>
      <c r="M75" s="105"/>
      <c r="N75" s="103"/>
      <c r="O75" s="173"/>
      <c r="P75" s="101"/>
      <c r="Q75" s="174"/>
      <c r="R75" s="173"/>
      <c r="S75" s="85"/>
      <c r="T75" s="175"/>
      <c r="U75" s="176"/>
      <c r="V75" s="176"/>
      <c r="W75" s="176"/>
      <c r="X75" s="176"/>
      <c r="Y75" s="177"/>
      <c r="Z75" s="175"/>
      <c r="AA75" s="178"/>
      <c r="AB75" s="175"/>
      <c r="AC75" s="88"/>
      <c r="AD75" s="177"/>
      <c r="AE75" s="179"/>
    </row>
    <row r="76" spans="1:41" ht="12.95" customHeight="1" x14ac:dyDescent="0.35">
      <c r="A76" s="135"/>
      <c r="B76" s="139" t="s">
        <v>82</v>
      </c>
      <c r="C76" s="111" t="s">
        <v>99</v>
      </c>
      <c r="D76" s="105"/>
      <c r="E76" s="111"/>
      <c r="F76" s="111"/>
      <c r="G76" s="137"/>
      <c r="H76" s="109"/>
      <c r="I76" s="108"/>
      <c r="J76" s="109"/>
      <c r="K76" s="172"/>
      <c r="L76" s="182">
        <v>1095</v>
      </c>
      <c r="M76" s="140" t="s">
        <v>95</v>
      </c>
      <c r="N76" s="183">
        <v>53000</v>
      </c>
      <c r="O76" s="143">
        <v>1</v>
      </c>
      <c r="P76" s="94" t="s">
        <v>86</v>
      </c>
      <c r="Q76" s="144">
        <v>100000</v>
      </c>
      <c r="R76" s="77">
        <f>O76*600000</f>
        <v>600000</v>
      </c>
      <c r="S76" s="85">
        <f t="shared" ref="S76" si="33">+R76/$R$184*100</f>
        <v>2.6795487461274942E-2</v>
      </c>
      <c r="T76" s="99"/>
      <c r="U76" s="87"/>
      <c r="V76" s="87"/>
      <c r="W76" s="87"/>
      <c r="X76" s="87"/>
      <c r="Y76" s="88">
        <v>0</v>
      </c>
      <c r="Z76" s="99">
        <f t="shared" ref="Z76" si="34">+Y76/R76*100</f>
        <v>0</v>
      </c>
      <c r="AA76" s="100">
        <f t="shared" ref="AA76" si="35">Z76</f>
        <v>0</v>
      </c>
      <c r="AB76" s="99">
        <f t="shared" ref="AB76" si="36">AA76*S76/100</f>
        <v>0</v>
      </c>
      <c r="AC76" s="88"/>
      <c r="AD76" s="88">
        <f t="shared" ref="AD76" si="37">+R76-Y76</f>
        <v>600000</v>
      </c>
      <c r="AE76" s="86"/>
    </row>
    <row r="77" spans="1:41" ht="12.95" customHeight="1" x14ac:dyDescent="0.35">
      <c r="A77" s="132" t="s">
        <v>232</v>
      </c>
      <c r="B77" s="104" t="s">
        <v>233</v>
      </c>
      <c r="C77" s="105"/>
      <c r="D77" s="105"/>
      <c r="E77" s="111"/>
      <c r="F77" s="111"/>
      <c r="G77" s="137"/>
      <c r="H77" s="107"/>
      <c r="I77" s="108"/>
      <c r="J77" s="109"/>
      <c r="K77" s="110"/>
      <c r="L77" s="111"/>
      <c r="M77" s="111"/>
      <c r="N77" s="111"/>
      <c r="O77" s="185"/>
      <c r="P77" s="81"/>
      <c r="Q77" s="186"/>
      <c r="R77" s="187"/>
      <c r="S77" s="85"/>
      <c r="T77" s="99"/>
      <c r="U77" s="145"/>
      <c r="V77" s="145"/>
      <c r="W77" s="145"/>
      <c r="X77" s="145"/>
      <c r="Y77" s="88"/>
      <c r="Z77" s="99"/>
      <c r="AA77" s="100"/>
      <c r="AB77" s="184"/>
      <c r="AC77" s="88"/>
      <c r="AD77" s="88"/>
      <c r="AE77" s="114"/>
    </row>
    <row r="78" spans="1:41" s="28" customFormat="1" ht="12.95" customHeight="1" x14ac:dyDescent="0.35">
      <c r="A78" s="279">
        <v>521119</v>
      </c>
      <c r="B78" s="211" t="s">
        <v>100</v>
      </c>
      <c r="C78" s="105"/>
      <c r="D78" s="105"/>
      <c r="E78" s="105"/>
      <c r="F78" s="105"/>
      <c r="G78" s="106"/>
      <c r="H78" s="188"/>
      <c r="I78" s="171"/>
      <c r="J78" s="170"/>
      <c r="K78" s="189"/>
      <c r="L78" s="105"/>
      <c r="M78" s="105"/>
      <c r="N78" s="105"/>
      <c r="O78" s="112"/>
      <c r="P78" s="105"/>
      <c r="Q78" s="103"/>
      <c r="R78" s="188"/>
      <c r="S78" s="113"/>
      <c r="T78" s="190"/>
      <c r="U78" s="191"/>
      <c r="V78" s="191"/>
      <c r="W78" s="191"/>
      <c r="X78" s="191"/>
      <c r="Y78" s="192"/>
      <c r="Z78" s="190"/>
      <c r="AA78" s="178"/>
      <c r="AB78" s="193"/>
      <c r="AC78" s="192"/>
      <c r="AD78" s="192"/>
      <c r="AE78" s="179"/>
    </row>
    <row r="79" spans="1:41" s="28" customFormat="1" ht="12.95" customHeight="1" x14ac:dyDescent="0.35">
      <c r="A79" s="114"/>
      <c r="B79" s="194" t="s">
        <v>82</v>
      </c>
      <c r="C79" s="111" t="s">
        <v>101</v>
      </c>
      <c r="D79" s="105"/>
      <c r="E79" s="111"/>
      <c r="F79" s="111"/>
      <c r="G79" s="137"/>
      <c r="H79" s="107"/>
      <c r="I79" s="108"/>
      <c r="J79" s="109"/>
      <c r="K79" s="110"/>
      <c r="L79" s="111"/>
      <c r="M79" s="111"/>
      <c r="N79" s="111"/>
      <c r="O79" s="182">
        <v>12</v>
      </c>
      <c r="P79" s="140" t="s">
        <v>96</v>
      </c>
      <c r="Q79" s="183">
        <v>125000</v>
      </c>
      <c r="R79" s="151">
        <f>O79*600000</f>
        <v>7200000</v>
      </c>
      <c r="S79" s="85">
        <f t="shared" ref="S79" si="38">+R79/$R$184*100</f>
        <v>0.32154584953529924</v>
      </c>
      <c r="T79" s="99"/>
      <c r="U79" s="87"/>
      <c r="V79" s="87"/>
      <c r="W79" s="87"/>
      <c r="X79" s="87"/>
      <c r="Y79" s="88">
        <v>0</v>
      </c>
      <c r="Z79" s="99">
        <f t="shared" ref="Z79" si="39">+Y79/R79*100</f>
        <v>0</v>
      </c>
      <c r="AA79" s="100">
        <f t="shared" ref="AA79" si="40">Z79</f>
        <v>0</v>
      </c>
      <c r="AB79" s="99">
        <f t="shared" ref="AB79" si="41">AA79*S79/100</f>
        <v>0</v>
      </c>
      <c r="AC79" s="88"/>
      <c r="AD79" s="88">
        <f t="shared" ref="AD79" si="42">+R79-Y79</f>
        <v>7200000</v>
      </c>
      <c r="AE79" s="86"/>
    </row>
    <row r="80" spans="1:41" ht="12.95" customHeight="1" x14ac:dyDescent="0.35">
      <c r="A80" s="132" t="s">
        <v>184</v>
      </c>
      <c r="B80" s="104" t="s">
        <v>234</v>
      </c>
      <c r="C80" s="105"/>
      <c r="D80" s="105"/>
      <c r="E80" s="111"/>
      <c r="F80" s="111"/>
      <c r="G80" s="137"/>
      <c r="H80" s="107"/>
      <c r="I80" s="108"/>
      <c r="J80" s="109"/>
      <c r="K80" s="110"/>
      <c r="L80" s="111"/>
      <c r="M80" s="111"/>
      <c r="N80" s="111"/>
      <c r="O80" s="134"/>
      <c r="P80" s="111"/>
      <c r="Q80" s="135"/>
      <c r="R80" s="136"/>
      <c r="S80" s="113"/>
      <c r="T80" s="195"/>
      <c r="U80" s="198"/>
      <c r="V80" s="198"/>
      <c r="W80" s="198"/>
      <c r="X80" s="198"/>
      <c r="Y80" s="116"/>
      <c r="Z80" s="195"/>
      <c r="AA80" s="100"/>
      <c r="AB80" s="197"/>
      <c r="AC80" s="116"/>
      <c r="AD80" s="116"/>
      <c r="AE80" s="114"/>
    </row>
    <row r="81" spans="1:32" ht="12.95" customHeight="1" x14ac:dyDescent="0.35">
      <c r="A81" s="219">
        <v>523119</v>
      </c>
      <c r="B81" s="211" t="s">
        <v>103</v>
      </c>
      <c r="C81" s="105"/>
      <c r="D81" s="105"/>
      <c r="E81" s="111"/>
      <c r="F81" s="111"/>
      <c r="G81" s="137"/>
      <c r="H81" s="107"/>
      <c r="I81" s="108"/>
      <c r="J81" s="109"/>
      <c r="K81" s="110"/>
      <c r="L81" s="111"/>
      <c r="M81" s="111"/>
      <c r="N81" s="111"/>
      <c r="O81" s="111"/>
      <c r="P81" s="111"/>
      <c r="Q81" s="135"/>
      <c r="R81" s="188"/>
      <c r="S81" s="113"/>
      <c r="T81" s="195"/>
      <c r="U81" s="198"/>
      <c r="V81" s="198"/>
      <c r="W81" s="198"/>
      <c r="X81" s="198"/>
      <c r="Y81" s="116"/>
      <c r="Z81" s="195"/>
      <c r="AA81" s="100"/>
      <c r="AB81" s="197"/>
      <c r="AC81" s="116"/>
      <c r="AD81" s="116"/>
      <c r="AE81" s="114"/>
    </row>
    <row r="82" spans="1:32" ht="12.95" customHeight="1" x14ac:dyDescent="0.35">
      <c r="A82" s="132"/>
      <c r="B82" s="194" t="s">
        <v>82</v>
      </c>
      <c r="C82" s="111" t="s">
        <v>104</v>
      </c>
      <c r="D82" s="105"/>
      <c r="E82" s="111"/>
      <c r="F82" s="111"/>
      <c r="G82" s="137"/>
      <c r="H82" s="107"/>
      <c r="I82" s="108"/>
      <c r="J82" s="109"/>
      <c r="K82" s="110"/>
      <c r="L82" s="111"/>
      <c r="M82" s="111"/>
      <c r="N82" s="111"/>
      <c r="O82" s="134">
        <v>70</v>
      </c>
      <c r="P82" s="111" t="s">
        <v>105</v>
      </c>
      <c r="Q82" s="200">
        <v>10000</v>
      </c>
      <c r="R82" s="151">
        <f>O82*15000</f>
        <v>1050000</v>
      </c>
      <c r="S82" s="85">
        <f t="shared" ref="S82" si="43">+R82/$R$184*100</f>
        <v>4.6892103057231141E-2</v>
      </c>
      <c r="T82" s="99"/>
      <c r="U82" s="87"/>
      <c r="V82" s="87"/>
      <c r="W82" s="87"/>
      <c r="X82" s="87"/>
      <c r="Y82" s="88">
        <v>0</v>
      </c>
      <c r="Z82" s="99">
        <f t="shared" ref="Z82" si="44">+Y82/R82*100</f>
        <v>0</v>
      </c>
      <c r="AA82" s="100">
        <f t="shared" ref="AA82" si="45">Z82</f>
        <v>0</v>
      </c>
      <c r="AB82" s="99">
        <f t="shared" ref="AB82" si="46">AA82*S82/100</f>
        <v>0</v>
      </c>
      <c r="AC82" s="88"/>
      <c r="AD82" s="88">
        <f t="shared" ref="AD82" si="47">+R82-Y82</f>
        <v>1050000</v>
      </c>
      <c r="AE82" s="86"/>
    </row>
    <row r="83" spans="1:32" ht="12.95" customHeight="1" x14ac:dyDescent="0.35">
      <c r="A83" s="219">
        <v>523121</v>
      </c>
      <c r="B83" s="211" t="s">
        <v>106</v>
      </c>
      <c r="C83" s="105"/>
      <c r="D83" s="105"/>
      <c r="E83" s="111"/>
      <c r="F83" s="111"/>
      <c r="G83" s="137"/>
      <c r="H83" s="107"/>
      <c r="I83" s="108"/>
      <c r="J83" s="109"/>
      <c r="K83" s="110"/>
      <c r="L83" s="111"/>
      <c r="M83" s="111"/>
      <c r="N83" s="111"/>
      <c r="O83" s="182"/>
      <c r="P83" s="140"/>
      <c r="Q83" s="183"/>
      <c r="R83" s="201"/>
      <c r="S83" s="113"/>
      <c r="T83" s="195"/>
      <c r="U83" s="198"/>
      <c r="V83" s="198"/>
      <c r="W83" s="198"/>
      <c r="X83" s="198"/>
      <c r="Y83" s="116"/>
      <c r="Z83" s="195"/>
      <c r="AA83" s="100"/>
      <c r="AB83" s="197"/>
      <c r="AC83" s="116"/>
      <c r="AD83" s="116"/>
      <c r="AE83" s="114"/>
    </row>
    <row r="84" spans="1:32" ht="12.95" customHeight="1" x14ac:dyDescent="0.35">
      <c r="A84" s="132"/>
      <c r="B84" s="194" t="s">
        <v>82</v>
      </c>
      <c r="C84" s="111" t="s">
        <v>107</v>
      </c>
      <c r="D84" s="105"/>
      <c r="E84" s="111"/>
      <c r="F84" s="111"/>
      <c r="G84" s="137"/>
      <c r="H84" s="107"/>
      <c r="I84" s="108"/>
      <c r="J84" s="109"/>
      <c r="K84" s="110"/>
      <c r="L84" s="111"/>
      <c r="M84" s="111"/>
      <c r="N84" s="111"/>
      <c r="O84" s="182">
        <v>12</v>
      </c>
      <c r="P84" s="111" t="s">
        <v>88</v>
      </c>
      <c r="Q84" s="183">
        <v>600000</v>
      </c>
      <c r="R84" s="151">
        <f>O84*1500000</f>
        <v>18000000</v>
      </c>
      <c r="S84" s="85">
        <f t="shared" ref="S84:S85" si="48">+R84/$R$184*100</f>
        <v>0.80386462383824819</v>
      </c>
      <c r="T84" s="99"/>
      <c r="U84" s="87"/>
      <c r="V84" s="87"/>
      <c r="W84" s="87"/>
      <c r="X84" s="87"/>
      <c r="Y84" s="88">
        <v>0</v>
      </c>
      <c r="Z84" s="99">
        <f t="shared" ref="Z84:Z85" si="49">+Y84/R84*100</f>
        <v>0</v>
      </c>
      <c r="AA84" s="100">
        <f t="shared" ref="AA84:AA85" si="50">Z84</f>
        <v>0</v>
      </c>
      <c r="AB84" s="99">
        <f t="shared" ref="AB84:AB85" si="51">AA84*S84/100</f>
        <v>0</v>
      </c>
      <c r="AC84" s="88"/>
      <c r="AD84" s="88">
        <f t="shared" ref="AD84:AD85" si="52">+R84-Y84</f>
        <v>18000000</v>
      </c>
      <c r="AE84" s="86"/>
    </row>
    <row r="85" spans="1:32" ht="12.95" customHeight="1" x14ac:dyDescent="0.35">
      <c r="A85" s="132"/>
      <c r="B85" s="194" t="s">
        <v>82</v>
      </c>
      <c r="C85" s="111" t="s">
        <v>108</v>
      </c>
      <c r="D85" s="105"/>
      <c r="E85" s="111"/>
      <c r="F85" s="111"/>
      <c r="G85" s="137"/>
      <c r="H85" s="107"/>
      <c r="I85" s="108"/>
      <c r="J85" s="109"/>
      <c r="K85" s="110"/>
      <c r="L85" s="111"/>
      <c r="M85" s="111"/>
      <c r="N85" s="111"/>
      <c r="O85" s="182">
        <v>12</v>
      </c>
      <c r="P85" s="111" t="s">
        <v>88</v>
      </c>
      <c r="Q85" s="183">
        <v>1000000</v>
      </c>
      <c r="R85" s="151">
        <f>O85*500000</f>
        <v>6000000</v>
      </c>
      <c r="S85" s="85">
        <f t="shared" si="48"/>
        <v>0.26795487461274942</v>
      </c>
      <c r="T85" s="99"/>
      <c r="U85" s="87"/>
      <c r="V85" s="87"/>
      <c r="W85" s="87"/>
      <c r="X85" s="87"/>
      <c r="Y85" s="88">
        <v>0</v>
      </c>
      <c r="Z85" s="99">
        <f t="shared" si="49"/>
        <v>0</v>
      </c>
      <c r="AA85" s="100">
        <f t="shared" si="50"/>
        <v>0</v>
      </c>
      <c r="AB85" s="99">
        <f t="shared" si="51"/>
        <v>0</v>
      </c>
      <c r="AC85" s="88"/>
      <c r="AD85" s="88">
        <f t="shared" si="52"/>
        <v>6000000</v>
      </c>
      <c r="AE85" s="114"/>
    </row>
    <row r="86" spans="1:32" ht="12.95" customHeight="1" x14ac:dyDescent="0.35">
      <c r="A86" s="333">
        <v>532111</v>
      </c>
      <c r="B86" s="334" t="s">
        <v>170</v>
      </c>
      <c r="C86" s="335"/>
      <c r="D86" s="336"/>
      <c r="E86" s="337"/>
      <c r="F86" s="337"/>
      <c r="G86" s="338"/>
      <c r="H86" s="339"/>
      <c r="I86" s="340"/>
      <c r="J86" s="341"/>
      <c r="K86" s="342"/>
      <c r="L86" s="337"/>
      <c r="M86" s="337"/>
      <c r="N86" s="337"/>
      <c r="O86" s="343"/>
      <c r="P86" s="337"/>
      <c r="Q86" s="344"/>
      <c r="R86" s="345"/>
      <c r="S86" s="346"/>
      <c r="T86" s="347"/>
      <c r="U86" s="348"/>
      <c r="V86" s="348"/>
      <c r="W86" s="348"/>
      <c r="X86" s="348"/>
      <c r="Y86" s="349"/>
      <c r="Z86" s="347"/>
      <c r="AA86" s="350"/>
      <c r="AB86" s="351"/>
      <c r="AC86" s="349"/>
      <c r="AD86" s="349"/>
      <c r="AE86" s="352"/>
    </row>
    <row r="87" spans="1:32" ht="12.95" customHeight="1" x14ac:dyDescent="0.35">
      <c r="A87" s="333"/>
      <c r="B87" s="353" t="s">
        <v>82</v>
      </c>
      <c r="C87" s="335" t="s">
        <v>235</v>
      </c>
      <c r="D87" s="336"/>
      <c r="E87" s="337"/>
      <c r="F87" s="337"/>
      <c r="G87" s="338"/>
      <c r="H87" s="339"/>
      <c r="I87" s="340"/>
      <c r="J87" s="341"/>
      <c r="K87" s="342"/>
      <c r="L87" s="337"/>
      <c r="M87" s="337"/>
      <c r="N87" s="337"/>
      <c r="O87" s="343">
        <v>1</v>
      </c>
      <c r="P87" s="337" t="s">
        <v>127</v>
      </c>
      <c r="Q87" s="344"/>
      <c r="R87" s="345">
        <f>O87*12000000</f>
        <v>12000000</v>
      </c>
      <c r="S87" s="346">
        <f t="shared" ref="S87:S91" si="53">+R87/$R$184*100</f>
        <v>0.53590974922549883</v>
      </c>
      <c r="T87" s="347"/>
      <c r="U87" s="354"/>
      <c r="V87" s="354"/>
      <c r="W87" s="354"/>
      <c r="X87" s="354"/>
      <c r="Y87" s="349">
        <v>0</v>
      </c>
      <c r="Z87" s="347">
        <f t="shared" ref="Z87:Z91" si="54">+Y87/R87*100</f>
        <v>0</v>
      </c>
      <c r="AA87" s="350">
        <f t="shared" ref="AA87:AA91" si="55">Z87</f>
        <v>0</v>
      </c>
      <c r="AB87" s="347">
        <f t="shared" ref="AB87:AB91" si="56">AA87*S87/100</f>
        <v>0</v>
      </c>
      <c r="AC87" s="349"/>
      <c r="AD87" s="349">
        <f t="shared" ref="AD87:AD91" si="57">+R87-Y87</f>
        <v>12000000</v>
      </c>
      <c r="AE87" s="352"/>
    </row>
    <row r="88" spans="1:32" ht="12.95" customHeight="1" x14ac:dyDescent="0.35">
      <c r="A88" s="333"/>
      <c r="B88" s="353" t="s">
        <v>82</v>
      </c>
      <c r="C88" s="335" t="s">
        <v>236</v>
      </c>
      <c r="D88" s="336"/>
      <c r="E88" s="337"/>
      <c r="F88" s="337"/>
      <c r="G88" s="338"/>
      <c r="H88" s="339"/>
      <c r="I88" s="340"/>
      <c r="J88" s="341"/>
      <c r="K88" s="342"/>
      <c r="L88" s="337"/>
      <c r="M88" s="337"/>
      <c r="N88" s="337"/>
      <c r="O88" s="343">
        <v>1</v>
      </c>
      <c r="P88" s="337" t="s">
        <v>127</v>
      </c>
      <c r="Q88" s="344"/>
      <c r="R88" s="345">
        <f>O88*3300000</f>
        <v>3300000</v>
      </c>
      <c r="S88" s="346">
        <f t="shared" si="53"/>
        <v>0.14737518103701217</v>
      </c>
      <c r="T88" s="347"/>
      <c r="U88" s="354"/>
      <c r="V88" s="354"/>
      <c r="W88" s="354"/>
      <c r="X88" s="354"/>
      <c r="Y88" s="349">
        <v>0</v>
      </c>
      <c r="Z88" s="347">
        <f t="shared" si="54"/>
        <v>0</v>
      </c>
      <c r="AA88" s="350">
        <f t="shared" si="55"/>
        <v>0</v>
      </c>
      <c r="AB88" s="347">
        <f t="shared" si="56"/>
        <v>0</v>
      </c>
      <c r="AC88" s="349"/>
      <c r="AD88" s="349">
        <f t="shared" si="57"/>
        <v>3300000</v>
      </c>
      <c r="AE88" s="352"/>
    </row>
    <row r="89" spans="1:32" ht="12.95" customHeight="1" x14ac:dyDescent="0.35">
      <c r="A89" s="333"/>
      <c r="B89" s="353" t="s">
        <v>82</v>
      </c>
      <c r="C89" s="335" t="s">
        <v>237</v>
      </c>
      <c r="D89" s="336"/>
      <c r="E89" s="337"/>
      <c r="F89" s="337"/>
      <c r="G89" s="338"/>
      <c r="H89" s="339"/>
      <c r="I89" s="340"/>
      <c r="J89" s="341"/>
      <c r="K89" s="342"/>
      <c r="L89" s="337"/>
      <c r="M89" s="337"/>
      <c r="N89" s="337"/>
      <c r="O89" s="343">
        <v>1</v>
      </c>
      <c r="P89" s="337" t="s">
        <v>127</v>
      </c>
      <c r="Q89" s="344"/>
      <c r="R89" s="345">
        <f>O89*8700000</f>
        <v>8700000</v>
      </c>
      <c r="S89" s="346">
        <f t="shared" si="53"/>
        <v>0.38853456818848658</v>
      </c>
      <c r="T89" s="347"/>
      <c r="U89" s="354"/>
      <c r="V89" s="354"/>
      <c r="W89" s="354"/>
      <c r="X89" s="354"/>
      <c r="Y89" s="349">
        <v>0</v>
      </c>
      <c r="Z89" s="347">
        <f t="shared" si="54"/>
        <v>0</v>
      </c>
      <c r="AA89" s="350">
        <f t="shared" si="55"/>
        <v>0</v>
      </c>
      <c r="AB89" s="347">
        <f t="shared" si="56"/>
        <v>0</v>
      </c>
      <c r="AC89" s="349"/>
      <c r="AD89" s="349">
        <f t="shared" si="57"/>
        <v>8700000</v>
      </c>
      <c r="AE89" s="352"/>
    </row>
    <row r="90" spans="1:32" ht="12.95" customHeight="1" x14ac:dyDescent="0.35">
      <c r="A90" s="333"/>
      <c r="B90" s="353" t="s">
        <v>82</v>
      </c>
      <c r="C90" s="335" t="s">
        <v>238</v>
      </c>
      <c r="D90" s="336"/>
      <c r="E90" s="337"/>
      <c r="F90" s="337"/>
      <c r="G90" s="338"/>
      <c r="H90" s="339"/>
      <c r="I90" s="340"/>
      <c r="J90" s="341"/>
      <c r="K90" s="342"/>
      <c r="L90" s="337"/>
      <c r="M90" s="337"/>
      <c r="N90" s="337"/>
      <c r="O90" s="343">
        <v>10</v>
      </c>
      <c r="P90" s="337" t="s">
        <v>127</v>
      </c>
      <c r="Q90" s="344"/>
      <c r="R90" s="345">
        <f>O90*600000</f>
        <v>6000000</v>
      </c>
      <c r="S90" s="346">
        <f t="shared" si="53"/>
        <v>0.26795487461274942</v>
      </c>
      <c r="T90" s="347"/>
      <c r="U90" s="354"/>
      <c r="V90" s="354"/>
      <c r="W90" s="354"/>
      <c r="X90" s="354"/>
      <c r="Y90" s="349">
        <v>0</v>
      </c>
      <c r="Z90" s="347">
        <f t="shared" si="54"/>
        <v>0</v>
      </c>
      <c r="AA90" s="350">
        <f t="shared" si="55"/>
        <v>0</v>
      </c>
      <c r="AB90" s="347">
        <f t="shared" si="56"/>
        <v>0</v>
      </c>
      <c r="AC90" s="349"/>
      <c r="AD90" s="349">
        <f t="shared" si="57"/>
        <v>6000000</v>
      </c>
      <c r="AE90" s="352"/>
    </row>
    <row r="91" spans="1:32" ht="12.95" customHeight="1" x14ac:dyDescent="0.35">
      <c r="A91" s="333"/>
      <c r="B91" s="353" t="s">
        <v>82</v>
      </c>
      <c r="C91" s="335" t="s">
        <v>239</v>
      </c>
      <c r="D91" s="336"/>
      <c r="E91" s="337"/>
      <c r="F91" s="337"/>
      <c r="G91" s="338"/>
      <c r="H91" s="339"/>
      <c r="I91" s="340"/>
      <c r="J91" s="341"/>
      <c r="K91" s="342"/>
      <c r="L91" s="337"/>
      <c r="M91" s="337"/>
      <c r="N91" s="337"/>
      <c r="O91" s="343">
        <v>1</v>
      </c>
      <c r="P91" s="337" t="s">
        <v>127</v>
      </c>
      <c r="Q91" s="344"/>
      <c r="R91" s="345">
        <f>O91*2000000</f>
        <v>2000000</v>
      </c>
      <c r="S91" s="346">
        <f t="shared" si="53"/>
        <v>8.9318291537583125E-2</v>
      </c>
      <c r="T91" s="347"/>
      <c r="U91" s="354"/>
      <c r="V91" s="354"/>
      <c r="W91" s="354"/>
      <c r="X91" s="354"/>
      <c r="Y91" s="349">
        <v>0</v>
      </c>
      <c r="Z91" s="347">
        <f t="shared" si="54"/>
        <v>0</v>
      </c>
      <c r="AA91" s="350">
        <f t="shared" si="55"/>
        <v>0</v>
      </c>
      <c r="AB91" s="347">
        <f t="shared" si="56"/>
        <v>0</v>
      </c>
      <c r="AC91" s="349"/>
      <c r="AD91" s="349">
        <f t="shared" si="57"/>
        <v>2000000</v>
      </c>
      <c r="AE91" s="352"/>
    </row>
    <row r="92" spans="1:32" ht="12.95" customHeight="1" x14ac:dyDescent="0.35">
      <c r="A92" s="132"/>
      <c r="B92" s="194"/>
      <c r="C92" s="111"/>
      <c r="D92" s="105"/>
      <c r="E92" s="111"/>
      <c r="F92" s="111"/>
      <c r="G92" s="137"/>
      <c r="H92" s="107"/>
      <c r="I92" s="108"/>
      <c r="J92" s="109"/>
      <c r="K92" s="110"/>
      <c r="L92" s="111"/>
      <c r="M92" s="111"/>
      <c r="N92" s="111"/>
      <c r="O92" s="182"/>
      <c r="P92" s="111"/>
      <c r="Q92" s="183"/>
      <c r="R92" s="151"/>
      <c r="S92" s="113"/>
      <c r="T92" s="195"/>
      <c r="U92" s="196"/>
      <c r="V92" s="196"/>
      <c r="W92" s="196"/>
      <c r="X92" s="196"/>
      <c r="Y92" s="116"/>
      <c r="Z92" s="195"/>
      <c r="AA92" s="202"/>
      <c r="AB92" s="197"/>
      <c r="AC92" s="116"/>
      <c r="AD92" s="116"/>
      <c r="AE92" s="114"/>
    </row>
    <row r="93" spans="1:32" ht="12.95" customHeight="1" x14ac:dyDescent="0.35">
      <c r="A93" s="287" t="s">
        <v>240</v>
      </c>
      <c r="B93" s="288" t="s">
        <v>109</v>
      </c>
      <c r="C93" s="278"/>
      <c r="D93" s="278"/>
      <c r="E93" s="81"/>
      <c r="F93" s="81"/>
      <c r="G93" s="289"/>
      <c r="H93" s="77"/>
      <c r="I93" s="78"/>
      <c r="J93" s="79"/>
      <c r="K93" s="80"/>
      <c r="L93" s="81"/>
      <c r="M93" s="81"/>
      <c r="N93" s="81"/>
      <c r="O93" s="185"/>
      <c r="P93" s="81"/>
      <c r="Q93" s="186"/>
      <c r="R93" s="173"/>
      <c r="S93" s="85"/>
      <c r="T93" s="99"/>
      <c r="U93" s="145"/>
      <c r="V93" s="145"/>
      <c r="W93" s="145"/>
      <c r="X93" s="145"/>
      <c r="Y93" s="88"/>
      <c r="Z93" s="99"/>
      <c r="AA93" s="100"/>
      <c r="AB93" s="184">
        <f t="shared" ref="AB93:AB112" si="58">AA93*S93/100</f>
        <v>0</v>
      </c>
      <c r="AC93" s="88"/>
      <c r="AD93" s="88"/>
      <c r="AE93" s="86"/>
      <c r="AF93" s="90"/>
    </row>
    <row r="94" spans="1:32" ht="12.95" customHeight="1" x14ac:dyDescent="0.35">
      <c r="A94" s="132"/>
      <c r="B94" s="104"/>
      <c r="C94" s="105"/>
      <c r="D94" s="105"/>
      <c r="E94" s="111"/>
      <c r="F94" s="111"/>
      <c r="G94" s="137"/>
      <c r="H94" s="107"/>
      <c r="I94" s="108"/>
      <c r="J94" s="109"/>
      <c r="K94" s="110"/>
      <c r="L94" s="111"/>
      <c r="M94" s="111"/>
      <c r="N94" s="111"/>
      <c r="O94" s="134"/>
      <c r="P94" s="111"/>
      <c r="Q94" s="135"/>
      <c r="R94" s="133"/>
      <c r="S94" s="113"/>
      <c r="T94" s="195"/>
      <c r="U94" s="198"/>
      <c r="V94" s="198"/>
      <c r="W94" s="198"/>
      <c r="X94" s="198"/>
      <c r="Y94" s="116"/>
      <c r="Z94" s="195"/>
      <c r="AA94" s="202"/>
      <c r="AB94" s="197">
        <f t="shared" si="58"/>
        <v>0</v>
      </c>
      <c r="AC94" s="116"/>
      <c r="AD94" s="116"/>
      <c r="AE94" s="114"/>
    </row>
    <row r="95" spans="1:32" ht="12.95" customHeight="1" x14ac:dyDescent="0.35">
      <c r="A95" s="132" t="s">
        <v>110</v>
      </c>
      <c r="B95" s="104" t="s">
        <v>241</v>
      </c>
      <c r="C95" s="105"/>
      <c r="D95" s="105"/>
      <c r="E95" s="111"/>
      <c r="F95" s="111"/>
      <c r="G95" s="137"/>
      <c r="H95" s="107"/>
      <c r="I95" s="108"/>
      <c r="J95" s="109"/>
      <c r="K95" s="110"/>
      <c r="L95" s="111"/>
      <c r="M95" s="111"/>
      <c r="N95" s="111"/>
      <c r="O95" s="134"/>
      <c r="P95" s="111"/>
      <c r="Q95" s="135"/>
      <c r="R95" s="203"/>
      <c r="S95" s="113"/>
      <c r="T95" s="195"/>
      <c r="U95" s="196"/>
      <c r="V95" s="196"/>
      <c r="W95" s="196"/>
      <c r="X95" s="196"/>
      <c r="Y95" s="116"/>
      <c r="Z95" s="195"/>
      <c r="AA95" s="202"/>
      <c r="AB95" s="197"/>
      <c r="AC95" s="88"/>
      <c r="AD95" s="116"/>
      <c r="AE95" s="114"/>
    </row>
    <row r="96" spans="1:32" ht="12.95" customHeight="1" x14ac:dyDescent="0.35">
      <c r="A96" s="219">
        <v>511111</v>
      </c>
      <c r="B96" s="211" t="s">
        <v>242</v>
      </c>
      <c r="C96" s="232"/>
      <c r="D96" s="105"/>
      <c r="E96" s="111"/>
      <c r="F96" s="111"/>
      <c r="G96" s="111"/>
      <c r="H96" s="107"/>
      <c r="I96" s="108"/>
      <c r="J96" s="109"/>
      <c r="K96" s="110"/>
      <c r="L96" s="111"/>
      <c r="M96" s="111"/>
      <c r="N96" s="111"/>
      <c r="O96" s="134">
        <v>1</v>
      </c>
      <c r="P96" s="111" t="s">
        <v>111</v>
      </c>
      <c r="Q96" s="135"/>
      <c r="R96" s="203">
        <f>O96*806705000</f>
        <v>806705000</v>
      </c>
      <c r="S96" s="85">
        <f t="shared" ref="S96:S106" si="59">+R96/$R$184*100</f>
        <v>36.026756187413</v>
      </c>
      <c r="T96" s="99"/>
      <c r="U96" s="87"/>
      <c r="V96" s="87"/>
      <c r="W96" s="87"/>
      <c r="X96" s="87"/>
      <c r="Y96" s="88">
        <f>116660760</f>
        <v>116660760</v>
      </c>
      <c r="Z96" s="99">
        <f t="shared" ref="Z96:Z106" si="60">+Y96/R96*100</f>
        <v>14.461390471113978</v>
      </c>
      <c r="AA96" s="100">
        <f>2/14*Z96</f>
        <v>2.065912924444854</v>
      </c>
      <c r="AB96" s="99">
        <f t="shared" ref="AB96:AB106" si="61">AA96*S96/100</f>
        <v>0.74428141233400125</v>
      </c>
      <c r="AC96" s="88"/>
      <c r="AD96" s="88">
        <f t="shared" ref="AD96:AD106" si="62">+R96-Y96</f>
        <v>690044240</v>
      </c>
      <c r="AE96" s="86"/>
    </row>
    <row r="97" spans="1:31" ht="12.95" customHeight="1" x14ac:dyDescent="0.35">
      <c r="A97" s="219">
        <v>511121</v>
      </c>
      <c r="B97" s="211" t="s">
        <v>243</v>
      </c>
      <c r="C97" s="232"/>
      <c r="D97" s="105"/>
      <c r="E97" s="111"/>
      <c r="F97" s="111"/>
      <c r="G97" s="111"/>
      <c r="H97" s="107"/>
      <c r="I97" s="108"/>
      <c r="J97" s="109"/>
      <c r="K97" s="110"/>
      <c r="L97" s="111"/>
      <c r="M97" s="111"/>
      <c r="N97" s="111"/>
      <c r="O97" s="134">
        <v>1</v>
      </c>
      <c r="P97" s="111" t="s">
        <v>111</v>
      </c>
      <c r="Q97" s="135"/>
      <c r="R97" s="107">
        <f>O97*47273000</f>
        <v>47273000</v>
      </c>
      <c r="S97" s="85">
        <f t="shared" si="59"/>
        <v>2.1111717979280837</v>
      </c>
      <c r="T97" s="99"/>
      <c r="U97" s="87"/>
      <c r="V97" s="87"/>
      <c r="W97" s="87"/>
      <c r="X97" s="87"/>
      <c r="Y97" s="88">
        <f>7551140</f>
        <v>7551140</v>
      </c>
      <c r="Z97" s="99">
        <f t="shared" si="60"/>
        <v>15.973473229962135</v>
      </c>
      <c r="AA97" s="100">
        <f>2/14*Z97</f>
        <v>2.2819247471374475</v>
      </c>
      <c r="AB97" s="99">
        <f t="shared" si="61"/>
        <v>4.8175351711507525E-2</v>
      </c>
      <c r="AC97" s="88"/>
      <c r="AD97" s="88">
        <f t="shared" si="62"/>
        <v>39721860</v>
      </c>
      <c r="AE97" s="114"/>
    </row>
    <row r="98" spans="1:31" ht="12.95" customHeight="1" x14ac:dyDescent="0.35">
      <c r="A98" s="219">
        <v>511122</v>
      </c>
      <c r="B98" s="211" t="s">
        <v>244</v>
      </c>
      <c r="C98" s="232"/>
      <c r="D98" s="105"/>
      <c r="E98" s="111"/>
      <c r="F98" s="111"/>
      <c r="G98" s="111"/>
      <c r="H98" s="107"/>
      <c r="I98" s="108"/>
      <c r="J98" s="109"/>
      <c r="K98" s="110"/>
      <c r="L98" s="111"/>
      <c r="M98" s="111"/>
      <c r="N98" s="111"/>
      <c r="O98" s="134">
        <v>1</v>
      </c>
      <c r="P98" s="111" t="s">
        <v>111</v>
      </c>
      <c r="Q98" s="135"/>
      <c r="R98" s="107">
        <f>O98*16142000</f>
        <v>16142000</v>
      </c>
      <c r="S98" s="85">
        <f t="shared" si="59"/>
        <v>0.72088793099983339</v>
      </c>
      <c r="T98" s="99"/>
      <c r="U98" s="87"/>
      <c r="V98" s="87"/>
      <c r="W98" s="87"/>
      <c r="X98" s="87"/>
      <c r="Y98" s="88">
        <f>2526655</f>
        <v>2526655</v>
      </c>
      <c r="Z98" s="99">
        <f t="shared" si="60"/>
        <v>15.652676248296371</v>
      </c>
      <c r="AA98" s="100">
        <f>2/14*Z98</f>
        <v>2.2360966068994816</v>
      </c>
      <c r="AB98" s="99">
        <f t="shared" si="61"/>
        <v>1.611975056463515E-2</v>
      </c>
      <c r="AC98" s="88"/>
      <c r="AD98" s="88">
        <f t="shared" si="62"/>
        <v>13615345</v>
      </c>
      <c r="AE98" s="114"/>
    </row>
    <row r="99" spans="1:31" ht="12.95" customHeight="1" x14ac:dyDescent="0.35">
      <c r="A99" s="219">
        <v>511123</v>
      </c>
      <c r="B99" s="211" t="s">
        <v>245</v>
      </c>
      <c r="C99" s="232"/>
      <c r="D99" s="105"/>
      <c r="E99" s="111"/>
      <c r="F99" s="111"/>
      <c r="G99" s="111"/>
      <c r="H99" s="107"/>
      <c r="I99" s="108"/>
      <c r="J99" s="109"/>
      <c r="K99" s="110"/>
      <c r="L99" s="111"/>
      <c r="M99" s="111"/>
      <c r="N99" s="111"/>
      <c r="O99" s="134">
        <v>1</v>
      </c>
      <c r="P99" s="111" t="s">
        <v>111</v>
      </c>
      <c r="Q99" s="135"/>
      <c r="R99" s="107">
        <f>O99*27440000</f>
        <v>27440000</v>
      </c>
      <c r="S99" s="85">
        <f t="shared" si="59"/>
        <v>1.2254469598956406</v>
      </c>
      <c r="T99" s="99"/>
      <c r="U99" s="87"/>
      <c r="V99" s="87"/>
      <c r="W99" s="87"/>
      <c r="X99" s="87"/>
      <c r="Y99" s="88">
        <f>3920000</f>
        <v>3920000</v>
      </c>
      <c r="Z99" s="99">
        <f t="shared" si="60"/>
        <v>14.285714285714285</v>
      </c>
      <c r="AA99" s="100">
        <f>2/14*Z99</f>
        <v>2.0408163265306118</v>
      </c>
      <c r="AB99" s="99">
        <f t="shared" si="61"/>
        <v>2.5009121630523271E-2</v>
      </c>
      <c r="AC99" s="88"/>
      <c r="AD99" s="88">
        <f t="shared" si="62"/>
        <v>23520000</v>
      </c>
      <c r="AE99" s="114"/>
    </row>
    <row r="100" spans="1:31" ht="12.95" customHeight="1" x14ac:dyDescent="0.35">
      <c r="A100" s="219">
        <v>511124</v>
      </c>
      <c r="B100" s="211" t="s">
        <v>246</v>
      </c>
      <c r="C100" s="232"/>
      <c r="D100" s="105"/>
      <c r="E100" s="111"/>
      <c r="F100" s="111"/>
      <c r="G100" s="111"/>
      <c r="H100" s="107"/>
      <c r="I100" s="108"/>
      <c r="J100" s="109"/>
      <c r="K100" s="110"/>
      <c r="L100" s="111"/>
      <c r="M100" s="111"/>
      <c r="N100" s="111"/>
      <c r="O100" s="134">
        <v>1</v>
      </c>
      <c r="P100" s="111" t="s">
        <v>111</v>
      </c>
      <c r="Q100" s="135"/>
      <c r="R100" s="107">
        <f>O100*27860000</f>
        <v>27860000</v>
      </c>
      <c r="S100" s="85">
        <f t="shared" si="59"/>
        <v>1.244203801118533</v>
      </c>
      <c r="T100" s="99"/>
      <c r="U100" s="87"/>
      <c r="V100" s="87"/>
      <c r="W100" s="87"/>
      <c r="X100" s="87"/>
      <c r="Y100" s="88">
        <f>3700000</f>
        <v>3700000</v>
      </c>
      <c r="Z100" s="99">
        <f t="shared" si="60"/>
        <v>13.280689160086146</v>
      </c>
      <c r="AA100" s="100">
        <f>2/14*Z100</f>
        <v>1.897241308583735</v>
      </c>
      <c r="AB100" s="99">
        <f t="shared" si="61"/>
        <v>2.3605548477789826E-2</v>
      </c>
      <c r="AC100" s="88"/>
      <c r="AD100" s="88">
        <f t="shared" si="62"/>
        <v>24160000</v>
      </c>
      <c r="AE100" s="114"/>
    </row>
    <row r="101" spans="1:31" ht="12.95" customHeight="1" x14ac:dyDescent="0.35">
      <c r="A101" s="219">
        <v>511125</v>
      </c>
      <c r="B101" s="211" t="s">
        <v>247</v>
      </c>
      <c r="C101" s="232"/>
      <c r="D101" s="105"/>
      <c r="E101" s="111"/>
      <c r="F101" s="111"/>
      <c r="G101" s="111"/>
      <c r="H101" s="107"/>
      <c r="I101" s="108"/>
      <c r="J101" s="109"/>
      <c r="K101" s="110"/>
      <c r="L101" s="111"/>
      <c r="M101" s="111"/>
      <c r="N101" s="111"/>
      <c r="O101" s="134">
        <v>1</v>
      </c>
      <c r="P101" s="111" t="s">
        <v>111</v>
      </c>
      <c r="Q101" s="135"/>
      <c r="R101" s="107">
        <f>O101*4525000</f>
        <v>4525000</v>
      </c>
      <c r="S101" s="85">
        <f t="shared" si="59"/>
        <v>0.20208263460378181</v>
      </c>
      <c r="T101" s="99"/>
      <c r="U101" s="87"/>
      <c r="V101" s="87"/>
      <c r="W101" s="87"/>
      <c r="X101" s="87"/>
      <c r="Y101" s="88">
        <v>0</v>
      </c>
      <c r="Z101" s="99">
        <f t="shared" si="60"/>
        <v>0</v>
      </c>
      <c r="AA101" s="100">
        <f t="shared" ref="AA101" si="63">1/14*Z101</f>
        <v>0</v>
      </c>
      <c r="AB101" s="99">
        <f t="shared" si="61"/>
        <v>0</v>
      </c>
      <c r="AC101" s="88"/>
      <c r="AD101" s="88">
        <f t="shared" si="62"/>
        <v>4525000</v>
      </c>
      <c r="AE101" s="114"/>
    </row>
    <row r="102" spans="1:31" ht="12.95" customHeight="1" x14ac:dyDescent="0.35">
      <c r="A102" s="219">
        <v>511126</v>
      </c>
      <c r="B102" s="211" t="s">
        <v>248</v>
      </c>
      <c r="C102" s="232"/>
      <c r="D102" s="105"/>
      <c r="E102" s="111"/>
      <c r="F102" s="111"/>
      <c r="G102" s="111"/>
      <c r="H102" s="107"/>
      <c r="I102" s="108"/>
      <c r="J102" s="109"/>
      <c r="K102" s="110"/>
      <c r="L102" s="111"/>
      <c r="M102" s="111"/>
      <c r="N102" s="111"/>
      <c r="O102" s="134">
        <v>1</v>
      </c>
      <c r="P102" s="111" t="s">
        <v>111</v>
      </c>
      <c r="Q102" s="135"/>
      <c r="R102" s="107">
        <f>O102*42792000</f>
        <v>42792000</v>
      </c>
      <c r="S102" s="85">
        <f t="shared" si="59"/>
        <v>1.9110541657381286</v>
      </c>
      <c r="T102" s="99"/>
      <c r="U102" s="87"/>
      <c r="V102" s="87"/>
      <c r="W102" s="87"/>
      <c r="X102" s="87"/>
      <c r="Y102" s="88">
        <f>7097160</f>
        <v>7097160</v>
      </c>
      <c r="Z102" s="99">
        <f t="shared" si="60"/>
        <v>16.585249579360628</v>
      </c>
      <c r="AA102" s="100">
        <f>2/14*Z102</f>
        <v>2.3693213684800898</v>
      </c>
      <c r="AB102" s="99">
        <f t="shared" si="61"/>
        <v>4.5279014712062395E-2</v>
      </c>
      <c r="AC102" s="88"/>
      <c r="AD102" s="88">
        <f t="shared" si="62"/>
        <v>35694840</v>
      </c>
      <c r="AE102" s="114"/>
    </row>
    <row r="103" spans="1:31" ht="12.95" customHeight="1" x14ac:dyDescent="0.35">
      <c r="A103" s="307">
        <v>511129</v>
      </c>
      <c r="B103" s="308" t="s">
        <v>249</v>
      </c>
      <c r="C103" s="309"/>
      <c r="D103" s="310"/>
      <c r="E103" s="310"/>
      <c r="F103" s="310"/>
      <c r="G103" s="310"/>
      <c r="H103" s="311"/>
      <c r="I103" s="312"/>
      <c r="J103" s="313"/>
      <c r="K103" s="314"/>
      <c r="L103" s="310"/>
      <c r="M103" s="310"/>
      <c r="N103" s="310"/>
      <c r="O103" s="315">
        <v>1</v>
      </c>
      <c r="P103" s="310" t="s">
        <v>111</v>
      </c>
      <c r="Q103" s="316"/>
      <c r="R103" s="311">
        <f>O103*146160000</f>
        <v>146160000</v>
      </c>
      <c r="S103" s="317">
        <f t="shared" si="59"/>
        <v>6.5273807455665747</v>
      </c>
      <c r="T103" s="318"/>
      <c r="U103" s="319"/>
      <c r="V103" s="319"/>
      <c r="W103" s="319"/>
      <c r="X103" s="319"/>
      <c r="Y103" s="320">
        <f>660000+10060000</f>
        <v>10720000</v>
      </c>
      <c r="Z103" s="318">
        <f t="shared" si="60"/>
        <v>7.3344280240831967</v>
      </c>
      <c r="AA103" s="100">
        <f>2/14*Z103</f>
        <v>1.0477754320118853</v>
      </c>
      <c r="AB103" s="318">
        <f t="shared" si="61"/>
        <v>6.8392291805920796E-2</v>
      </c>
      <c r="AC103" s="320"/>
      <c r="AD103" s="320">
        <f t="shared" si="62"/>
        <v>135440000</v>
      </c>
      <c r="AE103" s="321"/>
    </row>
    <row r="104" spans="1:31" ht="12.95" customHeight="1" x14ac:dyDescent="0.35">
      <c r="A104" s="219">
        <v>511151</v>
      </c>
      <c r="B104" s="211" t="s">
        <v>250</v>
      </c>
      <c r="C104" s="232"/>
      <c r="D104" s="105"/>
      <c r="E104" s="111"/>
      <c r="F104" s="111"/>
      <c r="G104" s="111"/>
      <c r="H104" s="107"/>
      <c r="I104" s="108"/>
      <c r="J104" s="109"/>
      <c r="K104" s="110"/>
      <c r="L104" s="111"/>
      <c r="M104" s="111"/>
      <c r="N104" s="111"/>
      <c r="O104" s="134">
        <v>1</v>
      </c>
      <c r="P104" s="111" t="s">
        <v>111</v>
      </c>
      <c r="Q104" s="135"/>
      <c r="R104" s="107">
        <f>O104*35736000</f>
        <v>35736000</v>
      </c>
      <c r="S104" s="85">
        <f t="shared" si="59"/>
        <v>1.5959392331935354</v>
      </c>
      <c r="T104" s="99"/>
      <c r="U104" s="87"/>
      <c r="V104" s="87"/>
      <c r="W104" s="87"/>
      <c r="X104" s="87"/>
      <c r="Y104" s="88">
        <f>2260000+1440000</f>
        <v>3700000</v>
      </c>
      <c r="Z104" s="99">
        <f t="shared" si="60"/>
        <v>10.353704947391986</v>
      </c>
      <c r="AA104" s="100">
        <f>2/14*Z104</f>
        <v>1.4791007067702835</v>
      </c>
      <c r="AB104" s="99">
        <f t="shared" si="61"/>
        <v>2.3605548477789826E-2</v>
      </c>
      <c r="AC104" s="88"/>
      <c r="AD104" s="88">
        <f t="shared" si="62"/>
        <v>32036000</v>
      </c>
      <c r="AE104" s="114"/>
    </row>
    <row r="105" spans="1:31" ht="12.95" customHeight="1" x14ac:dyDescent="0.35">
      <c r="A105" s="307">
        <v>512211</v>
      </c>
      <c r="B105" s="308" t="s">
        <v>251</v>
      </c>
      <c r="C105" s="309"/>
      <c r="D105" s="309"/>
      <c r="E105" s="309"/>
      <c r="F105" s="309"/>
      <c r="G105" s="309"/>
      <c r="H105" s="322"/>
      <c r="I105" s="323"/>
      <c r="J105" s="324"/>
      <c r="K105" s="325"/>
      <c r="L105" s="309"/>
      <c r="M105" s="309"/>
      <c r="N105" s="309"/>
      <c r="O105" s="326">
        <v>1</v>
      </c>
      <c r="P105" s="309" t="s">
        <v>111</v>
      </c>
      <c r="Q105" s="327"/>
      <c r="R105" s="322">
        <f>O105*4320000</f>
        <v>4320000</v>
      </c>
      <c r="S105" s="328">
        <f t="shared" si="59"/>
        <v>0.19292750972117956</v>
      </c>
      <c r="T105" s="329"/>
      <c r="U105" s="330"/>
      <c r="V105" s="330"/>
      <c r="W105" s="330"/>
      <c r="X105" s="330"/>
      <c r="Y105" s="331">
        <v>0</v>
      </c>
      <c r="Z105" s="329">
        <f t="shared" si="60"/>
        <v>0</v>
      </c>
      <c r="AA105" s="100">
        <f>1/14*Z105</f>
        <v>0</v>
      </c>
      <c r="AB105" s="329">
        <f t="shared" si="61"/>
        <v>0</v>
      </c>
      <c r="AC105" s="331"/>
      <c r="AD105" s="331">
        <f t="shared" si="62"/>
        <v>4320000</v>
      </c>
      <c r="AE105" s="332"/>
    </row>
    <row r="106" spans="1:31" ht="12.95" customHeight="1" x14ac:dyDescent="0.35">
      <c r="A106" s="219">
        <v>511119</v>
      </c>
      <c r="B106" s="211" t="s">
        <v>262</v>
      </c>
      <c r="C106" s="232"/>
      <c r="D106" s="105"/>
      <c r="E106" s="111"/>
      <c r="F106" s="111"/>
      <c r="G106" s="111"/>
      <c r="H106" s="107"/>
      <c r="I106" s="108"/>
      <c r="J106" s="109"/>
      <c r="K106" s="110"/>
      <c r="L106" s="111"/>
      <c r="M106" s="111"/>
      <c r="N106" s="111"/>
      <c r="O106" s="134">
        <v>1</v>
      </c>
      <c r="P106" s="111" t="s">
        <v>111</v>
      </c>
      <c r="Q106" s="135"/>
      <c r="R106" s="107">
        <f>O106*17000</f>
        <v>17000</v>
      </c>
      <c r="S106" s="85">
        <f t="shared" si="59"/>
        <v>7.5920547806945663E-4</v>
      </c>
      <c r="T106" s="99"/>
      <c r="U106" s="87"/>
      <c r="V106" s="87"/>
      <c r="W106" s="87"/>
      <c r="X106" s="87"/>
      <c r="Y106" s="88">
        <v>1730</v>
      </c>
      <c r="Z106" s="99">
        <f t="shared" si="60"/>
        <v>10.176470588235293</v>
      </c>
      <c r="AA106" s="100">
        <f>2/14*Z106</f>
        <v>1.4537815126050417</v>
      </c>
      <c r="AB106" s="99">
        <f t="shared" si="61"/>
        <v>1.1037188882858486E-5</v>
      </c>
      <c r="AC106" s="88"/>
      <c r="AD106" s="88">
        <f t="shared" si="62"/>
        <v>15270</v>
      </c>
      <c r="AE106" s="114"/>
    </row>
    <row r="107" spans="1:31" ht="12.95" customHeight="1" x14ac:dyDescent="0.35">
      <c r="A107" s="204"/>
      <c r="B107" s="205"/>
      <c r="C107" s="206"/>
      <c r="D107" s="111"/>
      <c r="E107" s="111"/>
      <c r="F107" s="111"/>
      <c r="G107" s="111"/>
      <c r="H107" s="107"/>
      <c r="I107" s="108"/>
      <c r="J107" s="109"/>
      <c r="K107" s="110"/>
      <c r="L107" s="111"/>
      <c r="M107" s="111"/>
      <c r="N107" s="111"/>
      <c r="O107" s="133"/>
      <c r="P107" s="108"/>
      <c r="Q107" s="114"/>
      <c r="R107" s="133"/>
      <c r="S107" s="113"/>
      <c r="T107" s="195"/>
      <c r="U107" s="198"/>
      <c r="V107" s="198"/>
      <c r="W107" s="198"/>
      <c r="X107" s="198"/>
      <c r="Y107" s="116"/>
      <c r="Z107" s="195"/>
      <c r="AA107" s="202"/>
      <c r="AB107" s="197">
        <f t="shared" si="58"/>
        <v>0</v>
      </c>
      <c r="AC107" s="88"/>
      <c r="AD107" s="116"/>
      <c r="AE107" s="114"/>
    </row>
    <row r="108" spans="1:31" ht="12.95" hidden="1" customHeight="1" x14ac:dyDescent="0.35">
      <c r="A108" s="135"/>
      <c r="B108" s="133"/>
      <c r="C108" s="111"/>
      <c r="D108" s="111"/>
      <c r="E108" s="111"/>
      <c r="F108" s="111"/>
      <c r="G108" s="111"/>
      <c r="H108" s="107"/>
      <c r="I108" s="108"/>
      <c r="J108" s="109"/>
      <c r="K108" s="110"/>
      <c r="L108" s="111"/>
      <c r="M108" s="111"/>
      <c r="N108" s="111"/>
      <c r="O108" s="133"/>
      <c r="P108" s="108"/>
      <c r="Q108" s="114"/>
      <c r="R108" s="133"/>
      <c r="S108" s="113"/>
      <c r="T108" s="195"/>
      <c r="U108" s="198"/>
      <c r="V108" s="198"/>
      <c r="W108" s="198"/>
      <c r="X108" s="198"/>
      <c r="Y108" s="116"/>
      <c r="Z108" s="195"/>
      <c r="AA108" s="202"/>
      <c r="AB108" s="197">
        <f t="shared" si="58"/>
        <v>0</v>
      </c>
      <c r="AC108" s="88"/>
      <c r="AD108" s="116"/>
      <c r="AE108" s="114"/>
    </row>
    <row r="109" spans="1:31" ht="12.95" customHeight="1" x14ac:dyDescent="0.35">
      <c r="A109" s="132" t="s">
        <v>112</v>
      </c>
      <c r="B109" s="104" t="s">
        <v>252</v>
      </c>
      <c r="C109" s="111"/>
      <c r="D109" s="111"/>
      <c r="E109" s="111"/>
      <c r="F109" s="111"/>
      <c r="G109" s="111"/>
      <c r="H109" s="107"/>
      <c r="I109" s="108"/>
      <c r="J109" s="109"/>
      <c r="K109" s="110"/>
      <c r="L109" s="111"/>
      <c r="M109" s="111"/>
      <c r="N109" s="111"/>
      <c r="O109" s="134"/>
      <c r="P109" s="111"/>
      <c r="Q109" s="207"/>
      <c r="R109" s="136"/>
      <c r="S109" s="113"/>
      <c r="T109" s="195"/>
      <c r="U109" s="198"/>
      <c r="V109" s="198"/>
      <c r="W109" s="198"/>
      <c r="X109" s="198"/>
      <c r="Y109" s="116"/>
      <c r="Z109" s="195"/>
      <c r="AA109" s="202"/>
      <c r="AB109" s="197">
        <f t="shared" si="58"/>
        <v>0</v>
      </c>
      <c r="AC109" s="88"/>
      <c r="AD109" s="116"/>
      <c r="AE109" s="114"/>
    </row>
    <row r="110" spans="1:31" ht="12.95" customHeight="1" x14ac:dyDescent="0.35">
      <c r="A110" s="208" t="s">
        <v>14</v>
      </c>
      <c r="B110" s="104" t="s">
        <v>253</v>
      </c>
      <c r="C110" s="105"/>
      <c r="D110" s="105"/>
      <c r="E110" s="111"/>
      <c r="F110" s="111"/>
      <c r="G110" s="111"/>
      <c r="H110" s="107"/>
      <c r="I110" s="108"/>
      <c r="J110" s="109"/>
      <c r="K110" s="110"/>
      <c r="L110" s="111"/>
      <c r="M110" s="111"/>
      <c r="N110" s="111"/>
      <c r="O110" s="134"/>
      <c r="P110" s="111"/>
      <c r="Q110" s="207"/>
      <c r="R110" s="209"/>
      <c r="S110" s="113"/>
      <c r="T110" s="195"/>
      <c r="U110" s="198"/>
      <c r="V110" s="198"/>
      <c r="W110" s="198"/>
      <c r="X110" s="198"/>
      <c r="Y110" s="116"/>
      <c r="Z110" s="195"/>
      <c r="AA110" s="202"/>
      <c r="AB110" s="197">
        <f t="shared" si="58"/>
        <v>0</v>
      </c>
      <c r="AC110" s="88"/>
      <c r="AD110" s="116"/>
      <c r="AE110" s="114"/>
    </row>
    <row r="111" spans="1:31" s="28" customFormat="1" ht="12.95" customHeight="1" x14ac:dyDescent="0.35">
      <c r="A111" s="210">
        <v>521113</v>
      </c>
      <c r="B111" s="211" t="s">
        <v>113</v>
      </c>
      <c r="C111" s="105"/>
      <c r="D111" s="105"/>
      <c r="E111" s="105"/>
      <c r="F111" s="105"/>
      <c r="G111" s="106"/>
      <c r="H111" s="188"/>
      <c r="I111" s="171"/>
      <c r="J111" s="170"/>
      <c r="K111" s="189"/>
      <c r="L111" s="105"/>
      <c r="M111" s="105"/>
      <c r="N111" s="105"/>
      <c r="O111" s="112"/>
      <c r="P111" s="105"/>
      <c r="Q111" s="212"/>
      <c r="R111" s="213"/>
      <c r="S111" s="113"/>
      <c r="T111" s="190"/>
      <c r="U111" s="191"/>
      <c r="V111" s="191"/>
      <c r="W111" s="191"/>
      <c r="X111" s="191"/>
      <c r="Y111" s="192"/>
      <c r="Z111" s="190"/>
      <c r="AA111" s="214"/>
      <c r="AB111" s="193">
        <f t="shared" si="58"/>
        <v>0</v>
      </c>
      <c r="AC111" s="177"/>
      <c r="AD111" s="192"/>
      <c r="AE111" s="179"/>
    </row>
    <row r="112" spans="1:31" ht="12.95" customHeight="1" x14ac:dyDescent="0.35">
      <c r="A112" s="135"/>
      <c r="B112" s="215" t="s">
        <v>82</v>
      </c>
      <c r="C112" s="216" t="s">
        <v>114</v>
      </c>
      <c r="D112" s="111"/>
      <c r="E112" s="217"/>
      <c r="F112" s="217"/>
      <c r="G112" s="218"/>
      <c r="H112" s="107"/>
      <c r="I112" s="108"/>
      <c r="J112" s="109"/>
      <c r="K112" s="110"/>
      <c r="L112" s="111"/>
      <c r="M112" s="111"/>
      <c r="N112" s="111"/>
      <c r="O112" s="134">
        <v>22</v>
      </c>
      <c r="P112" s="111" t="s">
        <v>115</v>
      </c>
      <c r="Q112" s="207">
        <v>210000</v>
      </c>
      <c r="R112" s="107">
        <f>O112*264000</f>
        <v>5808000</v>
      </c>
      <c r="S112" s="85">
        <f t="shared" ref="S112" si="64">+R112/$R$184*100</f>
        <v>0.25938031862514138</v>
      </c>
      <c r="T112" s="99"/>
      <c r="U112" s="87"/>
      <c r="V112" s="87"/>
      <c r="W112" s="87"/>
      <c r="X112" s="87"/>
      <c r="Y112" s="88">
        <v>0</v>
      </c>
      <c r="Z112" s="99">
        <f t="shared" ref="Z112" si="65">+Y112/R112*100</f>
        <v>0</v>
      </c>
      <c r="AA112" s="100">
        <f t="shared" ref="AA112" si="66">Z112</f>
        <v>0</v>
      </c>
      <c r="AB112" s="99">
        <f t="shared" si="58"/>
        <v>0</v>
      </c>
      <c r="AC112" s="88"/>
      <c r="AD112" s="88">
        <f t="shared" ref="AD112" si="67">+R112-Y112</f>
        <v>5808000</v>
      </c>
      <c r="AE112" s="86"/>
    </row>
    <row r="113" spans="1:31" ht="12.95" customHeight="1" x14ac:dyDescent="0.35">
      <c r="A113" s="135"/>
      <c r="B113" s="215"/>
      <c r="C113" s="216"/>
      <c r="D113" s="111"/>
      <c r="E113" s="217"/>
      <c r="F113" s="217"/>
      <c r="G113" s="218"/>
      <c r="H113" s="107"/>
      <c r="I113" s="108"/>
      <c r="J113" s="109"/>
      <c r="K113" s="110"/>
      <c r="L113" s="111"/>
      <c r="M113" s="111"/>
      <c r="N113" s="111"/>
      <c r="O113" s="134"/>
      <c r="P113" s="111"/>
      <c r="Q113" s="207"/>
      <c r="R113" s="107"/>
      <c r="S113" s="113"/>
      <c r="T113" s="195"/>
      <c r="U113" s="198"/>
      <c r="V113" s="198"/>
      <c r="W113" s="198"/>
      <c r="X113" s="198"/>
      <c r="Y113" s="116"/>
      <c r="Z113" s="195"/>
      <c r="AA113" s="202"/>
      <c r="AB113" s="197"/>
      <c r="AC113" s="116"/>
      <c r="AD113" s="116"/>
      <c r="AE113" s="114"/>
    </row>
    <row r="114" spans="1:31" ht="12.95" customHeight="1" x14ac:dyDescent="0.35">
      <c r="A114" s="103" t="s">
        <v>116</v>
      </c>
      <c r="B114" s="104" t="s">
        <v>254</v>
      </c>
      <c r="C114" s="105"/>
      <c r="D114" s="105"/>
      <c r="E114" s="111"/>
      <c r="F114" s="111"/>
      <c r="G114" s="137"/>
      <c r="H114" s="107"/>
      <c r="I114" s="108"/>
      <c r="J114" s="109"/>
      <c r="K114" s="110"/>
      <c r="L114" s="111"/>
      <c r="M114" s="111"/>
      <c r="N114" s="111"/>
      <c r="O114" s="134"/>
      <c r="P114" s="111"/>
      <c r="Q114" s="207"/>
      <c r="R114" s="170"/>
      <c r="S114" s="113"/>
      <c r="T114" s="195"/>
      <c r="U114" s="198"/>
      <c r="V114" s="198"/>
      <c r="W114" s="198"/>
      <c r="X114" s="198"/>
      <c r="Y114" s="116"/>
      <c r="Z114" s="195"/>
      <c r="AA114" s="202"/>
      <c r="AB114" s="197"/>
      <c r="AC114" s="116"/>
      <c r="AD114" s="116"/>
      <c r="AE114" s="114"/>
    </row>
    <row r="115" spans="1:31" s="28" customFormat="1" ht="12.95" customHeight="1" x14ac:dyDescent="0.35">
      <c r="A115" s="219">
        <v>521119</v>
      </c>
      <c r="B115" s="211" t="s">
        <v>117</v>
      </c>
      <c r="C115" s="105"/>
      <c r="D115" s="105"/>
      <c r="E115" s="105"/>
      <c r="F115" s="105"/>
      <c r="G115" s="106"/>
      <c r="H115" s="188"/>
      <c r="I115" s="171"/>
      <c r="J115" s="170"/>
      <c r="K115" s="189"/>
      <c r="L115" s="105"/>
      <c r="M115" s="105"/>
      <c r="N115" s="105"/>
      <c r="O115" s="112"/>
      <c r="P115" s="105"/>
      <c r="Q115" s="212"/>
      <c r="R115" s="213"/>
      <c r="S115" s="113"/>
      <c r="T115" s="190"/>
      <c r="U115" s="191"/>
      <c r="V115" s="191"/>
      <c r="W115" s="191"/>
      <c r="X115" s="191"/>
      <c r="Y115" s="192"/>
      <c r="Z115" s="190"/>
      <c r="AA115" s="214"/>
      <c r="AB115" s="193"/>
      <c r="AC115" s="192"/>
      <c r="AD115" s="192"/>
      <c r="AE115" s="179"/>
    </row>
    <row r="116" spans="1:31" ht="12.95" customHeight="1" x14ac:dyDescent="0.35">
      <c r="A116" s="135"/>
      <c r="B116" s="215" t="s">
        <v>82</v>
      </c>
      <c r="C116" s="140" t="s">
        <v>118</v>
      </c>
      <c r="D116" s="111"/>
      <c r="E116" s="217"/>
      <c r="F116" s="217"/>
      <c r="G116" s="218"/>
      <c r="H116" s="107"/>
      <c r="I116" s="108"/>
      <c r="J116" s="109"/>
      <c r="K116" s="110"/>
      <c r="L116" s="111"/>
      <c r="M116" s="111"/>
      <c r="N116" s="111"/>
      <c r="O116" s="220">
        <v>22</v>
      </c>
      <c r="P116" s="221" t="s">
        <v>115</v>
      </c>
      <c r="Q116" s="222"/>
      <c r="R116" s="107">
        <f>O116*400000</f>
        <v>8800000</v>
      </c>
      <c r="S116" s="85">
        <f t="shared" ref="S116:S117" si="68">+R116/$R$184*100</f>
        <v>0.39300048276536576</v>
      </c>
      <c r="T116" s="99"/>
      <c r="U116" s="87"/>
      <c r="V116" s="87"/>
      <c r="W116" s="87"/>
      <c r="X116" s="87"/>
      <c r="Y116" s="88">
        <v>0</v>
      </c>
      <c r="Z116" s="99">
        <f t="shared" ref="Z116:Z117" si="69">+Y116/R116*100</f>
        <v>0</v>
      </c>
      <c r="AA116" s="100">
        <f t="shared" ref="AA116:AA117" si="70">Z116</f>
        <v>0</v>
      </c>
      <c r="AB116" s="99">
        <f t="shared" ref="AB116:AB117" si="71">AA116*S116/100</f>
        <v>0</v>
      </c>
      <c r="AC116" s="88"/>
      <c r="AD116" s="88">
        <f t="shared" ref="AD116:AD117" si="72">+R116-Y116</f>
        <v>8800000</v>
      </c>
      <c r="AE116" s="86"/>
    </row>
    <row r="117" spans="1:31" ht="12.95" customHeight="1" x14ac:dyDescent="0.35">
      <c r="A117" s="135"/>
      <c r="B117" s="215" t="s">
        <v>82</v>
      </c>
      <c r="C117" s="111" t="s">
        <v>119</v>
      </c>
      <c r="D117" s="111"/>
      <c r="E117" s="217"/>
      <c r="F117" s="217"/>
      <c r="G117" s="218"/>
      <c r="H117" s="107"/>
      <c r="I117" s="108"/>
      <c r="J117" s="109"/>
      <c r="K117" s="110"/>
      <c r="L117" s="111"/>
      <c r="M117" s="111"/>
      <c r="N117" s="111"/>
      <c r="O117" s="220">
        <v>3</v>
      </c>
      <c r="P117" s="221" t="s">
        <v>115</v>
      </c>
      <c r="Q117" s="222"/>
      <c r="R117" s="107">
        <f>O117*450000</f>
        <v>1350000</v>
      </c>
      <c r="S117" s="85">
        <f t="shared" si="68"/>
        <v>6.0289846787868612E-2</v>
      </c>
      <c r="T117" s="99"/>
      <c r="U117" s="87"/>
      <c r="V117" s="87"/>
      <c r="W117" s="87"/>
      <c r="X117" s="87"/>
      <c r="Y117" s="88">
        <v>0</v>
      </c>
      <c r="Z117" s="99">
        <f t="shared" si="69"/>
        <v>0</v>
      </c>
      <c r="AA117" s="100">
        <f t="shared" si="70"/>
        <v>0</v>
      </c>
      <c r="AB117" s="99">
        <f t="shared" si="71"/>
        <v>0</v>
      </c>
      <c r="AC117" s="88"/>
      <c r="AD117" s="88">
        <f t="shared" si="72"/>
        <v>1350000</v>
      </c>
      <c r="AE117" s="114"/>
    </row>
    <row r="118" spans="1:31" s="28" customFormat="1" ht="12.95" customHeight="1" x14ac:dyDescent="0.35">
      <c r="A118" s="219"/>
      <c r="B118" s="211"/>
      <c r="C118" s="105"/>
      <c r="D118" s="105"/>
      <c r="E118" s="105"/>
      <c r="F118" s="105"/>
      <c r="G118" s="106"/>
      <c r="H118" s="188"/>
      <c r="I118" s="171"/>
      <c r="J118" s="170"/>
      <c r="K118" s="189"/>
      <c r="L118" s="105"/>
      <c r="M118" s="105"/>
      <c r="N118" s="105"/>
      <c r="O118" s="112"/>
      <c r="P118" s="105"/>
      <c r="Q118" s="212"/>
      <c r="R118" s="213"/>
      <c r="S118" s="113"/>
      <c r="T118" s="190"/>
      <c r="U118" s="191"/>
      <c r="V118" s="191"/>
      <c r="W118" s="191"/>
      <c r="X118" s="191"/>
      <c r="Y118" s="192"/>
      <c r="Z118" s="190"/>
      <c r="AA118" s="214"/>
      <c r="AB118" s="193"/>
      <c r="AC118" s="192"/>
      <c r="AD118" s="192"/>
      <c r="AE118" s="179"/>
    </row>
    <row r="119" spans="1:31" ht="12.95" customHeight="1" x14ac:dyDescent="0.35">
      <c r="A119" s="103" t="s">
        <v>120</v>
      </c>
      <c r="B119" s="104" t="s">
        <v>255</v>
      </c>
      <c r="C119" s="105"/>
      <c r="D119" s="105"/>
      <c r="E119" s="105"/>
      <c r="F119" s="105"/>
      <c r="G119" s="106"/>
      <c r="H119" s="107"/>
      <c r="I119" s="108"/>
      <c r="J119" s="109"/>
      <c r="K119" s="110"/>
      <c r="L119" s="111"/>
      <c r="M119" s="111"/>
      <c r="N119" s="111"/>
      <c r="O119" s="134"/>
      <c r="P119" s="111"/>
      <c r="Q119" s="207"/>
      <c r="R119" s="170"/>
      <c r="S119" s="113"/>
      <c r="T119" s="195"/>
      <c r="U119" s="198"/>
      <c r="V119" s="198"/>
      <c r="W119" s="198"/>
      <c r="X119" s="198"/>
      <c r="Y119" s="116"/>
      <c r="Z119" s="195"/>
      <c r="AA119" s="202"/>
      <c r="AB119" s="197"/>
      <c r="AC119" s="116"/>
      <c r="AD119" s="116"/>
      <c r="AE119" s="114"/>
    </row>
    <row r="120" spans="1:31" s="28" customFormat="1" ht="12.95" customHeight="1" x14ac:dyDescent="0.35">
      <c r="A120" s="210">
        <v>523111</v>
      </c>
      <c r="B120" s="211" t="s">
        <v>121</v>
      </c>
      <c r="C120" s="105"/>
      <c r="D120" s="105"/>
      <c r="E120" s="105"/>
      <c r="F120" s="105"/>
      <c r="G120" s="106"/>
      <c r="H120" s="188"/>
      <c r="I120" s="171"/>
      <c r="J120" s="170"/>
      <c r="K120" s="189"/>
      <c r="L120" s="105"/>
      <c r="M120" s="105"/>
      <c r="N120" s="105"/>
      <c r="O120" s="112"/>
      <c r="P120" s="105"/>
      <c r="Q120" s="212"/>
      <c r="R120" s="170"/>
      <c r="S120" s="113"/>
      <c r="T120" s="190"/>
      <c r="U120" s="191"/>
      <c r="V120" s="191"/>
      <c r="W120" s="191"/>
      <c r="X120" s="191"/>
      <c r="Y120" s="192"/>
      <c r="Z120" s="190"/>
      <c r="AA120" s="214"/>
      <c r="AB120" s="193"/>
      <c r="AC120" s="192"/>
      <c r="AD120" s="192"/>
      <c r="AE120" s="179"/>
    </row>
    <row r="121" spans="1:31" ht="12.95" customHeight="1" x14ac:dyDescent="0.35">
      <c r="A121" s="135"/>
      <c r="B121" s="223" t="s">
        <v>82</v>
      </c>
      <c r="C121" s="111" t="s">
        <v>122</v>
      </c>
      <c r="D121" s="111"/>
      <c r="E121" s="111"/>
      <c r="F121" s="111"/>
      <c r="G121" s="137"/>
      <c r="H121" s="107"/>
      <c r="I121" s="108"/>
      <c r="J121" s="109"/>
      <c r="K121" s="110"/>
      <c r="L121" s="111"/>
      <c r="M121" s="111"/>
      <c r="N121" s="111"/>
      <c r="O121" s="107">
        <v>229</v>
      </c>
      <c r="P121" s="108" t="s">
        <v>105</v>
      </c>
      <c r="Q121" s="207"/>
      <c r="R121" s="107">
        <f>O121*119000</f>
        <v>27251000</v>
      </c>
      <c r="S121" s="85">
        <f t="shared" ref="S121:S122" si="73">+R121/$R$184*100</f>
        <v>1.2170063813453389</v>
      </c>
      <c r="T121" s="99"/>
      <c r="U121" s="87"/>
      <c r="V121" s="87"/>
      <c r="W121" s="87"/>
      <c r="X121" s="87"/>
      <c r="Y121" s="88">
        <v>0</v>
      </c>
      <c r="Z121" s="99">
        <f t="shared" ref="Z121:Z122" si="74">+Y121/R121*100</f>
        <v>0</v>
      </c>
      <c r="AA121" s="100">
        <f t="shared" ref="AA121:AA122" si="75">Z121</f>
        <v>0</v>
      </c>
      <c r="AB121" s="99">
        <f t="shared" ref="AB121:AB122" si="76">AA121*S121/100</f>
        <v>0</v>
      </c>
      <c r="AC121" s="88"/>
      <c r="AD121" s="88">
        <f t="shared" ref="AD121:AD122" si="77">+R121-Y121</f>
        <v>27251000</v>
      </c>
      <c r="AE121" s="86"/>
    </row>
    <row r="122" spans="1:31" ht="12.95" customHeight="1" x14ac:dyDescent="0.35">
      <c r="A122" s="135"/>
      <c r="B122" s="223" t="s">
        <v>82</v>
      </c>
      <c r="C122" s="140" t="s">
        <v>123</v>
      </c>
      <c r="D122" s="111"/>
      <c r="E122" s="111"/>
      <c r="F122" s="111"/>
      <c r="G122" s="137"/>
      <c r="H122" s="107"/>
      <c r="I122" s="108"/>
      <c r="J122" s="109"/>
      <c r="K122" s="110"/>
      <c r="L122" s="111"/>
      <c r="M122" s="111"/>
      <c r="N122" s="111"/>
      <c r="O122" s="107">
        <v>680</v>
      </c>
      <c r="P122" s="108" t="s">
        <v>105</v>
      </c>
      <c r="Q122" s="207"/>
      <c r="R122" s="107">
        <f>O122*13000</f>
        <v>8840000</v>
      </c>
      <c r="S122" s="85">
        <f t="shared" si="73"/>
        <v>0.39478684859611746</v>
      </c>
      <c r="T122" s="99"/>
      <c r="U122" s="87"/>
      <c r="V122" s="87"/>
      <c r="W122" s="87"/>
      <c r="X122" s="87"/>
      <c r="Y122" s="88">
        <v>0</v>
      </c>
      <c r="Z122" s="99">
        <f t="shared" si="74"/>
        <v>0</v>
      </c>
      <c r="AA122" s="100">
        <f t="shared" si="75"/>
        <v>0</v>
      </c>
      <c r="AB122" s="99">
        <f t="shared" si="76"/>
        <v>0</v>
      </c>
      <c r="AC122" s="88"/>
      <c r="AD122" s="88">
        <f t="shared" si="77"/>
        <v>8840000</v>
      </c>
      <c r="AE122" s="114"/>
    </row>
    <row r="123" spans="1:31" ht="12.95" customHeight="1" x14ac:dyDescent="0.35">
      <c r="A123" s="135"/>
      <c r="B123" s="223"/>
      <c r="C123" s="111"/>
      <c r="D123" s="111"/>
      <c r="E123" s="111"/>
      <c r="F123" s="111"/>
      <c r="G123" s="137"/>
      <c r="H123" s="107"/>
      <c r="I123" s="108"/>
      <c r="J123" s="109"/>
      <c r="K123" s="110"/>
      <c r="L123" s="111"/>
      <c r="M123" s="111"/>
      <c r="N123" s="111"/>
      <c r="O123" s="134"/>
      <c r="P123" s="111"/>
      <c r="Q123" s="207"/>
      <c r="R123" s="107"/>
      <c r="S123" s="113"/>
      <c r="T123" s="195"/>
      <c r="U123" s="198"/>
      <c r="V123" s="198"/>
      <c r="W123" s="198"/>
      <c r="X123" s="198"/>
      <c r="Y123" s="116"/>
      <c r="Z123" s="195"/>
      <c r="AA123" s="202"/>
      <c r="AB123" s="197"/>
      <c r="AC123" s="116"/>
      <c r="AD123" s="116"/>
      <c r="AE123" s="114"/>
    </row>
    <row r="124" spans="1:31" ht="12.95" customHeight="1" x14ac:dyDescent="0.35">
      <c r="A124" s="103" t="s">
        <v>124</v>
      </c>
      <c r="B124" s="104" t="s">
        <v>256</v>
      </c>
      <c r="C124" s="105"/>
      <c r="D124" s="105"/>
      <c r="E124" s="105"/>
      <c r="F124" s="105"/>
      <c r="G124" s="106"/>
      <c r="H124" s="107"/>
      <c r="I124" s="108"/>
      <c r="J124" s="109"/>
      <c r="K124" s="110"/>
      <c r="L124" s="111"/>
      <c r="M124" s="111"/>
      <c r="N124" s="111"/>
      <c r="O124" s="134"/>
      <c r="P124" s="111"/>
      <c r="Q124" s="207"/>
      <c r="R124" s="170"/>
      <c r="S124" s="113"/>
      <c r="T124" s="195"/>
      <c r="U124" s="198"/>
      <c r="V124" s="198"/>
      <c r="W124" s="198"/>
      <c r="X124" s="198"/>
      <c r="Y124" s="116"/>
      <c r="Z124" s="195"/>
      <c r="AA124" s="202"/>
      <c r="AB124" s="197"/>
      <c r="AC124" s="116"/>
      <c r="AD124" s="116"/>
      <c r="AE124" s="114"/>
    </row>
    <row r="125" spans="1:31" s="28" customFormat="1" ht="12.95" customHeight="1" x14ac:dyDescent="0.35">
      <c r="A125" s="210">
        <v>523121</v>
      </c>
      <c r="B125" s="211" t="s">
        <v>125</v>
      </c>
      <c r="C125" s="105"/>
      <c r="D125" s="105"/>
      <c r="E125" s="105"/>
      <c r="F125" s="105"/>
      <c r="G125" s="106"/>
      <c r="H125" s="188"/>
      <c r="I125" s="171"/>
      <c r="J125" s="170"/>
      <c r="K125" s="189"/>
      <c r="L125" s="105"/>
      <c r="M125" s="105"/>
      <c r="N125" s="105"/>
      <c r="O125" s="112"/>
      <c r="P125" s="105"/>
      <c r="Q125" s="212"/>
      <c r="R125" s="170"/>
      <c r="S125" s="113"/>
      <c r="T125" s="190"/>
      <c r="U125" s="191"/>
      <c r="V125" s="191"/>
      <c r="W125" s="191"/>
      <c r="X125" s="191"/>
      <c r="Y125" s="192"/>
      <c r="Z125" s="190"/>
      <c r="AA125" s="214"/>
      <c r="AB125" s="193"/>
      <c r="AC125" s="192"/>
      <c r="AD125" s="192"/>
      <c r="AE125" s="179"/>
    </row>
    <row r="126" spans="1:31" ht="12.95" customHeight="1" x14ac:dyDescent="0.35">
      <c r="A126" s="135"/>
      <c r="B126" s="215" t="s">
        <v>82</v>
      </c>
      <c r="C126" s="111" t="s">
        <v>126</v>
      </c>
      <c r="D126" s="111"/>
      <c r="E126" s="111"/>
      <c r="F126" s="111"/>
      <c r="G126" s="137"/>
      <c r="H126" s="107"/>
      <c r="I126" s="108"/>
      <c r="J126" s="109"/>
      <c r="K126" s="110"/>
      <c r="L126" s="111"/>
      <c r="M126" s="111"/>
      <c r="N126" s="111"/>
      <c r="O126" s="134">
        <v>8</v>
      </c>
      <c r="P126" s="111" t="s">
        <v>127</v>
      </c>
      <c r="Q126" s="207"/>
      <c r="R126" s="107">
        <f>O126*420000</f>
        <v>3360000</v>
      </c>
      <c r="S126" s="85">
        <f t="shared" ref="S126:S137" si="78">+R126/$R$184*100</f>
        <v>0.15005472978313966</v>
      </c>
      <c r="T126" s="99"/>
      <c r="U126" s="87"/>
      <c r="V126" s="87"/>
      <c r="W126" s="87"/>
      <c r="X126" s="87"/>
      <c r="Y126" s="88">
        <v>0</v>
      </c>
      <c r="Z126" s="99">
        <f t="shared" ref="Z126:Z137" si="79">+Y126/R126*100</f>
        <v>0</v>
      </c>
      <c r="AA126" s="100">
        <f t="shared" ref="AA126:AA135" si="80">Z126</f>
        <v>0</v>
      </c>
      <c r="AB126" s="99">
        <f t="shared" ref="AB126:AB137" si="81">AA126*S126/100</f>
        <v>0</v>
      </c>
      <c r="AC126" s="88"/>
      <c r="AD126" s="88">
        <f t="shared" ref="AD126:AD137" si="82">+R126-Y126</f>
        <v>3360000</v>
      </c>
      <c r="AE126" s="86"/>
    </row>
    <row r="127" spans="1:31" ht="12.95" customHeight="1" x14ac:dyDescent="0.35">
      <c r="A127" s="135"/>
      <c r="B127" s="215" t="s">
        <v>82</v>
      </c>
      <c r="C127" s="111" t="s">
        <v>128</v>
      </c>
      <c r="D127" s="111"/>
      <c r="E127" s="111"/>
      <c r="F127" s="111"/>
      <c r="G127" s="137"/>
      <c r="H127" s="107"/>
      <c r="I127" s="108"/>
      <c r="J127" s="109"/>
      <c r="K127" s="110"/>
      <c r="L127" s="111"/>
      <c r="M127" s="111"/>
      <c r="N127" s="111"/>
      <c r="O127" s="134">
        <v>3</v>
      </c>
      <c r="P127" s="111" t="s">
        <v>127</v>
      </c>
      <c r="Q127" s="207"/>
      <c r="R127" s="107">
        <f>O127*500000</f>
        <v>1500000</v>
      </c>
      <c r="S127" s="85">
        <f t="shared" si="78"/>
        <v>6.6988718653187354E-2</v>
      </c>
      <c r="T127" s="99"/>
      <c r="U127" s="87"/>
      <c r="V127" s="87"/>
      <c r="W127" s="87"/>
      <c r="X127" s="87"/>
      <c r="Y127" s="88">
        <v>0</v>
      </c>
      <c r="Z127" s="99">
        <f t="shared" si="79"/>
        <v>0</v>
      </c>
      <c r="AA127" s="100">
        <f t="shared" si="80"/>
        <v>0</v>
      </c>
      <c r="AB127" s="99">
        <f t="shared" si="81"/>
        <v>0</v>
      </c>
      <c r="AC127" s="88"/>
      <c r="AD127" s="88">
        <f t="shared" si="82"/>
        <v>1500000</v>
      </c>
      <c r="AE127" s="114"/>
    </row>
    <row r="128" spans="1:31" ht="12.95" customHeight="1" x14ac:dyDescent="0.35">
      <c r="A128" s="135"/>
      <c r="B128" s="215" t="s">
        <v>82</v>
      </c>
      <c r="C128" s="111" t="s">
        <v>129</v>
      </c>
      <c r="D128" s="111"/>
      <c r="E128" s="111"/>
      <c r="F128" s="111"/>
      <c r="G128" s="137"/>
      <c r="H128" s="107"/>
      <c r="I128" s="108"/>
      <c r="J128" s="109"/>
      <c r="K128" s="110"/>
      <c r="L128" s="111"/>
      <c r="M128" s="111"/>
      <c r="N128" s="111"/>
      <c r="O128" s="134">
        <v>12</v>
      </c>
      <c r="P128" s="111" t="s">
        <v>127</v>
      </c>
      <c r="Q128" s="207"/>
      <c r="R128" s="107">
        <f>O128*550000</f>
        <v>6600000</v>
      </c>
      <c r="S128" s="85">
        <f t="shared" si="78"/>
        <v>0.29475036207402433</v>
      </c>
      <c r="T128" s="99"/>
      <c r="U128" s="87"/>
      <c r="V128" s="87"/>
      <c r="W128" s="87"/>
      <c r="X128" s="87"/>
      <c r="Y128" s="88">
        <v>0</v>
      </c>
      <c r="Z128" s="99">
        <f t="shared" si="79"/>
        <v>0</v>
      </c>
      <c r="AA128" s="100">
        <f t="shared" si="80"/>
        <v>0</v>
      </c>
      <c r="AB128" s="99">
        <f t="shared" si="81"/>
        <v>0</v>
      </c>
      <c r="AC128" s="88"/>
      <c r="AD128" s="88">
        <f t="shared" si="82"/>
        <v>6600000</v>
      </c>
      <c r="AE128" s="114"/>
    </row>
    <row r="129" spans="1:31" ht="12.95" customHeight="1" x14ac:dyDescent="0.35">
      <c r="A129" s="135"/>
      <c r="B129" s="215" t="s">
        <v>82</v>
      </c>
      <c r="C129" s="111" t="s">
        <v>130</v>
      </c>
      <c r="D129" s="111"/>
      <c r="E129" s="111"/>
      <c r="F129" s="111"/>
      <c r="G129" s="137"/>
      <c r="H129" s="107"/>
      <c r="I129" s="108"/>
      <c r="J129" s="109"/>
      <c r="K129" s="110"/>
      <c r="L129" s="111"/>
      <c r="M129" s="111"/>
      <c r="N129" s="111"/>
      <c r="O129" s="134">
        <v>1</v>
      </c>
      <c r="P129" s="111" t="s">
        <v>127</v>
      </c>
      <c r="Q129" s="207"/>
      <c r="R129" s="107">
        <f>O129*500000</f>
        <v>500000</v>
      </c>
      <c r="S129" s="85">
        <f t="shared" si="78"/>
        <v>2.2329572884395781E-2</v>
      </c>
      <c r="T129" s="99"/>
      <c r="U129" s="87"/>
      <c r="V129" s="87"/>
      <c r="W129" s="87"/>
      <c r="X129" s="87"/>
      <c r="Y129" s="88">
        <v>0</v>
      </c>
      <c r="Z129" s="99">
        <f t="shared" si="79"/>
        <v>0</v>
      </c>
      <c r="AA129" s="100">
        <f t="shared" si="80"/>
        <v>0</v>
      </c>
      <c r="AB129" s="99">
        <f t="shared" si="81"/>
        <v>0</v>
      </c>
      <c r="AC129" s="88"/>
      <c r="AD129" s="88">
        <f t="shared" si="82"/>
        <v>500000</v>
      </c>
      <c r="AE129" s="114"/>
    </row>
    <row r="130" spans="1:31" ht="12.95" customHeight="1" x14ac:dyDescent="0.35">
      <c r="A130" s="135"/>
      <c r="B130" s="215" t="s">
        <v>82</v>
      </c>
      <c r="C130" s="111" t="s">
        <v>131</v>
      </c>
      <c r="D130" s="111"/>
      <c r="E130" s="111"/>
      <c r="F130" s="111"/>
      <c r="G130" s="137"/>
      <c r="H130" s="107"/>
      <c r="I130" s="108"/>
      <c r="J130" s="109"/>
      <c r="K130" s="110"/>
      <c r="L130" s="111"/>
      <c r="M130" s="111"/>
      <c r="N130" s="111"/>
      <c r="O130" s="134">
        <v>2</v>
      </c>
      <c r="P130" s="111" t="s">
        <v>127</v>
      </c>
      <c r="Q130" s="207"/>
      <c r="R130" s="107">
        <f>O130*800000</f>
        <v>1600000</v>
      </c>
      <c r="S130" s="85">
        <f t="shared" si="78"/>
        <v>7.1454633230066497E-2</v>
      </c>
      <c r="T130" s="99"/>
      <c r="U130" s="87"/>
      <c r="V130" s="87"/>
      <c r="W130" s="87"/>
      <c r="X130" s="87"/>
      <c r="Y130" s="88">
        <v>0</v>
      </c>
      <c r="Z130" s="99">
        <f t="shared" si="79"/>
        <v>0</v>
      </c>
      <c r="AA130" s="100">
        <f t="shared" si="80"/>
        <v>0</v>
      </c>
      <c r="AB130" s="99">
        <f t="shared" si="81"/>
        <v>0</v>
      </c>
      <c r="AC130" s="88"/>
      <c r="AD130" s="88">
        <f t="shared" si="82"/>
        <v>1600000</v>
      </c>
      <c r="AE130" s="114"/>
    </row>
    <row r="131" spans="1:31" ht="12.95" customHeight="1" x14ac:dyDescent="0.35">
      <c r="A131" s="135"/>
      <c r="B131" s="215" t="s">
        <v>82</v>
      </c>
      <c r="C131" s="111" t="s">
        <v>132</v>
      </c>
      <c r="D131" s="111"/>
      <c r="E131" s="111"/>
      <c r="F131" s="111"/>
      <c r="G131" s="137"/>
      <c r="H131" s="107"/>
      <c r="I131" s="108"/>
      <c r="J131" s="109"/>
      <c r="K131" s="110"/>
      <c r="L131" s="111"/>
      <c r="M131" s="111"/>
      <c r="N131" s="111"/>
      <c r="O131" s="134">
        <v>2</v>
      </c>
      <c r="P131" s="111" t="s">
        <v>127</v>
      </c>
      <c r="Q131" s="207"/>
      <c r="R131" s="107">
        <f>O131*5346000</f>
        <v>10692000</v>
      </c>
      <c r="S131" s="85">
        <f t="shared" si="78"/>
        <v>0.47749558655991942</v>
      </c>
      <c r="T131" s="99"/>
      <c r="U131" s="87"/>
      <c r="V131" s="87"/>
      <c r="W131" s="87"/>
      <c r="X131" s="87"/>
      <c r="Y131" s="88">
        <v>875000</v>
      </c>
      <c r="Z131" s="99">
        <f t="shared" si="79"/>
        <v>8.1836887392442943</v>
      </c>
      <c r="AA131" s="100">
        <f t="shared" si="80"/>
        <v>8.1836887392442943</v>
      </c>
      <c r="AB131" s="99">
        <f t="shared" si="81"/>
        <v>3.907675254769262E-2</v>
      </c>
      <c r="AC131" s="88"/>
      <c r="AD131" s="88">
        <f t="shared" si="82"/>
        <v>9817000</v>
      </c>
      <c r="AE131" s="114"/>
    </row>
    <row r="132" spans="1:31" ht="12.95" customHeight="1" x14ac:dyDescent="0.35">
      <c r="A132" s="135"/>
      <c r="B132" s="223" t="s">
        <v>82</v>
      </c>
      <c r="C132" s="111" t="s">
        <v>133</v>
      </c>
      <c r="D132" s="111"/>
      <c r="E132" s="111"/>
      <c r="F132" s="111"/>
      <c r="G132" s="137"/>
      <c r="H132" s="107"/>
      <c r="I132" s="108"/>
      <c r="J132" s="109"/>
      <c r="K132" s="110"/>
      <c r="L132" s="111"/>
      <c r="M132" s="111"/>
      <c r="N132" s="111"/>
      <c r="O132" s="134">
        <v>6</v>
      </c>
      <c r="P132" s="111" t="s">
        <v>127</v>
      </c>
      <c r="Q132" s="207"/>
      <c r="R132" s="107">
        <f>O132*500000</f>
        <v>3000000</v>
      </c>
      <c r="S132" s="85">
        <f t="shared" si="78"/>
        <v>0.13397743730637471</v>
      </c>
      <c r="T132" s="99"/>
      <c r="U132" s="87"/>
      <c r="V132" s="87"/>
      <c r="W132" s="87"/>
      <c r="X132" s="87"/>
      <c r="Y132" s="88">
        <v>0</v>
      </c>
      <c r="Z132" s="99">
        <f t="shared" si="79"/>
        <v>0</v>
      </c>
      <c r="AA132" s="100">
        <f t="shared" si="80"/>
        <v>0</v>
      </c>
      <c r="AB132" s="99">
        <f t="shared" si="81"/>
        <v>0</v>
      </c>
      <c r="AC132" s="88"/>
      <c r="AD132" s="88">
        <f t="shared" si="82"/>
        <v>3000000</v>
      </c>
      <c r="AE132" s="114"/>
    </row>
    <row r="133" spans="1:31" ht="12.95" customHeight="1" x14ac:dyDescent="0.35">
      <c r="A133" s="135"/>
      <c r="B133" s="215" t="s">
        <v>82</v>
      </c>
      <c r="C133" s="111" t="s">
        <v>134</v>
      </c>
      <c r="D133" s="111"/>
      <c r="E133" s="111"/>
      <c r="F133" s="111"/>
      <c r="G133" s="137"/>
      <c r="H133" s="107"/>
      <c r="I133" s="108"/>
      <c r="J133" s="109"/>
      <c r="K133" s="110"/>
      <c r="L133" s="111"/>
      <c r="M133" s="111"/>
      <c r="N133" s="111"/>
      <c r="O133" s="134">
        <v>1</v>
      </c>
      <c r="P133" s="111" t="s">
        <v>127</v>
      </c>
      <c r="Q133" s="207"/>
      <c r="R133" s="107">
        <f>O133*1200000</f>
        <v>1200000</v>
      </c>
      <c r="S133" s="85">
        <f t="shared" si="78"/>
        <v>5.3590974922549883E-2</v>
      </c>
      <c r="T133" s="99"/>
      <c r="U133" s="87"/>
      <c r="V133" s="87"/>
      <c r="W133" s="87"/>
      <c r="X133" s="87"/>
      <c r="Y133" s="88">
        <v>0</v>
      </c>
      <c r="Z133" s="99">
        <f t="shared" si="79"/>
        <v>0</v>
      </c>
      <c r="AA133" s="100">
        <f t="shared" si="80"/>
        <v>0</v>
      </c>
      <c r="AB133" s="99">
        <f t="shared" si="81"/>
        <v>0</v>
      </c>
      <c r="AC133" s="88"/>
      <c r="AD133" s="88">
        <f t="shared" si="82"/>
        <v>1200000</v>
      </c>
      <c r="AE133" s="114"/>
    </row>
    <row r="134" spans="1:31" ht="12.95" customHeight="1" x14ac:dyDescent="0.35">
      <c r="A134" s="135"/>
      <c r="B134" s="215" t="s">
        <v>82</v>
      </c>
      <c r="C134" s="111" t="s">
        <v>135</v>
      </c>
      <c r="D134" s="111"/>
      <c r="E134" s="111"/>
      <c r="F134" s="111"/>
      <c r="G134" s="137"/>
      <c r="H134" s="107"/>
      <c r="I134" s="108"/>
      <c r="J134" s="109"/>
      <c r="K134" s="110"/>
      <c r="L134" s="111"/>
      <c r="M134" s="111"/>
      <c r="N134" s="111"/>
      <c r="O134" s="134">
        <v>4</v>
      </c>
      <c r="P134" s="111" t="s">
        <v>127</v>
      </c>
      <c r="Q134" s="207"/>
      <c r="R134" s="107">
        <f>O134*475000</f>
        <v>1900000</v>
      </c>
      <c r="S134" s="85">
        <f t="shared" si="78"/>
        <v>8.4852376960703968E-2</v>
      </c>
      <c r="T134" s="99"/>
      <c r="U134" s="87"/>
      <c r="V134" s="87"/>
      <c r="W134" s="87"/>
      <c r="X134" s="87"/>
      <c r="Y134" s="88">
        <v>0</v>
      </c>
      <c r="Z134" s="99">
        <f t="shared" si="79"/>
        <v>0</v>
      </c>
      <c r="AA134" s="100">
        <f t="shared" si="80"/>
        <v>0</v>
      </c>
      <c r="AB134" s="99">
        <f t="shared" si="81"/>
        <v>0</v>
      </c>
      <c r="AC134" s="88"/>
      <c r="AD134" s="88">
        <f t="shared" si="82"/>
        <v>1900000</v>
      </c>
      <c r="AE134" s="114"/>
    </row>
    <row r="135" spans="1:31" ht="12.95" customHeight="1" x14ac:dyDescent="0.35">
      <c r="A135" s="135"/>
      <c r="B135" s="223" t="s">
        <v>82</v>
      </c>
      <c r="C135" s="111" t="s">
        <v>136</v>
      </c>
      <c r="D135" s="111"/>
      <c r="E135" s="111"/>
      <c r="F135" s="111"/>
      <c r="G135" s="137"/>
      <c r="H135" s="107"/>
      <c r="I135" s="108"/>
      <c r="J135" s="109"/>
      <c r="K135" s="110"/>
      <c r="L135" s="111"/>
      <c r="M135" s="111"/>
      <c r="N135" s="111"/>
      <c r="O135" s="134">
        <v>1</v>
      </c>
      <c r="P135" s="111" t="s">
        <v>127</v>
      </c>
      <c r="Q135" s="207"/>
      <c r="R135" s="107">
        <f>O135*5000000</f>
        <v>5000000</v>
      </c>
      <c r="S135" s="85">
        <f t="shared" si="78"/>
        <v>0.22329572884395779</v>
      </c>
      <c r="T135" s="99"/>
      <c r="U135" s="87"/>
      <c r="V135" s="87"/>
      <c r="W135" s="87"/>
      <c r="X135" s="87"/>
      <c r="Y135" s="88">
        <v>0</v>
      </c>
      <c r="Z135" s="99">
        <f t="shared" si="79"/>
        <v>0</v>
      </c>
      <c r="AA135" s="100">
        <f t="shared" si="80"/>
        <v>0</v>
      </c>
      <c r="AB135" s="99">
        <f t="shared" si="81"/>
        <v>0</v>
      </c>
      <c r="AC135" s="88"/>
      <c r="AD135" s="88">
        <f t="shared" si="82"/>
        <v>5000000</v>
      </c>
      <c r="AE135" s="114"/>
    </row>
    <row r="136" spans="1:31" ht="12.95" customHeight="1" x14ac:dyDescent="0.35">
      <c r="A136" s="135"/>
      <c r="B136" s="223" t="s">
        <v>82</v>
      </c>
      <c r="C136" s="111" t="s">
        <v>137</v>
      </c>
      <c r="D136" s="111"/>
      <c r="E136" s="111"/>
      <c r="F136" s="111"/>
      <c r="G136" s="137"/>
      <c r="H136" s="107"/>
      <c r="I136" s="108"/>
      <c r="J136" s="109"/>
      <c r="K136" s="110"/>
      <c r="L136" s="111"/>
      <c r="M136" s="111"/>
      <c r="N136" s="111"/>
      <c r="O136" s="134">
        <v>1</v>
      </c>
      <c r="P136" s="111" t="s">
        <v>127</v>
      </c>
      <c r="Q136" s="207"/>
      <c r="R136" s="107">
        <f>O136*23000000</f>
        <v>23000000</v>
      </c>
      <c r="S136" s="85">
        <f t="shared" si="78"/>
        <v>1.027160352682206</v>
      </c>
      <c r="T136" s="99"/>
      <c r="U136" s="87"/>
      <c r="V136" s="87"/>
      <c r="W136" s="87"/>
      <c r="X136" s="87"/>
      <c r="Y136" s="88">
        <f>1600000*2</f>
        <v>3200000</v>
      </c>
      <c r="Z136" s="99">
        <f t="shared" si="79"/>
        <v>13.913043478260869</v>
      </c>
      <c r="AA136" s="100">
        <f t="shared" ref="AA136:AA137" si="83">1/14*Z136</f>
        <v>0.99378881987577627</v>
      </c>
      <c r="AB136" s="99">
        <f t="shared" si="81"/>
        <v>1.0207804747152356E-2</v>
      </c>
      <c r="AC136" s="88"/>
      <c r="AD136" s="88">
        <f t="shared" si="82"/>
        <v>19800000</v>
      </c>
      <c r="AE136" s="114"/>
    </row>
    <row r="137" spans="1:31" ht="12.95" customHeight="1" x14ac:dyDescent="0.35">
      <c r="A137" s="135"/>
      <c r="B137" s="223" t="s">
        <v>82</v>
      </c>
      <c r="C137" s="111" t="s">
        <v>138</v>
      </c>
      <c r="D137" s="111"/>
      <c r="E137" s="111"/>
      <c r="F137" s="111"/>
      <c r="G137" s="137"/>
      <c r="H137" s="107"/>
      <c r="I137" s="108"/>
      <c r="J137" s="109"/>
      <c r="K137" s="110"/>
      <c r="L137" s="111"/>
      <c r="M137" s="111"/>
      <c r="N137" s="111"/>
      <c r="O137" s="134">
        <v>5</v>
      </c>
      <c r="P137" s="111" t="s">
        <v>127</v>
      </c>
      <c r="Q137" s="207"/>
      <c r="R137" s="107">
        <f>O137*3430000</f>
        <v>17150000</v>
      </c>
      <c r="S137" s="85">
        <f t="shared" si="78"/>
        <v>0.7659043499347753</v>
      </c>
      <c r="T137" s="99"/>
      <c r="U137" s="87"/>
      <c r="V137" s="87"/>
      <c r="W137" s="87"/>
      <c r="X137" s="87"/>
      <c r="Y137" s="88">
        <f>800000+800000</f>
        <v>1600000</v>
      </c>
      <c r="Z137" s="99">
        <f t="shared" si="79"/>
        <v>9.3294460641399422</v>
      </c>
      <c r="AA137" s="100">
        <f t="shared" si="83"/>
        <v>0.66638900458142436</v>
      </c>
      <c r="AB137" s="99">
        <f t="shared" si="81"/>
        <v>5.1039023735761782E-3</v>
      </c>
      <c r="AC137" s="88"/>
      <c r="AD137" s="88">
        <f t="shared" si="82"/>
        <v>15550000</v>
      </c>
      <c r="AE137" s="114"/>
    </row>
    <row r="138" spans="1:31" ht="12.95" customHeight="1" x14ac:dyDescent="0.35">
      <c r="A138" s="135"/>
      <c r="B138" s="223"/>
      <c r="C138" s="111"/>
      <c r="D138" s="111"/>
      <c r="E138" s="111"/>
      <c r="F138" s="111"/>
      <c r="G138" s="137"/>
      <c r="H138" s="107"/>
      <c r="I138" s="108"/>
      <c r="J138" s="109"/>
      <c r="K138" s="110"/>
      <c r="L138" s="111"/>
      <c r="M138" s="111"/>
      <c r="N138" s="111"/>
      <c r="O138" s="134"/>
      <c r="P138" s="111"/>
      <c r="Q138" s="207"/>
      <c r="R138" s="203"/>
      <c r="S138" s="113"/>
      <c r="T138" s="195"/>
      <c r="U138" s="198"/>
      <c r="V138" s="198"/>
      <c r="W138" s="198"/>
      <c r="X138" s="198"/>
      <c r="Y138" s="116"/>
      <c r="Z138" s="195"/>
      <c r="AA138" s="202"/>
      <c r="AB138" s="197"/>
      <c r="AC138" s="116"/>
      <c r="AD138" s="116"/>
      <c r="AE138" s="114"/>
    </row>
    <row r="139" spans="1:31" ht="12.95" customHeight="1" x14ac:dyDescent="0.35">
      <c r="A139" s="103" t="s">
        <v>139</v>
      </c>
      <c r="B139" s="508" t="s">
        <v>257</v>
      </c>
      <c r="C139" s="509"/>
      <c r="D139" s="509"/>
      <c r="E139" s="509"/>
      <c r="F139" s="509"/>
      <c r="G139" s="510"/>
      <c r="H139" s="107"/>
      <c r="I139" s="108"/>
      <c r="J139" s="109"/>
      <c r="K139" s="110"/>
      <c r="L139" s="111"/>
      <c r="M139" s="111"/>
      <c r="N139" s="111"/>
      <c r="O139" s="112"/>
      <c r="P139" s="105"/>
      <c r="Q139" s="212"/>
      <c r="R139" s="213"/>
      <c r="S139" s="113"/>
      <c r="T139" s="195"/>
      <c r="U139" s="198"/>
      <c r="V139" s="198"/>
      <c r="W139" s="198"/>
      <c r="X139" s="198"/>
      <c r="Y139" s="116"/>
      <c r="Z139" s="195"/>
      <c r="AA139" s="202"/>
      <c r="AB139" s="197"/>
      <c r="AC139" s="116"/>
      <c r="AD139" s="116"/>
      <c r="AE139" s="114"/>
    </row>
    <row r="140" spans="1:31" s="28" customFormat="1" ht="12.95" customHeight="1" x14ac:dyDescent="0.35">
      <c r="A140" s="355">
        <v>522111</v>
      </c>
      <c r="B140" s="356" t="s">
        <v>258</v>
      </c>
      <c r="C140" s="357"/>
      <c r="D140" s="357"/>
      <c r="E140" s="357"/>
      <c r="F140" s="357"/>
      <c r="G140" s="358"/>
      <c r="H140" s="359"/>
      <c r="I140" s="360"/>
      <c r="J140" s="361"/>
      <c r="K140" s="362"/>
      <c r="L140" s="357"/>
      <c r="M140" s="357"/>
      <c r="N140" s="357"/>
      <c r="O140" s="363"/>
      <c r="P140" s="357"/>
      <c r="Q140" s="364"/>
      <c r="R140" s="361"/>
      <c r="S140" s="365"/>
      <c r="T140" s="366"/>
      <c r="U140" s="367"/>
      <c r="V140" s="367"/>
      <c r="W140" s="367"/>
      <c r="X140" s="367"/>
      <c r="Y140" s="368"/>
      <c r="Z140" s="366"/>
      <c r="AA140" s="369"/>
      <c r="AB140" s="370"/>
      <c r="AC140" s="368"/>
      <c r="AD140" s="368"/>
      <c r="AE140" s="371"/>
    </row>
    <row r="141" spans="1:31" ht="12.95" customHeight="1" x14ac:dyDescent="0.35">
      <c r="A141" s="372"/>
      <c r="B141" s="373" t="s">
        <v>82</v>
      </c>
      <c r="C141" s="374" t="s">
        <v>140</v>
      </c>
      <c r="D141" s="374"/>
      <c r="E141" s="374"/>
      <c r="F141" s="374"/>
      <c r="G141" s="375"/>
      <c r="H141" s="376"/>
      <c r="I141" s="377"/>
      <c r="J141" s="378"/>
      <c r="K141" s="379"/>
      <c r="L141" s="374"/>
      <c r="M141" s="374"/>
      <c r="N141" s="374"/>
      <c r="O141" s="380">
        <v>12</v>
      </c>
      <c r="P141" s="374" t="s">
        <v>88</v>
      </c>
      <c r="Q141" s="381"/>
      <c r="R141" s="376">
        <f>O141*6500000</f>
        <v>78000000</v>
      </c>
      <c r="S141" s="365">
        <f t="shared" ref="S141" si="84">+R141/$R$184*100</f>
        <v>3.4834133699657417</v>
      </c>
      <c r="T141" s="382"/>
      <c r="U141" s="383"/>
      <c r="V141" s="383"/>
      <c r="W141" s="383"/>
      <c r="X141" s="383"/>
      <c r="Y141" s="384">
        <f>4268398+4098784</f>
        <v>8367182</v>
      </c>
      <c r="Z141" s="382">
        <f t="shared" ref="Z141" si="85">+Y141/R141*100</f>
        <v>10.727156410256409</v>
      </c>
      <c r="AA141" s="385">
        <f t="shared" ref="AA141" si="86">1/14*Z141</f>
        <v>0.76622545787545771</v>
      </c>
      <c r="AB141" s="382">
        <f t="shared" ref="AB141" si="87">AA141*S141/100</f>
        <v>2.6690800043714918E-2</v>
      </c>
      <c r="AC141" s="384"/>
      <c r="AD141" s="384">
        <f t="shared" ref="AD141" si="88">+R141-Y141</f>
        <v>69632818</v>
      </c>
      <c r="AE141" s="386"/>
    </row>
    <row r="142" spans="1:31" ht="12.95" customHeight="1" x14ac:dyDescent="0.35">
      <c r="A142" s="355">
        <v>522112</v>
      </c>
      <c r="B142" s="356" t="s">
        <v>259</v>
      </c>
      <c r="C142" s="357"/>
      <c r="D142" s="357"/>
      <c r="E142" s="357"/>
      <c r="F142" s="357"/>
      <c r="G142" s="375"/>
      <c r="H142" s="376"/>
      <c r="I142" s="377"/>
      <c r="J142" s="378"/>
      <c r="K142" s="379"/>
      <c r="L142" s="374"/>
      <c r="M142" s="374"/>
      <c r="N142" s="374"/>
      <c r="O142" s="380"/>
      <c r="P142" s="374"/>
      <c r="Q142" s="381"/>
      <c r="R142" s="376"/>
      <c r="S142" s="365"/>
      <c r="T142" s="382"/>
      <c r="U142" s="387"/>
      <c r="V142" s="387"/>
      <c r="W142" s="387"/>
      <c r="X142" s="387"/>
      <c r="Y142" s="384"/>
      <c r="Z142" s="382"/>
      <c r="AA142" s="385"/>
      <c r="AB142" s="388"/>
      <c r="AC142" s="384"/>
      <c r="AD142" s="384"/>
      <c r="AE142" s="386"/>
    </row>
    <row r="143" spans="1:31" ht="12.95" customHeight="1" x14ac:dyDescent="0.35">
      <c r="A143" s="372"/>
      <c r="B143" s="373" t="s">
        <v>82</v>
      </c>
      <c r="C143" s="374" t="s">
        <v>141</v>
      </c>
      <c r="D143" s="374"/>
      <c r="E143" s="374"/>
      <c r="F143" s="374"/>
      <c r="G143" s="375"/>
      <c r="H143" s="376"/>
      <c r="I143" s="377"/>
      <c r="J143" s="378"/>
      <c r="K143" s="379"/>
      <c r="L143" s="374"/>
      <c r="M143" s="374"/>
      <c r="N143" s="374"/>
      <c r="O143" s="380">
        <v>12</v>
      </c>
      <c r="P143" s="374" t="s">
        <v>88</v>
      </c>
      <c r="Q143" s="381"/>
      <c r="R143" s="376">
        <f>O143*4200000</f>
        <v>50400000</v>
      </c>
      <c r="S143" s="365">
        <f t="shared" ref="S143" si="89">+R143/$R$184*100</f>
        <v>2.250820946747095</v>
      </c>
      <c r="T143" s="382"/>
      <c r="U143" s="383"/>
      <c r="V143" s="383"/>
      <c r="W143" s="383"/>
      <c r="X143" s="383"/>
      <c r="Y143" s="384">
        <f>745555+670476+870009+481307+66055</f>
        <v>2833402</v>
      </c>
      <c r="Z143" s="382">
        <f t="shared" ref="Z143" si="90">+Y143/R143*100</f>
        <v>5.6218293650793649</v>
      </c>
      <c r="AA143" s="385">
        <f t="shared" ref="AA143" si="91">1/14*Z143</f>
        <v>0.40155924036281176</v>
      </c>
      <c r="AB143" s="382">
        <f t="shared" ref="AB143" si="92">AA143*S143/100</f>
        <v>9.0383794956846834E-3</v>
      </c>
      <c r="AC143" s="384"/>
      <c r="AD143" s="384">
        <f t="shared" ref="AD143" si="93">+R143-Y143</f>
        <v>47566598</v>
      </c>
      <c r="AE143" s="386"/>
    </row>
    <row r="144" spans="1:31" ht="12.95" customHeight="1" x14ac:dyDescent="0.35">
      <c r="A144" s="355">
        <v>522113</v>
      </c>
      <c r="B144" s="356" t="s">
        <v>260</v>
      </c>
      <c r="C144" s="357"/>
      <c r="D144" s="357"/>
      <c r="E144" s="357"/>
      <c r="F144" s="357"/>
      <c r="G144" s="375"/>
      <c r="H144" s="376"/>
      <c r="I144" s="377"/>
      <c r="J144" s="378"/>
      <c r="K144" s="379"/>
      <c r="L144" s="374"/>
      <c r="M144" s="374"/>
      <c r="N144" s="374"/>
      <c r="O144" s="380"/>
      <c r="P144" s="374"/>
      <c r="Q144" s="381"/>
      <c r="R144" s="376"/>
      <c r="S144" s="365"/>
      <c r="T144" s="382"/>
      <c r="U144" s="387"/>
      <c r="V144" s="387"/>
      <c r="W144" s="387"/>
      <c r="X144" s="387"/>
      <c r="Y144" s="384"/>
      <c r="Z144" s="382"/>
      <c r="AA144" s="385"/>
      <c r="AB144" s="388"/>
      <c r="AC144" s="384"/>
      <c r="AD144" s="384"/>
      <c r="AE144" s="386"/>
    </row>
    <row r="145" spans="1:35" ht="12.95" customHeight="1" x14ac:dyDescent="0.35">
      <c r="A145" s="372"/>
      <c r="B145" s="373" t="s">
        <v>82</v>
      </c>
      <c r="C145" s="374" t="s">
        <v>142</v>
      </c>
      <c r="D145" s="374"/>
      <c r="E145" s="374"/>
      <c r="F145" s="374"/>
      <c r="G145" s="375"/>
      <c r="H145" s="376"/>
      <c r="I145" s="377"/>
      <c r="J145" s="378"/>
      <c r="K145" s="379"/>
      <c r="L145" s="374"/>
      <c r="M145" s="374"/>
      <c r="N145" s="374"/>
      <c r="O145" s="380">
        <v>12</v>
      </c>
      <c r="P145" s="374" t="s">
        <v>88</v>
      </c>
      <c r="Q145" s="381"/>
      <c r="R145" s="376">
        <f>O145*500000</f>
        <v>6000000</v>
      </c>
      <c r="S145" s="365">
        <f t="shared" ref="S145" si="94">+R145/$R$184*100</f>
        <v>0.26795487461274942</v>
      </c>
      <c r="T145" s="382"/>
      <c r="U145" s="383"/>
      <c r="V145" s="383"/>
      <c r="W145" s="383"/>
      <c r="X145" s="383"/>
      <c r="Y145" s="384">
        <f>200520+195750</f>
        <v>396270</v>
      </c>
      <c r="Z145" s="382">
        <f t="shared" ref="Z145" si="95">+Y145/R145*100</f>
        <v>6.6045000000000007</v>
      </c>
      <c r="AA145" s="385">
        <f t="shared" ref="AA145" si="96">1/14*Z145</f>
        <v>0.47175</v>
      </c>
      <c r="AB145" s="382">
        <f t="shared" ref="AB145" si="97">AA145*S145/100</f>
        <v>1.2640771209856455E-3</v>
      </c>
      <c r="AC145" s="384"/>
      <c r="AD145" s="384">
        <f t="shared" ref="AD145" si="98">+R145-Y145</f>
        <v>5603730</v>
      </c>
      <c r="AE145" s="386"/>
    </row>
    <row r="146" spans="1:35" ht="12.95" customHeight="1" x14ac:dyDescent="0.35">
      <c r="A146" s="135"/>
      <c r="B146" s="223"/>
      <c r="C146" s="111"/>
      <c r="D146" s="111"/>
      <c r="E146" s="111"/>
      <c r="F146" s="111"/>
      <c r="G146" s="137"/>
      <c r="H146" s="107"/>
      <c r="I146" s="108"/>
      <c r="J146" s="109"/>
      <c r="K146" s="110"/>
      <c r="L146" s="111"/>
      <c r="M146" s="111"/>
      <c r="N146" s="111"/>
      <c r="O146" s="134"/>
      <c r="P146" s="111"/>
      <c r="Q146" s="207"/>
      <c r="R146" s="107"/>
      <c r="S146" s="113"/>
      <c r="T146" s="195"/>
      <c r="U146" s="196"/>
      <c r="V146" s="196"/>
      <c r="W146" s="196"/>
      <c r="X146" s="196"/>
      <c r="Y146" s="116"/>
      <c r="Z146" s="195"/>
      <c r="AA146" s="100"/>
      <c r="AB146" s="197"/>
      <c r="AC146" s="116"/>
      <c r="AD146" s="116"/>
      <c r="AE146" s="114"/>
    </row>
    <row r="147" spans="1:35" ht="12.95" customHeight="1" x14ac:dyDescent="0.35">
      <c r="A147" s="103" t="s">
        <v>143</v>
      </c>
      <c r="B147" s="393" t="s">
        <v>261</v>
      </c>
      <c r="C147" s="394"/>
      <c r="D147" s="394"/>
      <c r="E147" s="394"/>
      <c r="F147" s="394"/>
      <c r="G147" s="395"/>
      <c r="H147" s="107"/>
      <c r="I147" s="108"/>
      <c r="J147" s="109"/>
      <c r="K147" s="110"/>
      <c r="L147" s="111"/>
      <c r="M147" s="111"/>
      <c r="N147" s="111"/>
      <c r="O147" s="134"/>
      <c r="P147" s="137"/>
      <c r="Q147" s="207"/>
      <c r="R147" s="213"/>
      <c r="S147" s="113"/>
      <c r="T147" s="195"/>
      <c r="U147" s="198"/>
      <c r="V147" s="198"/>
      <c r="W147" s="198"/>
      <c r="X147" s="198"/>
      <c r="Y147" s="116"/>
      <c r="Z147" s="195"/>
      <c r="AA147" s="100"/>
      <c r="AB147" s="197"/>
      <c r="AC147" s="116"/>
      <c r="AD147" s="116"/>
      <c r="AE147" s="114"/>
    </row>
    <row r="148" spans="1:35" s="28" customFormat="1" ht="12.95" customHeight="1" x14ac:dyDescent="0.35">
      <c r="A148" s="210">
        <v>521111</v>
      </c>
      <c r="B148" s="397" t="s">
        <v>81</v>
      </c>
      <c r="C148" s="105"/>
      <c r="D148" s="105"/>
      <c r="E148" s="105"/>
      <c r="F148" s="105"/>
      <c r="G148" s="106"/>
      <c r="H148" s="188"/>
      <c r="I148" s="171"/>
      <c r="J148" s="170"/>
      <c r="K148" s="189"/>
      <c r="L148" s="105"/>
      <c r="M148" s="105"/>
      <c r="N148" s="105"/>
      <c r="O148" s="227"/>
      <c r="P148" s="141"/>
      <c r="Q148" s="228"/>
      <c r="R148" s="229"/>
      <c r="S148" s="113"/>
      <c r="T148" s="190"/>
      <c r="U148" s="191"/>
      <c r="V148" s="191"/>
      <c r="W148" s="191"/>
      <c r="X148" s="191"/>
      <c r="Y148" s="192"/>
      <c r="Z148" s="190"/>
      <c r="AA148" s="178"/>
      <c r="AB148" s="193"/>
      <c r="AC148" s="192"/>
      <c r="AD148" s="192"/>
      <c r="AE148" s="179"/>
    </row>
    <row r="149" spans="1:35" ht="12.95" customHeight="1" x14ac:dyDescent="0.35">
      <c r="A149" s="199"/>
      <c r="B149" s="230" t="s">
        <v>82</v>
      </c>
      <c r="C149" s="217" t="s">
        <v>144</v>
      </c>
      <c r="D149" s="217"/>
      <c r="E149" s="217"/>
      <c r="F149" s="217"/>
      <c r="G149" s="218"/>
      <c r="H149" s="107"/>
      <c r="I149" s="108"/>
      <c r="J149" s="109"/>
      <c r="K149" s="110"/>
      <c r="L149" s="111"/>
      <c r="M149" s="111"/>
      <c r="N149" s="111"/>
      <c r="O149" s="134">
        <v>39</v>
      </c>
      <c r="P149" s="111" t="s">
        <v>145</v>
      </c>
      <c r="Q149" s="207"/>
      <c r="R149" s="107">
        <f>O149*1800000</f>
        <v>70200000</v>
      </c>
      <c r="S149" s="85">
        <f t="shared" ref="S149:S154" si="99">+R149/$R$184*100</f>
        <v>3.1350720329691675</v>
      </c>
      <c r="T149" s="99"/>
      <c r="U149" s="87"/>
      <c r="V149" s="87"/>
      <c r="W149" s="87"/>
      <c r="X149" s="87"/>
      <c r="Y149" s="88">
        <f>5400000*2</f>
        <v>10800000</v>
      </c>
      <c r="Z149" s="99">
        <f t="shared" ref="Z149:Z154" si="100">+Y149/R149*100</f>
        <v>15.384615384615385</v>
      </c>
      <c r="AA149" s="100">
        <f t="shared" ref="AA149:AA153" si="101">1/14*Z149</f>
        <v>1.0989010989010988</v>
      </c>
      <c r="AB149" s="99">
        <f t="shared" ref="AB149:AB154" si="102">AA149*S149/100</f>
        <v>3.4451341021639201E-2</v>
      </c>
      <c r="AC149" s="88"/>
      <c r="AD149" s="88">
        <f t="shared" ref="AD149:AD154" si="103">+R149-Y149</f>
        <v>59400000</v>
      </c>
      <c r="AE149" s="86"/>
    </row>
    <row r="150" spans="1:35" ht="12.95" customHeight="1" x14ac:dyDescent="0.35">
      <c r="A150" s="135"/>
      <c r="B150" s="215" t="s">
        <v>82</v>
      </c>
      <c r="C150" s="216" t="s">
        <v>146</v>
      </c>
      <c r="D150" s="216"/>
      <c r="E150" s="217"/>
      <c r="F150" s="217"/>
      <c r="G150" s="218"/>
      <c r="H150" s="107"/>
      <c r="I150" s="108"/>
      <c r="J150" s="109"/>
      <c r="K150" s="110"/>
      <c r="L150" s="111"/>
      <c r="M150" s="111"/>
      <c r="N150" s="111"/>
      <c r="O150" s="134">
        <v>228</v>
      </c>
      <c r="P150" s="111" t="s">
        <v>147</v>
      </c>
      <c r="Q150" s="207"/>
      <c r="R150" s="107">
        <f>O150*30000</f>
        <v>6840000</v>
      </c>
      <c r="S150" s="85">
        <f t="shared" si="99"/>
        <v>0.30546855705853432</v>
      </c>
      <c r="T150" s="99"/>
      <c r="U150" s="87"/>
      <c r="V150" s="87"/>
      <c r="W150" s="87"/>
      <c r="X150" s="87"/>
      <c r="Y150" s="88">
        <f>570000</f>
        <v>570000</v>
      </c>
      <c r="Z150" s="99">
        <f t="shared" si="100"/>
        <v>8.3333333333333321</v>
      </c>
      <c r="AA150" s="100">
        <f t="shared" si="101"/>
        <v>0.59523809523809512</v>
      </c>
      <c r="AB150" s="99">
        <f t="shared" si="102"/>
        <v>1.8182652205865136E-3</v>
      </c>
      <c r="AC150" s="88"/>
      <c r="AD150" s="88">
        <f t="shared" si="103"/>
        <v>6270000</v>
      </c>
      <c r="AE150" s="114"/>
    </row>
    <row r="151" spans="1:35" ht="12.95" customHeight="1" x14ac:dyDescent="0.35">
      <c r="A151" s="231"/>
      <c r="B151" s="194" t="s">
        <v>82</v>
      </c>
      <c r="C151" s="140" t="s">
        <v>148</v>
      </c>
      <c r="D151" s="140"/>
      <c r="E151" s="140"/>
      <c r="F151" s="140"/>
      <c r="G151" s="150"/>
      <c r="H151" s="107"/>
      <c r="I151" s="108"/>
      <c r="J151" s="109"/>
      <c r="K151" s="110"/>
      <c r="L151" s="111"/>
      <c r="M151" s="111"/>
      <c r="N151" s="111"/>
      <c r="O151" s="182">
        <v>22</v>
      </c>
      <c r="P151" s="140" t="s">
        <v>115</v>
      </c>
      <c r="Q151" s="183"/>
      <c r="R151" s="107">
        <f>O151*190000</f>
        <v>4180000</v>
      </c>
      <c r="S151" s="85">
        <f t="shared" si="99"/>
        <v>0.18667522931354874</v>
      </c>
      <c r="T151" s="99"/>
      <c r="U151" s="87"/>
      <c r="V151" s="87"/>
      <c r="W151" s="87"/>
      <c r="X151" s="87"/>
      <c r="Y151" s="88">
        <f>360000+180000+700000</f>
        <v>1240000</v>
      </c>
      <c r="Z151" s="99">
        <f t="shared" si="100"/>
        <v>29.665071770334926</v>
      </c>
      <c r="AA151" s="100">
        <f t="shared" si="101"/>
        <v>2.118933697881066</v>
      </c>
      <c r="AB151" s="99">
        <f t="shared" si="102"/>
        <v>3.9555243395215378E-3</v>
      </c>
      <c r="AC151" s="88"/>
      <c r="AD151" s="88">
        <f t="shared" si="103"/>
        <v>2940000</v>
      </c>
      <c r="AE151" s="114"/>
    </row>
    <row r="152" spans="1:35" ht="12.95" customHeight="1" x14ac:dyDescent="0.35">
      <c r="A152" s="231"/>
      <c r="B152" s="194" t="s">
        <v>82</v>
      </c>
      <c r="C152" s="140" t="s">
        <v>266</v>
      </c>
      <c r="D152" s="140"/>
      <c r="E152" s="140"/>
      <c r="F152" s="140"/>
      <c r="G152" s="150"/>
      <c r="H152" s="107"/>
      <c r="I152" s="108"/>
      <c r="J152" s="109"/>
      <c r="K152" s="110"/>
      <c r="L152" s="111"/>
      <c r="M152" s="111"/>
      <c r="N152" s="111"/>
      <c r="O152" s="182">
        <v>1</v>
      </c>
      <c r="P152" s="140" t="s">
        <v>111</v>
      </c>
      <c r="Q152" s="183"/>
      <c r="R152" s="107">
        <f>O152*9020000</f>
        <v>9020000</v>
      </c>
      <c r="S152" s="85">
        <f t="shared" si="99"/>
        <v>0.40282549483449992</v>
      </c>
      <c r="T152" s="99"/>
      <c r="U152" s="87"/>
      <c r="V152" s="87"/>
      <c r="W152" s="87"/>
      <c r="X152" s="87"/>
      <c r="Y152" s="88">
        <f>750000*2</f>
        <v>1500000</v>
      </c>
      <c r="Z152" s="99">
        <f t="shared" si="100"/>
        <v>16.62971175166297</v>
      </c>
      <c r="AA152" s="100">
        <f t="shared" si="101"/>
        <v>1.187836553690212</v>
      </c>
      <c r="AB152" s="99">
        <f t="shared" si="102"/>
        <v>4.7849084752276663E-3</v>
      </c>
      <c r="AC152" s="88"/>
      <c r="AD152" s="88">
        <f t="shared" si="103"/>
        <v>7520000</v>
      </c>
      <c r="AE152" s="114"/>
    </row>
    <row r="153" spans="1:35" ht="12.95" customHeight="1" x14ac:dyDescent="0.35">
      <c r="A153" s="199"/>
      <c r="B153" s="215" t="s">
        <v>82</v>
      </c>
      <c r="C153" s="217" t="s">
        <v>149</v>
      </c>
      <c r="D153" s="217"/>
      <c r="E153" s="217"/>
      <c r="F153" s="217"/>
      <c r="G153" s="218"/>
      <c r="H153" s="107"/>
      <c r="I153" s="108"/>
      <c r="J153" s="109"/>
      <c r="K153" s="110"/>
      <c r="L153" s="111"/>
      <c r="M153" s="111"/>
      <c r="N153" s="111"/>
      <c r="O153" s="134">
        <v>12</v>
      </c>
      <c r="P153" s="111" t="s">
        <v>88</v>
      </c>
      <c r="Q153" s="207"/>
      <c r="R153" s="203">
        <f>O153*2200000</f>
        <v>26400000</v>
      </c>
      <c r="S153" s="85">
        <f t="shared" si="99"/>
        <v>1.1790014482960973</v>
      </c>
      <c r="T153" s="99"/>
      <c r="U153" s="87"/>
      <c r="V153" s="87"/>
      <c r="W153" s="87"/>
      <c r="X153" s="87"/>
      <c r="Y153" s="88">
        <f>1023700*2</f>
        <v>2047400</v>
      </c>
      <c r="Z153" s="99">
        <f t="shared" si="100"/>
        <v>7.7553030303030308</v>
      </c>
      <c r="AA153" s="100">
        <f t="shared" si="101"/>
        <v>0.55395021645021647</v>
      </c>
      <c r="AB153" s="99">
        <f t="shared" si="102"/>
        <v>6.5310810747874178E-3</v>
      </c>
      <c r="AC153" s="88"/>
      <c r="AD153" s="88">
        <f t="shared" si="103"/>
        <v>24352600</v>
      </c>
      <c r="AE153" s="114"/>
    </row>
    <row r="154" spans="1:35" ht="12.95" customHeight="1" x14ac:dyDescent="0.35">
      <c r="A154" s="199"/>
      <c r="B154" s="296" t="s">
        <v>82</v>
      </c>
      <c r="C154" s="297" t="s">
        <v>265</v>
      </c>
      <c r="D154" s="297"/>
      <c r="E154" s="297"/>
      <c r="F154" s="297"/>
      <c r="G154" s="298"/>
      <c r="H154" s="77"/>
      <c r="I154" s="78"/>
      <c r="J154" s="79"/>
      <c r="K154" s="80"/>
      <c r="L154" s="81"/>
      <c r="M154" s="81"/>
      <c r="N154" s="81"/>
      <c r="O154" s="185">
        <v>1</v>
      </c>
      <c r="P154" s="81" t="s">
        <v>83</v>
      </c>
      <c r="Q154" s="144"/>
      <c r="R154" s="77">
        <f>O154*3792000</f>
        <v>3792000</v>
      </c>
      <c r="S154" s="85">
        <f t="shared" si="99"/>
        <v>0.16934748075525763</v>
      </c>
      <c r="T154" s="99"/>
      <c r="U154" s="87"/>
      <c r="V154" s="87"/>
      <c r="W154" s="87"/>
      <c r="X154" s="87"/>
      <c r="Y154" s="88">
        <v>0</v>
      </c>
      <c r="Z154" s="99">
        <f t="shared" si="100"/>
        <v>0</v>
      </c>
      <c r="AA154" s="100">
        <f t="shared" ref="AA154" si="104">Z154</f>
        <v>0</v>
      </c>
      <c r="AB154" s="99">
        <f t="shared" si="102"/>
        <v>0</v>
      </c>
      <c r="AC154" s="88"/>
      <c r="AD154" s="88">
        <f t="shared" si="103"/>
        <v>3792000</v>
      </c>
      <c r="AE154" s="86"/>
      <c r="AF154" s="90"/>
      <c r="AG154" s="90"/>
      <c r="AH154" s="90"/>
      <c r="AI154" s="90"/>
    </row>
    <row r="155" spans="1:35" ht="12.95" customHeight="1" x14ac:dyDescent="0.35">
      <c r="A155" s="135"/>
      <c r="B155" s="94"/>
      <c r="C155" s="105"/>
      <c r="D155" s="105"/>
      <c r="E155" s="111"/>
      <c r="F155" s="111"/>
      <c r="G155" s="137"/>
      <c r="H155" s="107"/>
      <c r="I155" s="108"/>
      <c r="J155" s="109"/>
      <c r="K155" s="110"/>
      <c r="L155" s="111"/>
      <c r="M155" s="111"/>
      <c r="N155" s="111"/>
      <c r="O155" s="134"/>
      <c r="P155" s="111"/>
      <c r="Q155" s="135"/>
      <c r="R155" s="107"/>
      <c r="S155" s="113"/>
      <c r="T155" s="114"/>
      <c r="U155" s="115"/>
      <c r="V155" s="115"/>
      <c r="W155" s="115"/>
      <c r="X155" s="115"/>
      <c r="Y155" s="116"/>
      <c r="Z155" s="114"/>
      <c r="AA155" s="114"/>
      <c r="AB155" s="114"/>
      <c r="AC155" s="116"/>
      <c r="AD155" s="116"/>
      <c r="AE155" s="114"/>
    </row>
    <row r="156" spans="1:35" ht="12.95" customHeight="1" x14ac:dyDescent="0.35">
      <c r="A156" s="210">
        <v>521114</v>
      </c>
      <c r="B156" s="397" t="s">
        <v>150</v>
      </c>
      <c r="C156" s="105"/>
      <c r="D156" s="105"/>
      <c r="E156" s="105"/>
      <c r="F156" s="105"/>
      <c r="G156" s="106"/>
      <c r="H156" s="188"/>
      <c r="I156" s="171"/>
      <c r="J156" s="170"/>
      <c r="K156" s="189"/>
      <c r="L156" s="105"/>
      <c r="M156" s="105"/>
      <c r="N156" s="105"/>
      <c r="O156" s="227"/>
      <c r="P156" s="141"/>
      <c r="Q156" s="228"/>
      <c r="R156" s="229"/>
      <c r="S156" s="113"/>
      <c r="T156" s="190"/>
      <c r="U156" s="191"/>
      <c r="V156" s="191"/>
      <c r="W156" s="191"/>
      <c r="X156" s="191"/>
      <c r="Y156" s="192"/>
      <c r="Z156" s="190"/>
      <c r="AA156" s="178"/>
      <c r="AB156" s="193"/>
      <c r="AC156" s="192"/>
      <c r="AD156" s="192"/>
      <c r="AE156" s="114"/>
    </row>
    <row r="157" spans="1:35" ht="12.95" customHeight="1" x14ac:dyDescent="0.35">
      <c r="A157" s="199"/>
      <c r="B157" s="230" t="s">
        <v>82</v>
      </c>
      <c r="C157" s="217" t="s">
        <v>151</v>
      </c>
      <c r="D157" s="217"/>
      <c r="E157" s="217"/>
      <c r="F157" s="217"/>
      <c r="G157" s="218"/>
      <c r="H157" s="107"/>
      <c r="I157" s="108"/>
      <c r="J157" s="109"/>
      <c r="K157" s="110"/>
      <c r="L157" s="111"/>
      <c r="M157" s="111"/>
      <c r="N157" s="111"/>
      <c r="O157" s="134">
        <v>12</v>
      </c>
      <c r="P157" s="111" t="s">
        <v>88</v>
      </c>
      <c r="Q157" s="207"/>
      <c r="R157" s="107">
        <f>O157*715000</f>
        <v>8580000</v>
      </c>
      <c r="S157" s="85">
        <f t="shared" ref="S157" si="105">+R157/$R$184*100</f>
        <v>0.38317547069623159</v>
      </c>
      <c r="T157" s="99"/>
      <c r="U157" s="87"/>
      <c r="V157" s="87"/>
      <c r="W157" s="87"/>
      <c r="X157" s="87"/>
      <c r="Y157" s="88">
        <f>715000*2</f>
        <v>1430000</v>
      </c>
      <c r="Z157" s="99">
        <f t="shared" ref="Z157" si="106">+Y157/R157*100</f>
        <v>16.666666666666664</v>
      </c>
      <c r="AA157" s="100">
        <f t="shared" ref="AA157" si="107">1/14*Z157</f>
        <v>1.1904761904761902</v>
      </c>
      <c r="AB157" s="99">
        <f t="shared" ref="AB157" si="108">AA157*S157/100</f>
        <v>4.5616127463837088E-3</v>
      </c>
      <c r="AC157" s="88"/>
      <c r="AD157" s="88">
        <f t="shared" ref="AD157" si="109">+R157-Y157</f>
        <v>7150000</v>
      </c>
      <c r="AE157" s="86"/>
    </row>
    <row r="158" spans="1:35" ht="12.95" customHeight="1" x14ac:dyDescent="0.35">
      <c r="A158" s="199"/>
      <c r="B158" s="215"/>
      <c r="C158" s="217"/>
      <c r="D158" s="217"/>
      <c r="E158" s="217"/>
      <c r="F158" s="217"/>
      <c r="G158" s="218"/>
      <c r="H158" s="107"/>
      <c r="I158" s="108"/>
      <c r="J158" s="109"/>
      <c r="K158" s="110"/>
      <c r="L158" s="111"/>
      <c r="M158" s="111"/>
      <c r="N158" s="111"/>
      <c r="O158" s="134"/>
      <c r="P158" s="111"/>
      <c r="Q158" s="207"/>
      <c r="R158" s="107"/>
      <c r="S158" s="113"/>
      <c r="T158" s="195"/>
      <c r="U158" s="198"/>
      <c r="V158" s="198"/>
      <c r="W158" s="198"/>
      <c r="X158" s="198"/>
      <c r="Y158" s="116"/>
      <c r="Z158" s="195"/>
      <c r="AA158" s="100"/>
      <c r="AB158" s="197"/>
      <c r="AC158" s="116"/>
      <c r="AD158" s="116"/>
      <c r="AE158" s="114"/>
    </row>
    <row r="159" spans="1:35" s="28" customFormat="1" ht="12.95" customHeight="1" x14ac:dyDescent="0.35">
      <c r="A159" s="210">
        <v>521115</v>
      </c>
      <c r="B159" s="397" t="s">
        <v>152</v>
      </c>
      <c r="C159" s="232"/>
      <c r="D159" s="232"/>
      <c r="E159" s="232"/>
      <c r="F159" s="232"/>
      <c r="G159" s="233"/>
      <c r="H159" s="107"/>
      <c r="I159" s="108"/>
      <c r="J159" s="109"/>
      <c r="K159" s="110"/>
      <c r="L159" s="111"/>
      <c r="M159" s="111"/>
      <c r="N159" s="111"/>
      <c r="O159" s="182"/>
      <c r="P159" s="140"/>
      <c r="Q159" s="228"/>
      <c r="R159" s="201"/>
      <c r="S159" s="113"/>
      <c r="T159" s="190"/>
      <c r="U159" s="191"/>
      <c r="V159" s="191"/>
      <c r="W159" s="191"/>
      <c r="X159" s="191"/>
      <c r="Y159" s="192"/>
      <c r="Z159" s="190"/>
      <c r="AA159" s="178"/>
      <c r="AB159" s="193"/>
      <c r="AC159" s="192"/>
      <c r="AD159" s="192"/>
      <c r="AE159" s="179"/>
    </row>
    <row r="160" spans="1:35" ht="12.95" customHeight="1" x14ac:dyDescent="0.35">
      <c r="A160" s="199"/>
      <c r="B160" s="104"/>
      <c r="C160" s="217" t="s">
        <v>153</v>
      </c>
      <c r="D160" s="217"/>
      <c r="E160" s="217"/>
      <c r="F160" s="217"/>
      <c r="G160" s="218"/>
      <c r="H160" s="107"/>
      <c r="I160" s="108"/>
      <c r="J160" s="109"/>
      <c r="K160" s="110"/>
      <c r="L160" s="111"/>
      <c r="M160" s="111"/>
      <c r="N160" s="111"/>
      <c r="O160" s="134"/>
      <c r="P160" s="111"/>
      <c r="Q160" s="207"/>
      <c r="R160" s="188"/>
      <c r="S160" s="113"/>
      <c r="T160" s="195"/>
      <c r="U160" s="198"/>
      <c r="V160" s="198"/>
      <c r="W160" s="198"/>
      <c r="X160" s="198"/>
      <c r="Y160" s="116"/>
      <c r="Z160" s="195"/>
      <c r="AA160" s="202"/>
      <c r="AB160" s="197"/>
      <c r="AC160" s="116"/>
      <c r="AD160" s="116"/>
      <c r="AE160" s="114"/>
    </row>
    <row r="161" spans="1:31" ht="12.95" customHeight="1" x14ac:dyDescent="0.35">
      <c r="A161" s="199"/>
      <c r="B161" s="234" t="s">
        <v>82</v>
      </c>
      <c r="C161" s="217" t="s">
        <v>154</v>
      </c>
      <c r="D161" s="111"/>
      <c r="E161" s="217"/>
      <c r="F161" s="217"/>
      <c r="G161" s="217"/>
      <c r="H161" s="107"/>
      <c r="I161" s="108"/>
      <c r="J161" s="109"/>
      <c r="K161" s="110"/>
      <c r="L161" s="111"/>
      <c r="M161" s="111"/>
      <c r="N161" s="111"/>
      <c r="O161" s="134">
        <v>12</v>
      </c>
      <c r="P161" s="111" t="s">
        <v>145</v>
      </c>
      <c r="Q161" s="207"/>
      <c r="R161" s="107">
        <f>O161*900000</f>
        <v>10800000</v>
      </c>
      <c r="S161" s="85">
        <f t="shared" ref="S161:S166" si="110">+R161/$R$184*100</f>
        <v>0.48231877430294889</v>
      </c>
      <c r="T161" s="99"/>
      <c r="U161" s="87"/>
      <c r="V161" s="87"/>
      <c r="W161" s="87"/>
      <c r="X161" s="87"/>
      <c r="Y161" s="88">
        <f>R161/12*2</f>
        <v>1800000</v>
      </c>
      <c r="Z161" s="99">
        <f t="shared" ref="Z161:Z166" si="111">+Y161/R161*100</f>
        <v>16.666666666666664</v>
      </c>
      <c r="AA161" s="100">
        <f t="shared" ref="AA161" si="112">1/14*Z161</f>
        <v>1.1904761904761902</v>
      </c>
      <c r="AB161" s="99">
        <f t="shared" ref="AB161:AB166" si="113">AA161*S161/100</f>
        <v>5.7418901702731995E-3</v>
      </c>
      <c r="AC161" s="88"/>
      <c r="AD161" s="88">
        <f t="shared" ref="AD161:AD166" si="114">+R161-Y161</f>
        <v>9000000</v>
      </c>
      <c r="AE161" s="86"/>
    </row>
    <row r="162" spans="1:31" ht="12.95" customHeight="1" x14ac:dyDescent="0.35">
      <c r="A162" s="199"/>
      <c r="B162" s="234" t="s">
        <v>82</v>
      </c>
      <c r="C162" s="217" t="s">
        <v>155</v>
      </c>
      <c r="D162" s="111"/>
      <c r="E162" s="217"/>
      <c r="F162" s="217"/>
      <c r="G162" s="217"/>
      <c r="H162" s="107"/>
      <c r="I162" s="108"/>
      <c r="J162" s="109"/>
      <c r="K162" s="110"/>
      <c r="L162" s="111"/>
      <c r="M162" s="111"/>
      <c r="N162" s="111"/>
      <c r="O162" s="134">
        <v>12</v>
      </c>
      <c r="P162" s="111" t="s">
        <v>145</v>
      </c>
      <c r="Q162" s="207"/>
      <c r="R162" s="107">
        <f>O162*700000</f>
        <v>8400000</v>
      </c>
      <c r="S162" s="85">
        <f t="shared" si="110"/>
        <v>0.37513682445784913</v>
      </c>
      <c r="T162" s="99"/>
      <c r="U162" s="87"/>
      <c r="V162" s="87"/>
      <c r="W162" s="87"/>
      <c r="X162" s="87"/>
      <c r="Y162" s="88">
        <f>R162/12*2</f>
        <v>1400000</v>
      </c>
      <c r="Z162" s="99">
        <f t="shared" si="111"/>
        <v>16.666666666666664</v>
      </c>
      <c r="AA162" s="100">
        <f t="shared" ref="AA162:AA166" si="115">1/14*Z162</f>
        <v>1.1904761904761902</v>
      </c>
      <c r="AB162" s="99">
        <f t="shared" si="113"/>
        <v>4.4659145768791552E-3</v>
      </c>
      <c r="AC162" s="88"/>
      <c r="AD162" s="88">
        <f t="shared" si="114"/>
        <v>7000000</v>
      </c>
      <c r="AE162" s="114"/>
    </row>
    <row r="163" spans="1:31" ht="12.95" customHeight="1" x14ac:dyDescent="0.35">
      <c r="A163" s="199"/>
      <c r="B163" s="234" t="s">
        <v>82</v>
      </c>
      <c r="C163" s="111" t="s">
        <v>156</v>
      </c>
      <c r="D163" s="111"/>
      <c r="E163" s="217"/>
      <c r="F163" s="217"/>
      <c r="G163" s="217"/>
      <c r="H163" s="107"/>
      <c r="I163" s="108"/>
      <c r="J163" s="109"/>
      <c r="K163" s="110"/>
      <c r="L163" s="111"/>
      <c r="M163" s="111"/>
      <c r="N163" s="111"/>
      <c r="O163" s="134">
        <v>3</v>
      </c>
      <c r="P163" s="111" t="s">
        <v>145</v>
      </c>
      <c r="Q163" s="207"/>
      <c r="R163" s="107">
        <f>O163*400000</f>
        <v>1200000</v>
      </c>
      <c r="S163" s="85">
        <f t="shared" si="110"/>
        <v>5.3590974922549883E-2</v>
      </c>
      <c r="T163" s="99"/>
      <c r="U163" s="87"/>
      <c r="V163" s="87"/>
      <c r="W163" s="87"/>
      <c r="X163" s="87"/>
      <c r="Y163" s="88">
        <v>0</v>
      </c>
      <c r="Z163" s="99">
        <f t="shared" si="111"/>
        <v>0</v>
      </c>
      <c r="AA163" s="100">
        <f t="shared" si="115"/>
        <v>0</v>
      </c>
      <c r="AB163" s="99">
        <f t="shared" si="113"/>
        <v>0</v>
      </c>
      <c r="AC163" s="88"/>
      <c r="AD163" s="88">
        <f t="shared" si="114"/>
        <v>1200000</v>
      </c>
      <c r="AE163" s="114"/>
    </row>
    <row r="164" spans="1:31" ht="12.95" customHeight="1" x14ac:dyDescent="0.35">
      <c r="A164" s="199"/>
      <c r="B164" s="234" t="s">
        <v>82</v>
      </c>
      <c r="C164" s="217" t="s">
        <v>157</v>
      </c>
      <c r="D164" s="111"/>
      <c r="E164" s="217"/>
      <c r="F164" s="217"/>
      <c r="G164" s="217"/>
      <c r="H164" s="107"/>
      <c r="I164" s="108"/>
      <c r="J164" s="109"/>
      <c r="K164" s="110"/>
      <c r="L164" s="111"/>
      <c r="M164" s="111"/>
      <c r="N164" s="111"/>
      <c r="O164" s="134">
        <v>12</v>
      </c>
      <c r="P164" s="111" t="s">
        <v>145</v>
      </c>
      <c r="Q164" s="207"/>
      <c r="R164" s="107">
        <f>O164*700000</f>
        <v>8400000</v>
      </c>
      <c r="S164" s="85">
        <f t="shared" si="110"/>
        <v>0.37513682445784913</v>
      </c>
      <c r="T164" s="99"/>
      <c r="U164" s="87"/>
      <c r="V164" s="87"/>
      <c r="W164" s="87"/>
      <c r="X164" s="87"/>
      <c r="Y164" s="88">
        <f>R164/12*2</f>
        <v>1400000</v>
      </c>
      <c r="Z164" s="99">
        <f t="shared" si="111"/>
        <v>16.666666666666664</v>
      </c>
      <c r="AA164" s="100">
        <f t="shared" si="115"/>
        <v>1.1904761904761902</v>
      </c>
      <c r="AB164" s="99">
        <f t="shared" si="113"/>
        <v>4.4659145768791552E-3</v>
      </c>
      <c r="AC164" s="88"/>
      <c r="AD164" s="88">
        <f t="shared" si="114"/>
        <v>7000000</v>
      </c>
      <c r="AE164" s="114"/>
    </row>
    <row r="165" spans="1:31" ht="12.95" customHeight="1" x14ac:dyDescent="0.35">
      <c r="A165" s="199"/>
      <c r="B165" s="234" t="s">
        <v>82</v>
      </c>
      <c r="C165" s="217" t="s">
        <v>158</v>
      </c>
      <c r="D165" s="111"/>
      <c r="E165" s="217"/>
      <c r="F165" s="217"/>
      <c r="G165" s="217"/>
      <c r="H165" s="107"/>
      <c r="I165" s="108"/>
      <c r="J165" s="109"/>
      <c r="K165" s="110"/>
      <c r="L165" s="111"/>
      <c r="M165" s="111"/>
      <c r="N165" s="111"/>
      <c r="O165" s="134">
        <v>12</v>
      </c>
      <c r="P165" s="111" t="s">
        <v>145</v>
      </c>
      <c r="Q165" s="207"/>
      <c r="R165" s="107">
        <f>O165*650000</f>
        <v>7800000</v>
      </c>
      <c r="S165" s="85">
        <f t="shared" si="110"/>
        <v>0.34834133699657421</v>
      </c>
      <c r="T165" s="99"/>
      <c r="U165" s="87"/>
      <c r="V165" s="87"/>
      <c r="W165" s="87"/>
      <c r="X165" s="87"/>
      <c r="Y165" s="88">
        <f>R165/12*2</f>
        <v>1300000</v>
      </c>
      <c r="Z165" s="99">
        <f t="shared" si="111"/>
        <v>16.666666666666664</v>
      </c>
      <c r="AA165" s="100">
        <f t="shared" si="115"/>
        <v>1.1904761904761902</v>
      </c>
      <c r="AB165" s="99">
        <f t="shared" si="113"/>
        <v>4.1469206785306441E-3</v>
      </c>
      <c r="AC165" s="88"/>
      <c r="AD165" s="88">
        <f t="shared" si="114"/>
        <v>6500000</v>
      </c>
      <c r="AE165" s="114"/>
    </row>
    <row r="166" spans="1:31" ht="12.95" customHeight="1" x14ac:dyDescent="0.35">
      <c r="A166" s="199"/>
      <c r="B166" s="234" t="s">
        <v>82</v>
      </c>
      <c r="C166" s="217" t="s">
        <v>159</v>
      </c>
      <c r="D166" s="111"/>
      <c r="E166" s="217"/>
      <c r="F166" s="217"/>
      <c r="G166" s="218"/>
      <c r="H166" s="107"/>
      <c r="I166" s="108"/>
      <c r="J166" s="109"/>
      <c r="K166" s="110"/>
      <c r="L166" s="111"/>
      <c r="M166" s="111"/>
      <c r="N166" s="111"/>
      <c r="O166" s="134">
        <v>24</v>
      </c>
      <c r="P166" s="111" t="s">
        <v>145</v>
      </c>
      <c r="Q166" s="207"/>
      <c r="R166" s="107">
        <f>O166*300000</f>
        <v>7200000</v>
      </c>
      <c r="S166" s="85">
        <f t="shared" si="110"/>
        <v>0.32154584953529924</v>
      </c>
      <c r="T166" s="99"/>
      <c r="U166" s="87"/>
      <c r="V166" s="87"/>
      <c r="W166" s="87"/>
      <c r="X166" s="87"/>
      <c r="Y166" s="88">
        <f>R166/12*2</f>
        <v>1200000</v>
      </c>
      <c r="Z166" s="99">
        <f t="shared" si="111"/>
        <v>16.666666666666664</v>
      </c>
      <c r="AA166" s="100">
        <f t="shared" si="115"/>
        <v>1.1904761904761902</v>
      </c>
      <c r="AB166" s="99">
        <f t="shared" si="113"/>
        <v>3.827926780182133E-3</v>
      </c>
      <c r="AC166" s="88"/>
      <c r="AD166" s="88">
        <f t="shared" si="114"/>
        <v>6000000</v>
      </c>
      <c r="AE166" s="114"/>
    </row>
    <row r="167" spans="1:31" ht="12.95" customHeight="1" x14ac:dyDescent="0.35">
      <c r="A167" s="132"/>
      <c r="B167" s="104"/>
      <c r="C167" s="511" t="s">
        <v>160</v>
      </c>
      <c r="D167" s="511"/>
      <c r="E167" s="511"/>
      <c r="F167" s="511"/>
      <c r="G167" s="512"/>
      <c r="H167" s="107"/>
      <c r="I167" s="108"/>
      <c r="J167" s="109"/>
      <c r="K167" s="110"/>
      <c r="L167" s="111"/>
      <c r="M167" s="111"/>
      <c r="N167" s="111"/>
      <c r="O167" s="112"/>
      <c r="P167" s="105"/>
      <c r="Q167" s="212"/>
      <c r="R167" s="188"/>
      <c r="S167" s="113"/>
      <c r="T167" s="195"/>
      <c r="U167" s="198"/>
      <c r="V167" s="198"/>
      <c r="W167" s="198"/>
      <c r="X167" s="198"/>
      <c r="Y167" s="116"/>
      <c r="Z167" s="195"/>
      <c r="AA167" s="100"/>
      <c r="AB167" s="197"/>
      <c r="AC167" s="116"/>
      <c r="AD167" s="116"/>
      <c r="AE167" s="114"/>
    </row>
    <row r="168" spans="1:31" ht="12.95" customHeight="1" x14ac:dyDescent="0.35">
      <c r="A168" s="199"/>
      <c r="B168" s="234" t="s">
        <v>82</v>
      </c>
      <c r="C168" s="217" t="s">
        <v>161</v>
      </c>
      <c r="D168" s="111"/>
      <c r="E168" s="217"/>
      <c r="F168" s="217"/>
      <c r="G168" s="217"/>
      <c r="H168" s="107"/>
      <c r="I168" s="108"/>
      <c r="J168" s="109"/>
      <c r="K168" s="110"/>
      <c r="L168" s="111"/>
      <c r="M168" s="111"/>
      <c r="N168" s="111"/>
      <c r="O168" s="134">
        <v>12</v>
      </c>
      <c r="P168" s="111" t="s">
        <v>145</v>
      </c>
      <c r="Q168" s="207"/>
      <c r="R168" s="107">
        <f>O168*350000</f>
        <v>4200000</v>
      </c>
      <c r="S168" s="85">
        <f t="shared" ref="S168:S171" si="116">+R168/$R$184*100</f>
        <v>0.18756841222892456</v>
      </c>
      <c r="T168" s="99"/>
      <c r="U168" s="87"/>
      <c r="V168" s="87"/>
      <c r="W168" s="87"/>
      <c r="X168" s="87"/>
      <c r="Y168" s="88">
        <f>R168/12*2</f>
        <v>700000</v>
      </c>
      <c r="Z168" s="99">
        <f t="shared" ref="Z168:Z171" si="117">+Y168/R168*100</f>
        <v>16.666666666666664</v>
      </c>
      <c r="AA168" s="100">
        <f t="shared" ref="AA168:AA171" si="118">1/14*Z168</f>
        <v>1.1904761904761902</v>
      </c>
      <c r="AB168" s="99">
        <f t="shared" ref="AB168:AB171" si="119">AA168*S168/100</f>
        <v>2.2329572884395776E-3</v>
      </c>
      <c r="AC168" s="88"/>
      <c r="AD168" s="88">
        <f t="shared" ref="AD168:AD171" si="120">+R168-Y168</f>
        <v>3500000</v>
      </c>
      <c r="AE168" s="86"/>
    </row>
    <row r="169" spans="1:31" ht="12.95" customHeight="1" x14ac:dyDescent="0.35">
      <c r="A169" s="199"/>
      <c r="B169" s="234" t="s">
        <v>82</v>
      </c>
      <c r="C169" s="217" t="s">
        <v>162</v>
      </c>
      <c r="D169" s="111"/>
      <c r="E169" s="217"/>
      <c r="F169" s="217"/>
      <c r="G169" s="217"/>
      <c r="H169" s="107"/>
      <c r="I169" s="108"/>
      <c r="J169" s="109"/>
      <c r="K169" s="110"/>
      <c r="L169" s="111"/>
      <c r="M169" s="111"/>
      <c r="N169" s="111"/>
      <c r="O169" s="134">
        <v>12</v>
      </c>
      <c r="P169" s="111" t="s">
        <v>145</v>
      </c>
      <c r="Q169" s="207"/>
      <c r="R169" s="107">
        <f>O169*300000</f>
        <v>3600000</v>
      </c>
      <c r="S169" s="85">
        <f t="shared" si="116"/>
        <v>0.16077292476764962</v>
      </c>
      <c r="T169" s="99"/>
      <c r="U169" s="87"/>
      <c r="V169" s="87"/>
      <c r="W169" s="87"/>
      <c r="X169" s="87"/>
      <c r="Y169" s="88">
        <f>R169/12*2</f>
        <v>600000</v>
      </c>
      <c r="Z169" s="99">
        <f t="shared" si="117"/>
        <v>16.666666666666664</v>
      </c>
      <c r="AA169" s="100">
        <f t="shared" si="118"/>
        <v>1.1904761904761902</v>
      </c>
      <c r="AB169" s="99">
        <f t="shared" si="119"/>
        <v>1.9139633900910665E-3</v>
      </c>
      <c r="AC169" s="88"/>
      <c r="AD169" s="88">
        <f t="shared" si="120"/>
        <v>3000000</v>
      </c>
      <c r="AE169" s="114"/>
    </row>
    <row r="170" spans="1:31" ht="12.95" customHeight="1" x14ac:dyDescent="0.35">
      <c r="A170" s="199"/>
      <c r="B170" s="234" t="s">
        <v>82</v>
      </c>
      <c r="C170" s="217" t="s">
        <v>163</v>
      </c>
      <c r="D170" s="111"/>
      <c r="E170" s="217"/>
      <c r="F170" s="217"/>
      <c r="G170" s="217"/>
      <c r="H170" s="107"/>
      <c r="I170" s="108"/>
      <c r="J170" s="109"/>
      <c r="K170" s="110"/>
      <c r="L170" s="111"/>
      <c r="M170" s="111"/>
      <c r="N170" s="111"/>
      <c r="O170" s="134">
        <v>12</v>
      </c>
      <c r="P170" s="111" t="s">
        <v>145</v>
      </c>
      <c r="Q170" s="207"/>
      <c r="R170" s="107">
        <f>O170*250000</f>
        <v>3000000</v>
      </c>
      <c r="S170" s="85">
        <f t="shared" si="116"/>
        <v>0.13397743730637471</v>
      </c>
      <c r="T170" s="99"/>
      <c r="U170" s="87"/>
      <c r="V170" s="87"/>
      <c r="W170" s="87"/>
      <c r="X170" s="87"/>
      <c r="Y170" s="88">
        <f>R170/12*2</f>
        <v>500000</v>
      </c>
      <c r="Z170" s="99">
        <f t="shared" si="117"/>
        <v>16.666666666666664</v>
      </c>
      <c r="AA170" s="100">
        <f t="shared" si="118"/>
        <v>1.1904761904761902</v>
      </c>
      <c r="AB170" s="99">
        <f t="shared" si="119"/>
        <v>1.5949694917425559E-3</v>
      </c>
      <c r="AC170" s="88"/>
      <c r="AD170" s="88">
        <f t="shared" si="120"/>
        <v>2500000</v>
      </c>
      <c r="AE170" s="114"/>
    </row>
    <row r="171" spans="1:31" ht="12.95" customHeight="1" x14ac:dyDescent="0.35">
      <c r="A171" s="199"/>
      <c r="B171" s="234" t="s">
        <v>82</v>
      </c>
      <c r="C171" s="217" t="s">
        <v>164</v>
      </c>
      <c r="D171" s="111"/>
      <c r="E171" s="217"/>
      <c r="F171" s="217"/>
      <c r="G171" s="217"/>
      <c r="H171" s="107"/>
      <c r="I171" s="108"/>
      <c r="J171" s="109"/>
      <c r="K171" s="110"/>
      <c r="L171" s="111"/>
      <c r="M171" s="111"/>
      <c r="N171" s="111"/>
      <c r="O171" s="134">
        <v>48</v>
      </c>
      <c r="P171" s="111" t="s">
        <v>145</v>
      </c>
      <c r="Q171" s="207"/>
      <c r="R171" s="107">
        <f>O171*200000</f>
        <v>9600000</v>
      </c>
      <c r="S171" s="85">
        <f t="shared" si="116"/>
        <v>0.42872779938039907</v>
      </c>
      <c r="T171" s="99"/>
      <c r="U171" s="87"/>
      <c r="V171" s="87"/>
      <c r="W171" s="87"/>
      <c r="X171" s="87"/>
      <c r="Y171" s="88">
        <f>R171/12*2</f>
        <v>1600000</v>
      </c>
      <c r="Z171" s="99">
        <f t="shared" si="117"/>
        <v>16.666666666666664</v>
      </c>
      <c r="AA171" s="100">
        <f t="shared" si="118"/>
        <v>1.1904761904761902</v>
      </c>
      <c r="AB171" s="99">
        <f t="shared" si="119"/>
        <v>5.1039023735761782E-3</v>
      </c>
      <c r="AC171" s="88"/>
      <c r="AD171" s="88">
        <f t="shared" si="120"/>
        <v>8000000</v>
      </c>
      <c r="AE171" s="114"/>
    </row>
    <row r="172" spans="1:31" ht="12.95" customHeight="1" x14ac:dyDescent="0.35">
      <c r="A172" s="199"/>
      <c r="B172" s="234"/>
      <c r="C172" s="217"/>
      <c r="D172" s="111"/>
      <c r="E172" s="217"/>
      <c r="F172" s="217"/>
      <c r="G172" s="217"/>
      <c r="H172" s="107"/>
      <c r="I172" s="108"/>
      <c r="J172" s="109"/>
      <c r="K172" s="110"/>
      <c r="L172" s="111"/>
      <c r="M172" s="111"/>
      <c r="N172" s="111"/>
      <c r="O172" s="134"/>
      <c r="P172" s="111"/>
      <c r="Q172" s="207"/>
      <c r="R172" s="107"/>
      <c r="S172" s="113"/>
      <c r="T172" s="195"/>
      <c r="U172" s="196"/>
      <c r="V172" s="196"/>
      <c r="W172" s="196"/>
      <c r="X172" s="196"/>
      <c r="Y172" s="116"/>
      <c r="Z172" s="195"/>
      <c r="AA172" s="100"/>
      <c r="AB172" s="197"/>
      <c r="AC172" s="116"/>
      <c r="AD172" s="116"/>
      <c r="AE172" s="114"/>
    </row>
    <row r="173" spans="1:31" ht="12.95" customHeight="1" x14ac:dyDescent="0.35">
      <c r="A173" s="219">
        <v>521219</v>
      </c>
      <c r="B173" s="211" t="s">
        <v>165</v>
      </c>
      <c r="C173" s="105"/>
      <c r="D173" s="105"/>
      <c r="E173" s="105"/>
      <c r="F173" s="105"/>
      <c r="G173" s="106"/>
      <c r="H173" s="188"/>
      <c r="I173" s="171"/>
      <c r="J173" s="170"/>
      <c r="K173" s="189"/>
      <c r="L173" s="105"/>
      <c r="M173" s="105"/>
      <c r="N173" s="105"/>
      <c r="O173" s="112"/>
      <c r="P173" s="105"/>
      <c r="Q173" s="212"/>
      <c r="R173" s="188"/>
      <c r="S173" s="113"/>
      <c r="T173" s="190"/>
      <c r="U173" s="191"/>
      <c r="V173" s="191"/>
      <c r="W173" s="191"/>
      <c r="X173" s="191"/>
      <c r="Y173" s="192"/>
      <c r="Z173" s="190"/>
      <c r="AA173" s="100"/>
      <c r="AB173" s="193"/>
      <c r="AC173" s="192"/>
      <c r="AD173" s="192"/>
      <c r="AE173" s="179"/>
    </row>
    <row r="174" spans="1:31" ht="12.95" customHeight="1" x14ac:dyDescent="0.35">
      <c r="A174" s="199"/>
      <c r="B174" s="299" t="s">
        <v>82</v>
      </c>
      <c r="C174" s="300" t="s">
        <v>166</v>
      </c>
      <c r="D174" s="81"/>
      <c r="E174" s="81"/>
      <c r="F174" s="81"/>
      <c r="G174" s="289"/>
      <c r="H174" s="77"/>
      <c r="I174" s="78"/>
      <c r="J174" s="79"/>
      <c r="K174" s="80"/>
      <c r="L174" s="81"/>
      <c r="M174" s="81"/>
      <c r="N174" s="81"/>
      <c r="O174" s="185">
        <v>1</v>
      </c>
      <c r="P174" s="81" t="s">
        <v>83</v>
      </c>
      <c r="Q174" s="144"/>
      <c r="R174" s="77">
        <f>O174*4500000</f>
        <v>4500000</v>
      </c>
      <c r="S174" s="85">
        <f t="shared" ref="S174:S175" si="121">+R174/$R$184*100</f>
        <v>0.20096615595956205</v>
      </c>
      <c r="T174" s="99"/>
      <c r="U174" s="87"/>
      <c r="V174" s="87"/>
      <c r="W174" s="87"/>
      <c r="X174" s="87"/>
      <c r="Y174" s="88">
        <v>0</v>
      </c>
      <c r="Z174" s="99">
        <f t="shared" ref="Z174:Z175" si="122">+Y174/R174*100</f>
        <v>0</v>
      </c>
      <c r="AA174" s="100">
        <f t="shared" ref="AA174:AA175" si="123">Z174</f>
        <v>0</v>
      </c>
      <c r="AB174" s="99">
        <f t="shared" ref="AB174:AB175" si="124">AA174*S174/100</f>
        <v>0</v>
      </c>
      <c r="AC174" s="88"/>
      <c r="AD174" s="88">
        <f t="shared" ref="AD174:AD175" si="125">+R174-Y174</f>
        <v>4500000</v>
      </c>
      <c r="AE174" s="86"/>
    </row>
    <row r="175" spans="1:31" ht="12.95" customHeight="1" x14ac:dyDescent="0.35">
      <c r="A175" s="199"/>
      <c r="B175" s="235" t="s">
        <v>82</v>
      </c>
      <c r="C175" s="216" t="s">
        <v>167</v>
      </c>
      <c r="D175" s="111"/>
      <c r="E175" s="111"/>
      <c r="F175" s="111"/>
      <c r="G175" s="137"/>
      <c r="H175" s="107"/>
      <c r="I175" s="108"/>
      <c r="J175" s="109"/>
      <c r="K175" s="110"/>
      <c r="L175" s="111"/>
      <c r="M175" s="111"/>
      <c r="N175" s="111"/>
      <c r="O175" s="134">
        <v>2</v>
      </c>
      <c r="P175" s="111" t="s">
        <v>147</v>
      </c>
      <c r="Q175" s="207"/>
      <c r="R175" s="107">
        <f>O175*3000000</f>
        <v>6000000</v>
      </c>
      <c r="S175" s="85">
        <f t="shared" si="121"/>
        <v>0.26795487461274942</v>
      </c>
      <c r="T175" s="99"/>
      <c r="U175" s="87"/>
      <c r="V175" s="87"/>
      <c r="W175" s="87"/>
      <c r="X175" s="87"/>
      <c r="Y175" s="88">
        <v>0</v>
      </c>
      <c r="Z175" s="99">
        <f t="shared" si="122"/>
        <v>0</v>
      </c>
      <c r="AA175" s="100">
        <f t="shared" si="123"/>
        <v>0</v>
      </c>
      <c r="AB175" s="99">
        <f t="shared" si="124"/>
        <v>0</v>
      </c>
      <c r="AC175" s="88"/>
      <c r="AD175" s="88">
        <f t="shared" si="125"/>
        <v>6000000</v>
      </c>
      <c r="AE175" s="114"/>
    </row>
    <row r="176" spans="1:31" ht="12.95" customHeight="1" x14ac:dyDescent="0.35">
      <c r="A176" s="199"/>
      <c r="B176" s="235"/>
      <c r="C176" s="216"/>
      <c r="D176" s="111"/>
      <c r="E176" s="111"/>
      <c r="F176" s="111"/>
      <c r="G176" s="137"/>
      <c r="H176" s="107"/>
      <c r="I176" s="108"/>
      <c r="J176" s="109"/>
      <c r="K176" s="110"/>
      <c r="L176" s="111"/>
      <c r="M176" s="111"/>
      <c r="N176" s="111"/>
      <c r="O176" s="134"/>
      <c r="P176" s="111"/>
      <c r="Q176" s="207"/>
      <c r="R176" s="107"/>
      <c r="S176" s="113"/>
      <c r="T176" s="195"/>
      <c r="U176" s="196"/>
      <c r="V176" s="196"/>
      <c r="W176" s="196"/>
      <c r="X176" s="196"/>
      <c r="Y176" s="116"/>
      <c r="Z176" s="195"/>
      <c r="AA176" s="100"/>
      <c r="AB176" s="197"/>
      <c r="AC176" s="116"/>
      <c r="AD176" s="116"/>
      <c r="AE176" s="114"/>
    </row>
    <row r="177" spans="1:32" ht="12.95" customHeight="1" x14ac:dyDescent="0.35">
      <c r="A177" s="219">
        <v>522141</v>
      </c>
      <c r="B177" s="513" t="s">
        <v>168</v>
      </c>
      <c r="C177" s="514"/>
      <c r="D177" s="514"/>
      <c r="E177" s="514"/>
      <c r="F177" s="514"/>
      <c r="G177" s="515"/>
      <c r="H177" s="107"/>
      <c r="I177" s="108"/>
      <c r="J177" s="109"/>
      <c r="K177" s="110"/>
      <c r="L177" s="111"/>
      <c r="M177" s="111"/>
      <c r="N177" s="111"/>
      <c r="O177" s="134"/>
      <c r="P177" s="111"/>
      <c r="Q177" s="207"/>
      <c r="R177" s="107"/>
      <c r="S177" s="113"/>
      <c r="T177" s="195"/>
      <c r="U177" s="196"/>
      <c r="V177" s="196"/>
      <c r="W177" s="196"/>
      <c r="X177" s="196"/>
      <c r="Y177" s="116"/>
      <c r="Z177" s="195"/>
      <c r="AA177" s="100"/>
      <c r="AB177" s="197"/>
      <c r="AC177" s="116"/>
      <c r="AD177" s="116"/>
      <c r="AE177" s="114"/>
    </row>
    <row r="178" spans="1:32" ht="12.95" customHeight="1" x14ac:dyDescent="0.35">
      <c r="A178" s="199"/>
      <c r="B178" s="235" t="s">
        <v>82</v>
      </c>
      <c r="C178" s="216" t="s">
        <v>169</v>
      </c>
      <c r="D178" s="111"/>
      <c r="E178" s="111"/>
      <c r="F178" s="111"/>
      <c r="G178" s="137"/>
      <c r="H178" s="107"/>
      <c r="I178" s="108"/>
      <c r="J178" s="109"/>
      <c r="K178" s="110"/>
      <c r="L178" s="111"/>
      <c r="M178" s="111"/>
      <c r="N178" s="111"/>
      <c r="O178" s="134">
        <v>1</v>
      </c>
      <c r="P178" s="111" t="s">
        <v>83</v>
      </c>
      <c r="Q178" s="207"/>
      <c r="R178" s="107">
        <f>O178*4000000</f>
        <v>4000000</v>
      </c>
      <c r="S178" s="85">
        <f t="shared" ref="S178" si="126">+R178/$R$184*100</f>
        <v>0.17863658307516625</v>
      </c>
      <c r="T178" s="99"/>
      <c r="U178" s="87"/>
      <c r="V178" s="87"/>
      <c r="W178" s="87"/>
      <c r="X178" s="87"/>
      <c r="Y178" s="88">
        <v>0</v>
      </c>
      <c r="Z178" s="99">
        <f t="shared" ref="Z178" si="127">+Y178/R178*100</f>
        <v>0</v>
      </c>
      <c r="AA178" s="100">
        <f t="shared" ref="AA178" si="128">Z178</f>
        <v>0</v>
      </c>
      <c r="AB178" s="99">
        <f t="shared" ref="AB178" si="129">AA178*S178/100</f>
        <v>0</v>
      </c>
      <c r="AC178" s="88"/>
      <c r="AD178" s="88">
        <f t="shared" ref="AD178" si="130">+R178-Y178</f>
        <v>4000000</v>
      </c>
      <c r="AE178" s="86"/>
    </row>
    <row r="179" spans="1:32" ht="12.95" customHeight="1" x14ac:dyDescent="0.35">
      <c r="A179" s="199"/>
      <c r="B179" s="235"/>
      <c r="C179" s="216"/>
      <c r="D179" s="111"/>
      <c r="E179" s="111"/>
      <c r="F179" s="111"/>
      <c r="G179" s="137"/>
      <c r="H179" s="107"/>
      <c r="I179" s="108"/>
      <c r="J179" s="109"/>
      <c r="K179" s="110"/>
      <c r="L179" s="111"/>
      <c r="M179" s="111"/>
      <c r="N179" s="111"/>
      <c r="O179" s="134"/>
      <c r="P179" s="111"/>
      <c r="Q179" s="207"/>
      <c r="R179" s="107"/>
      <c r="S179" s="113"/>
      <c r="T179" s="195"/>
      <c r="U179" s="196"/>
      <c r="V179" s="196"/>
      <c r="W179" s="196"/>
      <c r="X179" s="196"/>
      <c r="Y179" s="116"/>
      <c r="Z179" s="195"/>
      <c r="AA179" s="100"/>
      <c r="AB179" s="197"/>
      <c r="AC179" s="116"/>
      <c r="AD179" s="116"/>
      <c r="AE179" s="114"/>
    </row>
    <row r="180" spans="1:32" ht="12.95" customHeight="1" x14ac:dyDescent="0.35">
      <c r="A180" s="199">
        <v>524111</v>
      </c>
      <c r="B180" s="301" t="s">
        <v>85</v>
      </c>
      <c r="C180" s="216"/>
      <c r="D180" s="111"/>
      <c r="E180" s="111"/>
      <c r="F180" s="111"/>
      <c r="G180" s="137"/>
      <c r="H180" s="107"/>
      <c r="I180" s="108"/>
      <c r="J180" s="109"/>
      <c r="K180" s="110"/>
      <c r="L180" s="111"/>
      <c r="M180" s="111"/>
      <c r="N180" s="111"/>
      <c r="O180" s="134"/>
      <c r="P180" s="111"/>
      <c r="Q180" s="207"/>
      <c r="R180" s="107"/>
      <c r="S180" s="113"/>
      <c r="T180" s="195"/>
      <c r="U180" s="196"/>
      <c r="V180" s="196"/>
      <c r="W180" s="196"/>
      <c r="X180" s="196"/>
      <c r="Y180" s="116"/>
      <c r="Z180" s="195"/>
      <c r="AA180" s="100"/>
      <c r="AB180" s="197"/>
      <c r="AC180" s="116"/>
      <c r="AD180" s="116"/>
      <c r="AE180" s="114"/>
    </row>
    <row r="181" spans="1:32" ht="12.95" customHeight="1" x14ac:dyDescent="0.35">
      <c r="A181" s="199"/>
      <c r="B181" s="230" t="s">
        <v>82</v>
      </c>
      <c r="C181" s="217" t="s">
        <v>102</v>
      </c>
      <c r="D181" s="217"/>
      <c r="E181" s="217"/>
      <c r="F181" s="217"/>
      <c r="G181" s="218"/>
      <c r="H181" s="107"/>
      <c r="I181" s="108"/>
      <c r="J181" s="109"/>
      <c r="K181" s="110"/>
      <c r="L181" s="111"/>
      <c r="M181" s="111"/>
      <c r="N181" s="111"/>
      <c r="O181" s="134">
        <v>1</v>
      </c>
      <c r="P181" s="111" t="s">
        <v>83</v>
      </c>
      <c r="Q181" s="207"/>
      <c r="R181" s="107">
        <f>O181*40500000</f>
        <v>40500000</v>
      </c>
      <c r="S181" s="85">
        <f t="shared" ref="S181" si="131">+R181/$R$184*100</f>
        <v>1.8086954036360583</v>
      </c>
      <c r="T181" s="99"/>
      <c r="U181" s="87"/>
      <c r="V181" s="87"/>
      <c r="W181" s="87"/>
      <c r="X181" s="87"/>
      <c r="Y181" s="88">
        <f>480000+240000+120000+4605000+1550000</f>
        <v>6995000</v>
      </c>
      <c r="Z181" s="99">
        <f t="shared" ref="Z181" si="132">+Y181/R181*100</f>
        <v>17.271604938271604</v>
      </c>
      <c r="AA181" s="100">
        <f>1/12*Z181</f>
        <v>1.4393004115226335</v>
      </c>
      <c r="AB181" s="99">
        <f t="shared" ref="AB181" si="133">AA181*S181/100</f>
        <v>2.6032560387724744E-2</v>
      </c>
      <c r="AC181" s="88"/>
      <c r="AD181" s="88">
        <f t="shared" ref="AD181" si="134">+R181-Y181</f>
        <v>33505000</v>
      </c>
      <c r="AE181" s="86"/>
    </row>
    <row r="182" spans="1:32" ht="12.95" customHeight="1" x14ac:dyDescent="0.35">
      <c r="A182" s="302"/>
      <c r="B182" s="303"/>
      <c r="C182" s="304"/>
      <c r="D182" s="278"/>
      <c r="E182" s="278"/>
      <c r="F182" s="278"/>
      <c r="G182" s="101"/>
      <c r="H182" s="173"/>
      <c r="I182" s="290"/>
      <c r="J182" s="291"/>
      <c r="K182" s="292"/>
      <c r="L182" s="278"/>
      <c r="M182" s="278"/>
      <c r="N182" s="278"/>
      <c r="O182" s="293"/>
      <c r="P182" s="278"/>
      <c r="Q182" s="294"/>
      <c r="R182" s="173"/>
      <c r="S182" s="305"/>
      <c r="T182" s="175"/>
      <c r="U182" s="306"/>
      <c r="V182" s="306"/>
      <c r="W182" s="306"/>
      <c r="X182" s="306"/>
      <c r="Y182" s="177"/>
      <c r="Z182" s="175"/>
      <c r="AA182" s="178"/>
      <c r="AB182" s="295"/>
      <c r="AC182" s="177"/>
      <c r="AD182" s="177"/>
      <c r="AE182" s="174"/>
      <c r="AF182" s="90"/>
    </row>
    <row r="183" spans="1:32" ht="12.95" customHeight="1" x14ac:dyDescent="0.35">
      <c r="A183" s="199"/>
      <c r="B183" s="396"/>
      <c r="C183" s="217"/>
      <c r="D183" s="111"/>
      <c r="E183" s="217"/>
      <c r="F183" s="217"/>
      <c r="G183" s="217"/>
      <c r="H183" s="107"/>
      <c r="I183" s="108"/>
      <c r="J183" s="109"/>
      <c r="K183" s="110"/>
      <c r="L183" s="111"/>
      <c r="M183" s="111"/>
      <c r="N183" s="111"/>
      <c r="O183" s="134"/>
      <c r="P183" s="111"/>
      <c r="Q183" s="207"/>
      <c r="R183" s="107"/>
      <c r="S183" s="113"/>
      <c r="T183" s="195"/>
      <c r="U183" s="196"/>
      <c r="V183" s="196"/>
      <c r="W183" s="196"/>
      <c r="X183" s="196"/>
      <c r="Y183" s="116"/>
      <c r="Z183" s="195"/>
      <c r="AA183" s="202"/>
      <c r="AB183" s="197"/>
      <c r="AC183" s="116"/>
      <c r="AD183" s="116"/>
      <c r="AE183" s="114"/>
    </row>
    <row r="184" spans="1:32" s="28" customFormat="1" ht="14.25" customHeight="1" thickBot="1" x14ac:dyDescent="0.4">
      <c r="A184" s="238"/>
      <c r="B184" s="239" t="s">
        <v>171</v>
      </c>
      <c r="C184" s="240"/>
      <c r="D184" s="241"/>
      <c r="E184" s="241"/>
      <c r="F184" s="241"/>
      <c r="G184" s="242"/>
      <c r="H184" s="243"/>
      <c r="I184" s="244"/>
      <c r="J184" s="245"/>
      <c r="K184" s="246"/>
      <c r="L184" s="241"/>
      <c r="M184" s="241"/>
      <c r="N184" s="241"/>
      <c r="O184" s="247"/>
      <c r="P184" s="248"/>
      <c r="Q184" s="249"/>
      <c r="R184" s="250">
        <f>SUM(R17:R183)</f>
        <v>2239183000</v>
      </c>
      <c r="S184" s="251">
        <f>SUM(S26:S183)</f>
        <v>100.00000000000001</v>
      </c>
      <c r="T184" s="251">
        <f>SUM(T66:T183)</f>
        <v>0</v>
      </c>
      <c r="U184" s="252" t="s">
        <v>82</v>
      </c>
      <c r="V184" s="252" t="s">
        <v>82</v>
      </c>
      <c r="W184" s="252" t="s">
        <v>82</v>
      </c>
      <c r="X184" s="252" t="s">
        <v>82</v>
      </c>
      <c r="Y184" s="253">
        <f>SUM(Y17:Y183)</f>
        <v>209075699</v>
      </c>
      <c r="Z184" s="251">
        <f>+Y184/R184*100</f>
        <v>9.3371421183529879</v>
      </c>
      <c r="AA184" s="254">
        <f>SUM(AA17:AA183)</f>
        <v>48.296269482490388</v>
      </c>
      <c r="AB184" s="254">
        <f>SUM(AB17:AB183)</f>
        <v>1.2391827648532439</v>
      </c>
      <c r="AC184" s="253">
        <f>SUM(AC17:AC183)</f>
        <v>0</v>
      </c>
      <c r="AD184" s="253">
        <f>SUM(AD17:AD183)</f>
        <v>2030107301</v>
      </c>
      <c r="AE184" s="255"/>
    </row>
    <row r="185" spans="1:32" ht="12.95" customHeight="1" thickTop="1" x14ac:dyDescent="0.35">
      <c r="A185" s="256"/>
      <c r="B185" s="389"/>
      <c r="C185" s="257"/>
      <c r="D185" s="13"/>
      <c r="E185" s="14"/>
      <c r="F185" s="14"/>
      <c r="G185" s="14"/>
      <c r="H185" s="258"/>
      <c r="I185" s="258"/>
      <c r="J185" s="258"/>
      <c r="K185" s="259"/>
    </row>
    <row r="186" spans="1:32" ht="12.95" customHeight="1" x14ac:dyDescent="0.35">
      <c r="A186" s="261"/>
      <c r="B186" s="262"/>
      <c r="C186" s="262"/>
      <c r="G186" s="516"/>
      <c r="H186" s="516"/>
      <c r="I186" s="516"/>
      <c r="J186" s="516"/>
      <c r="K186" s="516"/>
      <c r="AB186" s="502" t="s">
        <v>268</v>
      </c>
      <c r="AC186" s="502"/>
      <c r="AD186" s="502"/>
      <c r="AE186" s="502"/>
    </row>
    <row r="187" spans="1:32" ht="12.95" customHeight="1" x14ac:dyDescent="0.35">
      <c r="A187" s="261"/>
      <c r="B187" s="262"/>
      <c r="C187" s="262"/>
      <c r="G187" s="265"/>
      <c r="H187" s="266"/>
      <c r="I187" s="266"/>
      <c r="J187" s="266"/>
      <c r="K187" s="266"/>
      <c r="Q187" s="267" t="s">
        <v>172</v>
      </c>
    </row>
    <row r="188" spans="1:32" ht="12.95" customHeight="1" x14ac:dyDescent="0.35">
      <c r="A188" s="261"/>
      <c r="B188" s="262"/>
      <c r="C188" s="268"/>
      <c r="G188" s="265"/>
      <c r="H188" s="265"/>
      <c r="I188" s="265"/>
      <c r="J188" s="265"/>
      <c r="K188" s="265"/>
      <c r="Q188" s="267" t="s">
        <v>173</v>
      </c>
      <c r="AB188" s="502" t="s">
        <v>174</v>
      </c>
      <c r="AC188" s="502"/>
      <c r="AD188" s="502"/>
      <c r="AE188" s="502"/>
    </row>
    <row r="189" spans="1:32" ht="12.95" customHeight="1" x14ac:dyDescent="0.35">
      <c r="A189" s="261"/>
      <c r="B189" s="262"/>
      <c r="C189" s="262"/>
      <c r="G189" s="269"/>
      <c r="H189" s="269"/>
      <c r="I189" s="269"/>
      <c r="J189" s="269"/>
      <c r="K189" s="269"/>
      <c r="Q189" s="270" t="s">
        <v>175</v>
      </c>
    </row>
    <row r="190" spans="1:32" ht="12.95" customHeight="1" x14ac:dyDescent="0.35">
      <c r="A190" s="261"/>
      <c r="B190" s="262"/>
      <c r="C190" s="262"/>
      <c r="G190" s="28"/>
      <c r="H190" s="28"/>
      <c r="I190" s="271"/>
      <c r="J190" s="271"/>
      <c r="K190" s="272"/>
    </row>
    <row r="191" spans="1:32" ht="12.95" customHeight="1" x14ac:dyDescent="0.35">
      <c r="A191" s="273"/>
      <c r="G191" s="28"/>
      <c r="H191" s="28"/>
      <c r="I191" s="271"/>
      <c r="J191" s="271"/>
      <c r="K191" s="272"/>
      <c r="AB191" s="517" t="s">
        <v>176</v>
      </c>
      <c r="AC191" s="517"/>
      <c r="AD191" s="517"/>
      <c r="AE191" s="517"/>
    </row>
    <row r="192" spans="1:32" ht="12.95" customHeight="1" x14ac:dyDescent="0.35">
      <c r="A192" s="273"/>
      <c r="H192" s="13"/>
      <c r="I192" s="13"/>
      <c r="J192" s="272"/>
      <c r="K192" s="274"/>
      <c r="AB192" s="502" t="s">
        <v>177</v>
      </c>
      <c r="AC192" s="502"/>
      <c r="AD192" s="502"/>
      <c r="AE192" s="502"/>
    </row>
    <row r="193" spans="1:17" ht="18" customHeight="1" x14ac:dyDescent="0.35">
      <c r="A193" s="273"/>
      <c r="H193" s="13"/>
      <c r="I193" s="13"/>
      <c r="J193" s="272"/>
      <c r="K193" s="274"/>
      <c r="Q193" s="267" t="s">
        <v>178</v>
      </c>
    </row>
    <row r="194" spans="1:17" ht="18" customHeight="1" x14ac:dyDescent="0.35">
      <c r="A194" s="273"/>
      <c r="H194" s="268"/>
      <c r="I194" s="268"/>
      <c r="J194" s="268"/>
      <c r="K194" s="268"/>
    </row>
  </sheetData>
  <mergeCells count="34">
    <mergeCell ref="A1:S1"/>
    <mergeCell ref="A2:AE2"/>
    <mergeCell ref="A3:AE3"/>
    <mergeCell ref="F7:G7"/>
    <mergeCell ref="W11:X12"/>
    <mergeCell ref="Y11:Z11"/>
    <mergeCell ref="AA11:AB11"/>
    <mergeCell ref="AC11:AD12"/>
    <mergeCell ref="AE11:AE15"/>
    <mergeCell ref="A12:A15"/>
    <mergeCell ref="B12:G15"/>
    <mergeCell ref="H12:K12"/>
    <mergeCell ref="O12:P15"/>
    <mergeCell ref="Q12:Q15"/>
    <mergeCell ref="R12:R15"/>
    <mergeCell ref="T12:U12"/>
    <mergeCell ref="Y12:Z12"/>
    <mergeCell ref="AA12:AB12"/>
    <mergeCell ref="H13:I15"/>
    <mergeCell ref="J13:J15"/>
    <mergeCell ref="K13:K15"/>
    <mergeCell ref="S12:S15"/>
    <mergeCell ref="AB192:AE192"/>
    <mergeCell ref="B16:G16"/>
    <mergeCell ref="H16:I16"/>
    <mergeCell ref="O16:P16"/>
    <mergeCell ref="D68:G68"/>
    <mergeCell ref="B139:G139"/>
    <mergeCell ref="C167:G167"/>
    <mergeCell ref="B177:G177"/>
    <mergeCell ref="G186:K186"/>
    <mergeCell ref="AB186:AE186"/>
    <mergeCell ref="AB188:AE188"/>
    <mergeCell ref="AB191:AE191"/>
  </mergeCells>
  <printOptions horizontalCentered="1"/>
  <pageMargins left="0.25" right="0.25" top="0.5" bottom="0.5" header="0.511811023622047" footer="0.511811023622047"/>
  <pageSetup paperSize="5" scale="75" orientation="landscape" horizontalDpi="4294967294" r:id="rId1"/>
  <headerFooter alignWithMargins="0"/>
  <rowBreaks count="1" manualBreakCount="1">
    <brk id="92" max="16383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3"/>
  </sheetPr>
  <dimension ref="A1:AO194"/>
  <sheetViews>
    <sheetView view="pageBreakPreview" topLeftCell="A173" zoomScale="91" zoomScaleSheetLayoutView="91" workbookViewId="0">
      <selection activeCell="Y181" sqref="Y181"/>
    </sheetView>
  </sheetViews>
  <sheetFormatPr defaultRowHeight="18" customHeight="1" x14ac:dyDescent="0.35"/>
  <cols>
    <col min="1" max="1" width="12.28515625" style="275" customWidth="1"/>
    <col min="2" max="2" width="2.42578125" style="263" customWidth="1"/>
    <col min="3" max="3" width="3.42578125" style="263" customWidth="1"/>
    <col min="4" max="4" width="13.28515625" style="263" customWidth="1"/>
    <col min="5" max="5" width="3.140625" style="263" customWidth="1"/>
    <col min="6" max="6" width="5.140625" style="263" customWidth="1"/>
    <col min="7" max="7" width="16.42578125" style="13" customWidth="1"/>
    <col min="8" max="8" width="6.85546875" style="263" hidden="1" customWidth="1"/>
    <col min="9" max="9" width="5.28515625" style="263" hidden="1" customWidth="1"/>
    <col min="10" max="10" width="16.140625" style="276" hidden="1" customWidth="1"/>
    <col min="11" max="11" width="22.42578125" style="277" hidden="1" customWidth="1"/>
    <col min="12" max="14" width="9.140625" style="13" hidden="1" customWidth="1"/>
    <col min="15" max="15" width="4.140625" style="13" customWidth="1"/>
    <col min="16" max="16" width="5.7109375" style="13" customWidth="1"/>
    <col min="17" max="17" width="16.140625" style="13" hidden="1" customWidth="1"/>
    <col min="18" max="18" width="15.7109375" style="13" customWidth="1"/>
    <col min="19" max="19" width="7.7109375" style="260" customWidth="1"/>
    <col min="20" max="20" width="9.140625" style="13"/>
    <col min="21" max="21" width="10.85546875" style="13" customWidth="1"/>
    <col min="22" max="22" width="9.7109375" style="13" customWidth="1"/>
    <col min="23" max="23" width="8.85546875" style="13" customWidth="1"/>
    <col min="24" max="24" width="10.7109375" style="13" customWidth="1"/>
    <col min="25" max="25" width="16" style="13" customWidth="1"/>
    <col min="26" max="26" width="8.7109375" style="13" customWidth="1"/>
    <col min="27" max="27" width="6.5703125" style="13" bestFit="1" customWidth="1"/>
    <col min="28" max="28" width="8.7109375" style="13" customWidth="1"/>
    <col min="29" max="29" width="16" style="13" customWidth="1"/>
    <col min="30" max="30" width="16.140625" style="13" bestFit="1" customWidth="1"/>
    <col min="31" max="31" width="9.42578125" style="13" customWidth="1"/>
    <col min="32" max="256" width="9.140625" style="13"/>
    <col min="257" max="257" width="12.28515625" style="13" customWidth="1"/>
    <col min="258" max="258" width="2.42578125" style="13" customWidth="1"/>
    <col min="259" max="259" width="3.42578125" style="13" customWidth="1"/>
    <col min="260" max="260" width="13.28515625" style="13" customWidth="1"/>
    <col min="261" max="261" width="3.140625" style="13" customWidth="1"/>
    <col min="262" max="262" width="5.140625" style="13" customWidth="1"/>
    <col min="263" max="263" width="16.42578125" style="13" customWidth="1"/>
    <col min="264" max="270" width="0" style="13" hidden="1" customWidth="1"/>
    <col min="271" max="271" width="4.140625" style="13" customWidth="1"/>
    <col min="272" max="272" width="5.7109375" style="13" customWidth="1"/>
    <col min="273" max="273" width="0" style="13" hidden="1" customWidth="1"/>
    <col min="274" max="274" width="15.7109375" style="13" customWidth="1"/>
    <col min="275" max="275" width="7.7109375" style="13" customWidth="1"/>
    <col min="276" max="276" width="9.140625" style="13"/>
    <col min="277" max="277" width="10.85546875" style="13" customWidth="1"/>
    <col min="278" max="278" width="9.7109375" style="13" customWidth="1"/>
    <col min="279" max="279" width="8.85546875" style="13" customWidth="1"/>
    <col min="280" max="280" width="10.7109375" style="13" customWidth="1"/>
    <col min="281" max="281" width="16" style="13" customWidth="1"/>
    <col min="282" max="282" width="8.7109375" style="13" customWidth="1"/>
    <col min="283" max="283" width="6.5703125" style="13" bestFit="1" customWidth="1"/>
    <col min="284" max="284" width="8.7109375" style="13" customWidth="1"/>
    <col min="285" max="285" width="16" style="13" customWidth="1"/>
    <col min="286" max="286" width="15" style="13" customWidth="1"/>
    <col min="287" max="287" width="9.42578125" style="13" customWidth="1"/>
    <col min="288" max="512" width="9.140625" style="13"/>
    <col min="513" max="513" width="12.28515625" style="13" customWidth="1"/>
    <col min="514" max="514" width="2.42578125" style="13" customWidth="1"/>
    <col min="515" max="515" width="3.42578125" style="13" customWidth="1"/>
    <col min="516" max="516" width="13.28515625" style="13" customWidth="1"/>
    <col min="517" max="517" width="3.140625" style="13" customWidth="1"/>
    <col min="518" max="518" width="5.140625" style="13" customWidth="1"/>
    <col min="519" max="519" width="16.42578125" style="13" customWidth="1"/>
    <col min="520" max="526" width="0" style="13" hidden="1" customWidth="1"/>
    <col min="527" max="527" width="4.140625" style="13" customWidth="1"/>
    <col min="528" max="528" width="5.7109375" style="13" customWidth="1"/>
    <col min="529" max="529" width="0" style="13" hidden="1" customWidth="1"/>
    <col min="530" max="530" width="15.7109375" style="13" customWidth="1"/>
    <col min="531" max="531" width="7.7109375" style="13" customWidth="1"/>
    <col min="532" max="532" width="9.140625" style="13"/>
    <col min="533" max="533" width="10.85546875" style="13" customWidth="1"/>
    <col min="534" max="534" width="9.7109375" style="13" customWidth="1"/>
    <col min="535" max="535" width="8.85546875" style="13" customWidth="1"/>
    <col min="536" max="536" width="10.7109375" style="13" customWidth="1"/>
    <col min="537" max="537" width="16" style="13" customWidth="1"/>
    <col min="538" max="538" width="8.7109375" style="13" customWidth="1"/>
    <col min="539" max="539" width="6.5703125" style="13" bestFit="1" customWidth="1"/>
    <col min="540" max="540" width="8.7109375" style="13" customWidth="1"/>
    <col min="541" max="541" width="16" style="13" customWidth="1"/>
    <col min="542" max="542" width="15" style="13" customWidth="1"/>
    <col min="543" max="543" width="9.42578125" style="13" customWidth="1"/>
    <col min="544" max="768" width="9.140625" style="13"/>
    <col min="769" max="769" width="12.28515625" style="13" customWidth="1"/>
    <col min="770" max="770" width="2.42578125" style="13" customWidth="1"/>
    <col min="771" max="771" width="3.42578125" style="13" customWidth="1"/>
    <col min="772" max="772" width="13.28515625" style="13" customWidth="1"/>
    <col min="773" max="773" width="3.140625" style="13" customWidth="1"/>
    <col min="774" max="774" width="5.140625" style="13" customWidth="1"/>
    <col min="775" max="775" width="16.42578125" style="13" customWidth="1"/>
    <col min="776" max="782" width="0" style="13" hidden="1" customWidth="1"/>
    <col min="783" max="783" width="4.140625" style="13" customWidth="1"/>
    <col min="784" max="784" width="5.7109375" style="13" customWidth="1"/>
    <col min="785" max="785" width="0" style="13" hidden="1" customWidth="1"/>
    <col min="786" max="786" width="15.7109375" style="13" customWidth="1"/>
    <col min="787" max="787" width="7.7109375" style="13" customWidth="1"/>
    <col min="788" max="788" width="9.140625" style="13"/>
    <col min="789" max="789" width="10.85546875" style="13" customWidth="1"/>
    <col min="790" max="790" width="9.7109375" style="13" customWidth="1"/>
    <col min="791" max="791" width="8.85546875" style="13" customWidth="1"/>
    <col min="792" max="792" width="10.7109375" style="13" customWidth="1"/>
    <col min="793" max="793" width="16" style="13" customWidth="1"/>
    <col min="794" max="794" width="8.7109375" style="13" customWidth="1"/>
    <col min="795" max="795" width="6.5703125" style="13" bestFit="1" customWidth="1"/>
    <col min="796" max="796" width="8.7109375" style="13" customWidth="1"/>
    <col min="797" max="797" width="16" style="13" customWidth="1"/>
    <col min="798" max="798" width="15" style="13" customWidth="1"/>
    <col min="799" max="799" width="9.42578125" style="13" customWidth="1"/>
    <col min="800" max="1024" width="9.140625" style="13"/>
    <col min="1025" max="1025" width="12.28515625" style="13" customWidth="1"/>
    <col min="1026" max="1026" width="2.42578125" style="13" customWidth="1"/>
    <col min="1027" max="1027" width="3.42578125" style="13" customWidth="1"/>
    <col min="1028" max="1028" width="13.28515625" style="13" customWidth="1"/>
    <col min="1029" max="1029" width="3.140625" style="13" customWidth="1"/>
    <col min="1030" max="1030" width="5.140625" style="13" customWidth="1"/>
    <col min="1031" max="1031" width="16.42578125" style="13" customWidth="1"/>
    <col min="1032" max="1038" width="0" style="13" hidden="1" customWidth="1"/>
    <col min="1039" max="1039" width="4.140625" style="13" customWidth="1"/>
    <col min="1040" max="1040" width="5.7109375" style="13" customWidth="1"/>
    <col min="1041" max="1041" width="0" style="13" hidden="1" customWidth="1"/>
    <col min="1042" max="1042" width="15.7109375" style="13" customWidth="1"/>
    <col min="1043" max="1043" width="7.7109375" style="13" customWidth="1"/>
    <col min="1044" max="1044" width="9.140625" style="13"/>
    <col min="1045" max="1045" width="10.85546875" style="13" customWidth="1"/>
    <col min="1046" max="1046" width="9.7109375" style="13" customWidth="1"/>
    <col min="1047" max="1047" width="8.85546875" style="13" customWidth="1"/>
    <col min="1048" max="1048" width="10.7109375" style="13" customWidth="1"/>
    <col min="1049" max="1049" width="16" style="13" customWidth="1"/>
    <col min="1050" max="1050" width="8.7109375" style="13" customWidth="1"/>
    <col min="1051" max="1051" width="6.5703125" style="13" bestFit="1" customWidth="1"/>
    <col min="1052" max="1052" width="8.7109375" style="13" customWidth="1"/>
    <col min="1053" max="1053" width="16" style="13" customWidth="1"/>
    <col min="1054" max="1054" width="15" style="13" customWidth="1"/>
    <col min="1055" max="1055" width="9.42578125" style="13" customWidth="1"/>
    <col min="1056" max="1280" width="9.140625" style="13"/>
    <col min="1281" max="1281" width="12.28515625" style="13" customWidth="1"/>
    <col min="1282" max="1282" width="2.42578125" style="13" customWidth="1"/>
    <col min="1283" max="1283" width="3.42578125" style="13" customWidth="1"/>
    <col min="1284" max="1284" width="13.28515625" style="13" customWidth="1"/>
    <col min="1285" max="1285" width="3.140625" style="13" customWidth="1"/>
    <col min="1286" max="1286" width="5.140625" style="13" customWidth="1"/>
    <col min="1287" max="1287" width="16.42578125" style="13" customWidth="1"/>
    <col min="1288" max="1294" width="0" style="13" hidden="1" customWidth="1"/>
    <col min="1295" max="1295" width="4.140625" style="13" customWidth="1"/>
    <col min="1296" max="1296" width="5.7109375" style="13" customWidth="1"/>
    <col min="1297" max="1297" width="0" style="13" hidden="1" customWidth="1"/>
    <col min="1298" max="1298" width="15.7109375" style="13" customWidth="1"/>
    <col min="1299" max="1299" width="7.7109375" style="13" customWidth="1"/>
    <col min="1300" max="1300" width="9.140625" style="13"/>
    <col min="1301" max="1301" width="10.85546875" style="13" customWidth="1"/>
    <col min="1302" max="1302" width="9.7109375" style="13" customWidth="1"/>
    <col min="1303" max="1303" width="8.85546875" style="13" customWidth="1"/>
    <col min="1304" max="1304" width="10.7109375" style="13" customWidth="1"/>
    <col min="1305" max="1305" width="16" style="13" customWidth="1"/>
    <col min="1306" max="1306" width="8.7109375" style="13" customWidth="1"/>
    <col min="1307" max="1307" width="6.5703125" style="13" bestFit="1" customWidth="1"/>
    <col min="1308" max="1308" width="8.7109375" style="13" customWidth="1"/>
    <col min="1309" max="1309" width="16" style="13" customWidth="1"/>
    <col min="1310" max="1310" width="15" style="13" customWidth="1"/>
    <col min="1311" max="1311" width="9.42578125" style="13" customWidth="1"/>
    <col min="1312" max="1536" width="9.140625" style="13"/>
    <col min="1537" max="1537" width="12.28515625" style="13" customWidth="1"/>
    <col min="1538" max="1538" width="2.42578125" style="13" customWidth="1"/>
    <col min="1539" max="1539" width="3.42578125" style="13" customWidth="1"/>
    <col min="1540" max="1540" width="13.28515625" style="13" customWidth="1"/>
    <col min="1541" max="1541" width="3.140625" style="13" customWidth="1"/>
    <col min="1542" max="1542" width="5.140625" style="13" customWidth="1"/>
    <col min="1543" max="1543" width="16.42578125" style="13" customWidth="1"/>
    <col min="1544" max="1550" width="0" style="13" hidden="1" customWidth="1"/>
    <col min="1551" max="1551" width="4.140625" style="13" customWidth="1"/>
    <col min="1552" max="1552" width="5.7109375" style="13" customWidth="1"/>
    <col min="1553" max="1553" width="0" style="13" hidden="1" customWidth="1"/>
    <col min="1554" max="1554" width="15.7109375" style="13" customWidth="1"/>
    <col min="1555" max="1555" width="7.7109375" style="13" customWidth="1"/>
    <col min="1556" max="1556" width="9.140625" style="13"/>
    <col min="1557" max="1557" width="10.85546875" style="13" customWidth="1"/>
    <col min="1558" max="1558" width="9.7109375" style="13" customWidth="1"/>
    <col min="1559" max="1559" width="8.85546875" style="13" customWidth="1"/>
    <col min="1560" max="1560" width="10.7109375" style="13" customWidth="1"/>
    <col min="1561" max="1561" width="16" style="13" customWidth="1"/>
    <col min="1562" max="1562" width="8.7109375" style="13" customWidth="1"/>
    <col min="1563" max="1563" width="6.5703125" style="13" bestFit="1" customWidth="1"/>
    <col min="1564" max="1564" width="8.7109375" style="13" customWidth="1"/>
    <col min="1565" max="1565" width="16" style="13" customWidth="1"/>
    <col min="1566" max="1566" width="15" style="13" customWidth="1"/>
    <col min="1567" max="1567" width="9.42578125" style="13" customWidth="1"/>
    <col min="1568" max="1792" width="9.140625" style="13"/>
    <col min="1793" max="1793" width="12.28515625" style="13" customWidth="1"/>
    <col min="1794" max="1794" width="2.42578125" style="13" customWidth="1"/>
    <col min="1795" max="1795" width="3.42578125" style="13" customWidth="1"/>
    <col min="1796" max="1796" width="13.28515625" style="13" customWidth="1"/>
    <col min="1797" max="1797" width="3.140625" style="13" customWidth="1"/>
    <col min="1798" max="1798" width="5.140625" style="13" customWidth="1"/>
    <col min="1799" max="1799" width="16.42578125" style="13" customWidth="1"/>
    <col min="1800" max="1806" width="0" style="13" hidden="1" customWidth="1"/>
    <col min="1807" max="1807" width="4.140625" style="13" customWidth="1"/>
    <col min="1808" max="1808" width="5.7109375" style="13" customWidth="1"/>
    <col min="1809" max="1809" width="0" style="13" hidden="1" customWidth="1"/>
    <col min="1810" max="1810" width="15.7109375" style="13" customWidth="1"/>
    <col min="1811" max="1811" width="7.7109375" style="13" customWidth="1"/>
    <col min="1812" max="1812" width="9.140625" style="13"/>
    <col min="1813" max="1813" width="10.85546875" style="13" customWidth="1"/>
    <col min="1814" max="1814" width="9.7109375" style="13" customWidth="1"/>
    <col min="1815" max="1815" width="8.85546875" style="13" customWidth="1"/>
    <col min="1816" max="1816" width="10.7109375" style="13" customWidth="1"/>
    <col min="1817" max="1817" width="16" style="13" customWidth="1"/>
    <col min="1818" max="1818" width="8.7109375" style="13" customWidth="1"/>
    <col min="1819" max="1819" width="6.5703125" style="13" bestFit="1" customWidth="1"/>
    <col min="1820" max="1820" width="8.7109375" style="13" customWidth="1"/>
    <col min="1821" max="1821" width="16" style="13" customWidth="1"/>
    <col min="1822" max="1822" width="15" style="13" customWidth="1"/>
    <col min="1823" max="1823" width="9.42578125" style="13" customWidth="1"/>
    <col min="1824" max="2048" width="9.140625" style="13"/>
    <col min="2049" max="2049" width="12.28515625" style="13" customWidth="1"/>
    <col min="2050" max="2050" width="2.42578125" style="13" customWidth="1"/>
    <col min="2051" max="2051" width="3.42578125" style="13" customWidth="1"/>
    <col min="2052" max="2052" width="13.28515625" style="13" customWidth="1"/>
    <col min="2053" max="2053" width="3.140625" style="13" customWidth="1"/>
    <col min="2054" max="2054" width="5.140625" style="13" customWidth="1"/>
    <col min="2055" max="2055" width="16.42578125" style="13" customWidth="1"/>
    <col min="2056" max="2062" width="0" style="13" hidden="1" customWidth="1"/>
    <col min="2063" max="2063" width="4.140625" style="13" customWidth="1"/>
    <col min="2064" max="2064" width="5.7109375" style="13" customWidth="1"/>
    <col min="2065" max="2065" width="0" style="13" hidden="1" customWidth="1"/>
    <col min="2066" max="2066" width="15.7109375" style="13" customWidth="1"/>
    <col min="2067" max="2067" width="7.7109375" style="13" customWidth="1"/>
    <col min="2068" max="2068" width="9.140625" style="13"/>
    <col min="2069" max="2069" width="10.85546875" style="13" customWidth="1"/>
    <col min="2070" max="2070" width="9.7109375" style="13" customWidth="1"/>
    <col min="2071" max="2071" width="8.85546875" style="13" customWidth="1"/>
    <col min="2072" max="2072" width="10.7109375" style="13" customWidth="1"/>
    <col min="2073" max="2073" width="16" style="13" customWidth="1"/>
    <col min="2074" max="2074" width="8.7109375" style="13" customWidth="1"/>
    <col min="2075" max="2075" width="6.5703125" style="13" bestFit="1" customWidth="1"/>
    <col min="2076" max="2076" width="8.7109375" style="13" customWidth="1"/>
    <col min="2077" max="2077" width="16" style="13" customWidth="1"/>
    <col min="2078" max="2078" width="15" style="13" customWidth="1"/>
    <col min="2079" max="2079" width="9.42578125" style="13" customWidth="1"/>
    <col min="2080" max="2304" width="9.140625" style="13"/>
    <col min="2305" max="2305" width="12.28515625" style="13" customWidth="1"/>
    <col min="2306" max="2306" width="2.42578125" style="13" customWidth="1"/>
    <col min="2307" max="2307" width="3.42578125" style="13" customWidth="1"/>
    <col min="2308" max="2308" width="13.28515625" style="13" customWidth="1"/>
    <col min="2309" max="2309" width="3.140625" style="13" customWidth="1"/>
    <col min="2310" max="2310" width="5.140625" style="13" customWidth="1"/>
    <col min="2311" max="2311" width="16.42578125" style="13" customWidth="1"/>
    <col min="2312" max="2318" width="0" style="13" hidden="1" customWidth="1"/>
    <col min="2319" max="2319" width="4.140625" style="13" customWidth="1"/>
    <col min="2320" max="2320" width="5.7109375" style="13" customWidth="1"/>
    <col min="2321" max="2321" width="0" style="13" hidden="1" customWidth="1"/>
    <col min="2322" max="2322" width="15.7109375" style="13" customWidth="1"/>
    <col min="2323" max="2323" width="7.7109375" style="13" customWidth="1"/>
    <col min="2324" max="2324" width="9.140625" style="13"/>
    <col min="2325" max="2325" width="10.85546875" style="13" customWidth="1"/>
    <col min="2326" max="2326" width="9.7109375" style="13" customWidth="1"/>
    <col min="2327" max="2327" width="8.85546875" style="13" customWidth="1"/>
    <col min="2328" max="2328" width="10.7109375" style="13" customWidth="1"/>
    <col min="2329" max="2329" width="16" style="13" customWidth="1"/>
    <col min="2330" max="2330" width="8.7109375" style="13" customWidth="1"/>
    <col min="2331" max="2331" width="6.5703125" style="13" bestFit="1" customWidth="1"/>
    <col min="2332" max="2332" width="8.7109375" style="13" customWidth="1"/>
    <col min="2333" max="2333" width="16" style="13" customWidth="1"/>
    <col min="2334" max="2334" width="15" style="13" customWidth="1"/>
    <col min="2335" max="2335" width="9.42578125" style="13" customWidth="1"/>
    <col min="2336" max="2560" width="9.140625" style="13"/>
    <col min="2561" max="2561" width="12.28515625" style="13" customWidth="1"/>
    <col min="2562" max="2562" width="2.42578125" style="13" customWidth="1"/>
    <col min="2563" max="2563" width="3.42578125" style="13" customWidth="1"/>
    <col min="2564" max="2564" width="13.28515625" style="13" customWidth="1"/>
    <col min="2565" max="2565" width="3.140625" style="13" customWidth="1"/>
    <col min="2566" max="2566" width="5.140625" style="13" customWidth="1"/>
    <col min="2567" max="2567" width="16.42578125" style="13" customWidth="1"/>
    <col min="2568" max="2574" width="0" style="13" hidden="1" customWidth="1"/>
    <col min="2575" max="2575" width="4.140625" style="13" customWidth="1"/>
    <col min="2576" max="2576" width="5.7109375" style="13" customWidth="1"/>
    <col min="2577" max="2577" width="0" style="13" hidden="1" customWidth="1"/>
    <col min="2578" max="2578" width="15.7109375" style="13" customWidth="1"/>
    <col min="2579" max="2579" width="7.7109375" style="13" customWidth="1"/>
    <col min="2580" max="2580" width="9.140625" style="13"/>
    <col min="2581" max="2581" width="10.85546875" style="13" customWidth="1"/>
    <col min="2582" max="2582" width="9.7109375" style="13" customWidth="1"/>
    <col min="2583" max="2583" width="8.85546875" style="13" customWidth="1"/>
    <col min="2584" max="2584" width="10.7109375" style="13" customWidth="1"/>
    <col min="2585" max="2585" width="16" style="13" customWidth="1"/>
    <col min="2586" max="2586" width="8.7109375" style="13" customWidth="1"/>
    <col min="2587" max="2587" width="6.5703125" style="13" bestFit="1" customWidth="1"/>
    <col min="2588" max="2588" width="8.7109375" style="13" customWidth="1"/>
    <col min="2589" max="2589" width="16" style="13" customWidth="1"/>
    <col min="2590" max="2590" width="15" style="13" customWidth="1"/>
    <col min="2591" max="2591" width="9.42578125" style="13" customWidth="1"/>
    <col min="2592" max="2816" width="9.140625" style="13"/>
    <col min="2817" max="2817" width="12.28515625" style="13" customWidth="1"/>
    <col min="2818" max="2818" width="2.42578125" style="13" customWidth="1"/>
    <col min="2819" max="2819" width="3.42578125" style="13" customWidth="1"/>
    <col min="2820" max="2820" width="13.28515625" style="13" customWidth="1"/>
    <col min="2821" max="2821" width="3.140625" style="13" customWidth="1"/>
    <col min="2822" max="2822" width="5.140625" style="13" customWidth="1"/>
    <col min="2823" max="2823" width="16.42578125" style="13" customWidth="1"/>
    <col min="2824" max="2830" width="0" style="13" hidden="1" customWidth="1"/>
    <col min="2831" max="2831" width="4.140625" style="13" customWidth="1"/>
    <col min="2832" max="2832" width="5.7109375" style="13" customWidth="1"/>
    <col min="2833" max="2833" width="0" style="13" hidden="1" customWidth="1"/>
    <col min="2834" max="2834" width="15.7109375" style="13" customWidth="1"/>
    <col min="2835" max="2835" width="7.7109375" style="13" customWidth="1"/>
    <col min="2836" max="2836" width="9.140625" style="13"/>
    <col min="2837" max="2837" width="10.85546875" style="13" customWidth="1"/>
    <col min="2838" max="2838" width="9.7109375" style="13" customWidth="1"/>
    <col min="2839" max="2839" width="8.85546875" style="13" customWidth="1"/>
    <col min="2840" max="2840" width="10.7109375" style="13" customWidth="1"/>
    <col min="2841" max="2841" width="16" style="13" customWidth="1"/>
    <col min="2842" max="2842" width="8.7109375" style="13" customWidth="1"/>
    <col min="2843" max="2843" width="6.5703125" style="13" bestFit="1" customWidth="1"/>
    <col min="2844" max="2844" width="8.7109375" style="13" customWidth="1"/>
    <col min="2845" max="2845" width="16" style="13" customWidth="1"/>
    <col min="2846" max="2846" width="15" style="13" customWidth="1"/>
    <col min="2847" max="2847" width="9.42578125" style="13" customWidth="1"/>
    <col min="2848" max="3072" width="9.140625" style="13"/>
    <col min="3073" max="3073" width="12.28515625" style="13" customWidth="1"/>
    <col min="3074" max="3074" width="2.42578125" style="13" customWidth="1"/>
    <col min="3075" max="3075" width="3.42578125" style="13" customWidth="1"/>
    <col min="3076" max="3076" width="13.28515625" style="13" customWidth="1"/>
    <col min="3077" max="3077" width="3.140625" style="13" customWidth="1"/>
    <col min="3078" max="3078" width="5.140625" style="13" customWidth="1"/>
    <col min="3079" max="3079" width="16.42578125" style="13" customWidth="1"/>
    <col min="3080" max="3086" width="0" style="13" hidden="1" customWidth="1"/>
    <col min="3087" max="3087" width="4.140625" style="13" customWidth="1"/>
    <col min="3088" max="3088" width="5.7109375" style="13" customWidth="1"/>
    <col min="3089" max="3089" width="0" style="13" hidden="1" customWidth="1"/>
    <col min="3090" max="3090" width="15.7109375" style="13" customWidth="1"/>
    <col min="3091" max="3091" width="7.7109375" style="13" customWidth="1"/>
    <col min="3092" max="3092" width="9.140625" style="13"/>
    <col min="3093" max="3093" width="10.85546875" style="13" customWidth="1"/>
    <col min="3094" max="3094" width="9.7109375" style="13" customWidth="1"/>
    <col min="3095" max="3095" width="8.85546875" style="13" customWidth="1"/>
    <col min="3096" max="3096" width="10.7109375" style="13" customWidth="1"/>
    <col min="3097" max="3097" width="16" style="13" customWidth="1"/>
    <col min="3098" max="3098" width="8.7109375" style="13" customWidth="1"/>
    <col min="3099" max="3099" width="6.5703125" style="13" bestFit="1" customWidth="1"/>
    <col min="3100" max="3100" width="8.7109375" style="13" customWidth="1"/>
    <col min="3101" max="3101" width="16" style="13" customWidth="1"/>
    <col min="3102" max="3102" width="15" style="13" customWidth="1"/>
    <col min="3103" max="3103" width="9.42578125" style="13" customWidth="1"/>
    <col min="3104" max="3328" width="9.140625" style="13"/>
    <col min="3329" max="3329" width="12.28515625" style="13" customWidth="1"/>
    <col min="3330" max="3330" width="2.42578125" style="13" customWidth="1"/>
    <col min="3331" max="3331" width="3.42578125" style="13" customWidth="1"/>
    <col min="3332" max="3332" width="13.28515625" style="13" customWidth="1"/>
    <col min="3333" max="3333" width="3.140625" style="13" customWidth="1"/>
    <col min="3334" max="3334" width="5.140625" style="13" customWidth="1"/>
    <col min="3335" max="3335" width="16.42578125" style="13" customWidth="1"/>
    <col min="3336" max="3342" width="0" style="13" hidden="1" customWidth="1"/>
    <col min="3343" max="3343" width="4.140625" style="13" customWidth="1"/>
    <col min="3344" max="3344" width="5.7109375" style="13" customWidth="1"/>
    <col min="3345" max="3345" width="0" style="13" hidden="1" customWidth="1"/>
    <col min="3346" max="3346" width="15.7109375" style="13" customWidth="1"/>
    <col min="3347" max="3347" width="7.7109375" style="13" customWidth="1"/>
    <col min="3348" max="3348" width="9.140625" style="13"/>
    <col min="3349" max="3349" width="10.85546875" style="13" customWidth="1"/>
    <col min="3350" max="3350" width="9.7109375" style="13" customWidth="1"/>
    <col min="3351" max="3351" width="8.85546875" style="13" customWidth="1"/>
    <col min="3352" max="3352" width="10.7109375" style="13" customWidth="1"/>
    <col min="3353" max="3353" width="16" style="13" customWidth="1"/>
    <col min="3354" max="3354" width="8.7109375" style="13" customWidth="1"/>
    <col min="3355" max="3355" width="6.5703125" style="13" bestFit="1" customWidth="1"/>
    <col min="3356" max="3356" width="8.7109375" style="13" customWidth="1"/>
    <col min="3357" max="3357" width="16" style="13" customWidth="1"/>
    <col min="3358" max="3358" width="15" style="13" customWidth="1"/>
    <col min="3359" max="3359" width="9.42578125" style="13" customWidth="1"/>
    <col min="3360" max="3584" width="9.140625" style="13"/>
    <col min="3585" max="3585" width="12.28515625" style="13" customWidth="1"/>
    <col min="3586" max="3586" width="2.42578125" style="13" customWidth="1"/>
    <col min="3587" max="3587" width="3.42578125" style="13" customWidth="1"/>
    <col min="3588" max="3588" width="13.28515625" style="13" customWidth="1"/>
    <col min="3589" max="3589" width="3.140625" style="13" customWidth="1"/>
    <col min="3590" max="3590" width="5.140625" style="13" customWidth="1"/>
    <col min="3591" max="3591" width="16.42578125" style="13" customWidth="1"/>
    <col min="3592" max="3598" width="0" style="13" hidden="1" customWidth="1"/>
    <col min="3599" max="3599" width="4.140625" style="13" customWidth="1"/>
    <col min="3600" max="3600" width="5.7109375" style="13" customWidth="1"/>
    <col min="3601" max="3601" width="0" style="13" hidden="1" customWidth="1"/>
    <col min="3602" max="3602" width="15.7109375" style="13" customWidth="1"/>
    <col min="3603" max="3603" width="7.7109375" style="13" customWidth="1"/>
    <col min="3604" max="3604" width="9.140625" style="13"/>
    <col min="3605" max="3605" width="10.85546875" style="13" customWidth="1"/>
    <col min="3606" max="3606" width="9.7109375" style="13" customWidth="1"/>
    <col min="3607" max="3607" width="8.85546875" style="13" customWidth="1"/>
    <col min="3608" max="3608" width="10.7109375" style="13" customWidth="1"/>
    <col min="3609" max="3609" width="16" style="13" customWidth="1"/>
    <col min="3610" max="3610" width="8.7109375" style="13" customWidth="1"/>
    <col min="3611" max="3611" width="6.5703125" style="13" bestFit="1" customWidth="1"/>
    <col min="3612" max="3612" width="8.7109375" style="13" customWidth="1"/>
    <col min="3613" max="3613" width="16" style="13" customWidth="1"/>
    <col min="3614" max="3614" width="15" style="13" customWidth="1"/>
    <col min="3615" max="3615" width="9.42578125" style="13" customWidth="1"/>
    <col min="3616" max="3840" width="9.140625" style="13"/>
    <col min="3841" max="3841" width="12.28515625" style="13" customWidth="1"/>
    <col min="3842" max="3842" width="2.42578125" style="13" customWidth="1"/>
    <col min="3843" max="3843" width="3.42578125" style="13" customWidth="1"/>
    <col min="3844" max="3844" width="13.28515625" style="13" customWidth="1"/>
    <col min="3845" max="3845" width="3.140625" style="13" customWidth="1"/>
    <col min="3846" max="3846" width="5.140625" style="13" customWidth="1"/>
    <col min="3847" max="3847" width="16.42578125" style="13" customWidth="1"/>
    <col min="3848" max="3854" width="0" style="13" hidden="1" customWidth="1"/>
    <col min="3855" max="3855" width="4.140625" style="13" customWidth="1"/>
    <col min="3856" max="3856" width="5.7109375" style="13" customWidth="1"/>
    <col min="3857" max="3857" width="0" style="13" hidden="1" customWidth="1"/>
    <col min="3858" max="3858" width="15.7109375" style="13" customWidth="1"/>
    <col min="3859" max="3859" width="7.7109375" style="13" customWidth="1"/>
    <col min="3860" max="3860" width="9.140625" style="13"/>
    <col min="3861" max="3861" width="10.85546875" style="13" customWidth="1"/>
    <col min="3862" max="3862" width="9.7109375" style="13" customWidth="1"/>
    <col min="3863" max="3863" width="8.85546875" style="13" customWidth="1"/>
    <col min="3864" max="3864" width="10.7109375" style="13" customWidth="1"/>
    <col min="3865" max="3865" width="16" style="13" customWidth="1"/>
    <col min="3866" max="3866" width="8.7109375" style="13" customWidth="1"/>
    <col min="3867" max="3867" width="6.5703125" style="13" bestFit="1" customWidth="1"/>
    <col min="3868" max="3868" width="8.7109375" style="13" customWidth="1"/>
    <col min="3869" max="3869" width="16" style="13" customWidth="1"/>
    <col min="3870" max="3870" width="15" style="13" customWidth="1"/>
    <col min="3871" max="3871" width="9.42578125" style="13" customWidth="1"/>
    <col min="3872" max="4096" width="9.140625" style="13"/>
    <col min="4097" max="4097" width="12.28515625" style="13" customWidth="1"/>
    <col min="4098" max="4098" width="2.42578125" style="13" customWidth="1"/>
    <col min="4099" max="4099" width="3.42578125" style="13" customWidth="1"/>
    <col min="4100" max="4100" width="13.28515625" style="13" customWidth="1"/>
    <col min="4101" max="4101" width="3.140625" style="13" customWidth="1"/>
    <col min="4102" max="4102" width="5.140625" style="13" customWidth="1"/>
    <col min="4103" max="4103" width="16.42578125" style="13" customWidth="1"/>
    <col min="4104" max="4110" width="0" style="13" hidden="1" customWidth="1"/>
    <col min="4111" max="4111" width="4.140625" style="13" customWidth="1"/>
    <col min="4112" max="4112" width="5.7109375" style="13" customWidth="1"/>
    <col min="4113" max="4113" width="0" style="13" hidden="1" customWidth="1"/>
    <col min="4114" max="4114" width="15.7109375" style="13" customWidth="1"/>
    <col min="4115" max="4115" width="7.7109375" style="13" customWidth="1"/>
    <col min="4116" max="4116" width="9.140625" style="13"/>
    <col min="4117" max="4117" width="10.85546875" style="13" customWidth="1"/>
    <col min="4118" max="4118" width="9.7109375" style="13" customWidth="1"/>
    <col min="4119" max="4119" width="8.85546875" style="13" customWidth="1"/>
    <col min="4120" max="4120" width="10.7109375" style="13" customWidth="1"/>
    <col min="4121" max="4121" width="16" style="13" customWidth="1"/>
    <col min="4122" max="4122" width="8.7109375" style="13" customWidth="1"/>
    <col min="4123" max="4123" width="6.5703125" style="13" bestFit="1" customWidth="1"/>
    <col min="4124" max="4124" width="8.7109375" style="13" customWidth="1"/>
    <col min="4125" max="4125" width="16" style="13" customWidth="1"/>
    <col min="4126" max="4126" width="15" style="13" customWidth="1"/>
    <col min="4127" max="4127" width="9.42578125" style="13" customWidth="1"/>
    <col min="4128" max="4352" width="9.140625" style="13"/>
    <col min="4353" max="4353" width="12.28515625" style="13" customWidth="1"/>
    <col min="4354" max="4354" width="2.42578125" style="13" customWidth="1"/>
    <col min="4355" max="4355" width="3.42578125" style="13" customWidth="1"/>
    <col min="4356" max="4356" width="13.28515625" style="13" customWidth="1"/>
    <col min="4357" max="4357" width="3.140625" style="13" customWidth="1"/>
    <col min="4358" max="4358" width="5.140625" style="13" customWidth="1"/>
    <col min="4359" max="4359" width="16.42578125" style="13" customWidth="1"/>
    <col min="4360" max="4366" width="0" style="13" hidden="1" customWidth="1"/>
    <col min="4367" max="4367" width="4.140625" style="13" customWidth="1"/>
    <col min="4368" max="4368" width="5.7109375" style="13" customWidth="1"/>
    <col min="4369" max="4369" width="0" style="13" hidden="1" customWidth="1"/>
    <col min="4370" max="4370" width="15.7109375" style="13" customWidth="1"/>
    <col min="4371" max="4371" width="7.7109375" style="13" customWidth="1"/>
    <col min="4372" max="4372" width="9.140625" style="13"/>
    <col min="4373" max="4373" width="10.85546875" style="13" customWidth="1"/>
    <col min="4374" max="4374" width="9.7109375" style="13" customWidth="1"/>
    <col min="4375" max="4375" width="8.85546875" style="13" customWidth="1"/>
    <col min="4376" max="4376" width="10.7109375" style="13" customWidth="1"/>
    <col min="4377" max="4377" width="16" style="13" customWidth="1"/>
    <col min="4378" max="4378" width="8.7109375" style="13" customWidth="1"/>
    <col min="4379" max="4379" width="6.5703125" style="13" bestFit="1" customWidth="1"/>
    <col min="4380" max="4380" width="8.7109375" style="13" customWidth="1"/>
    <col min="4381" max="4381" width="16" style="13" customWidth="1"/>
    <col min="4382" max="4382" width="15" style="13" customWidth="1"/>
    <col min="4383" max="4383" width="9.42578125" style="13" customWidth="1"/>
    <col min="4384" max="4608" width="9.140625" style="13"/>
    <col min="4609" max="4609" width="12.28515625" style="13" customWidth="1"/>
    <col min="4610" max="4610" width="2.42578125" style="13" customWidth="1"/>
    <col min="4611" max="4611" width="3.42578125" style="13" customWidth="1"/>
    <col min="4612" max="4612" width="13.28515625" style="13" customWidth="1"/>
    <col min="4613" max="4613" width="3.140625" style="13" customWidth="1"/>
    <col min="4614" max="4614" width="5.140625" style="13" customWidth="1"/>
    <col min="4615" max="4615" width="16.42578125" style="13" customWidth="1"/>
    <col min="4616" max="4622" width="0" style="13" hidden="1" customWidth="1"/>
    <col min="4623" max="4623" width="4.140625" style="13" customWidth="1"/>
    <col min="4624" max="4624" width="5.7109375" style="13" customWidth="1"/>
    <col min="4625" max="4625" width="0" style="13" hidden="1" customWidth="1"/>
    <col min="4626" max="4626" width="15.7109375" style="13" customWidth="1"/>
    <col min="4627" max="4627" width="7.7109375" style="13" customWidth="1"/>
    <col min="4628" max="4628" width="9.140625" style="13"/>
    <col min="4629" max="4629" width="10.85546875" style="13" customWidth="1"/>
    <col min="4630" max="4630" width="9.7109375" style="13" customWidth="1"/>
    <col min="4631" max="4631" width="8.85546875" style="13" customWidth="1"/>
    <col min="4632" max="4632" width="10.7109375" style="13" customWidth="1"/>
    <col min="4633" max="4633" width="16" style="13" customWidth="1"/>
    <col min="4634" max="4634" width="8.7109375" style="13" customWidth="1"/>
    <col min="4635" max="4635" width="6.5703125" style="13" bestFit="1" customWidth="1"/>
    <col min="4636" max="4636" width="8.7109375" style="13" customWidth="1"/>
    <col min="4637" max="4637" width="16" style="13" customWidth="1"/>
    <col min="4638" max="4638" width="15" style="13" customWidth="1"/>
    <col min="4639" max="4639" width="9.42578125" style="13" customWidth="1"/>
    <col min="4640" max="4864" width="9.140625" style="13"/>
    <col min="4865" max="4865" width="12.28515625" style="13" customWidth="1"/>
    <col min="4866" max="4866" width="2.42578125" style="13" customWidth="1"/>
    <col min="4867" max="4867" width="3.42578125" style="13" customWidth="1"/>
    <col min="4868" max="4868" width="13.28515625" style="13" customWidth="1"/>
    <col min="4869" max="4869" width="3.140625" style="13" customWidth="1"/>
    <col min="4870" max="4870" width="5.140625" style="13" customWidth="1"/>
    <col min="4871" max="4871" width="16.42578125" style="13" customWidth="1"/>
    <col min="4872" max="4878" width="0" style="13" hidden="1" customWidth="1"/>
    <col min="4879" max="4879" width="4.140625" style="13" customWidth="1"/>
    <col min="4880" max="4880" width="5.7109375" style="13" customWidth="1"/>
    <col min="4881" max="4881" width="0" style="13" hidden="1" customWidth="1"/>
    <col min="4882" max="4882" width="15.7109375" style="13" customWidth="1"/>
    <col min="4883" max="4883" width="7.7109375" style="13" customWidth="1"/>
    <col min="4884" max="4884" width="9.140625" style="13"/>
    <col min="4885" max="4885" width="10.85546875" style="13" customWidth="1"/>
    <col min="4886" max="4886" width="9.7109375" style="13" customWidth="1"/>
    <col min="4887" max="4887" width="8.85546875" style="13" customWidth="1"/>
    <col min="4888" max="4888" width="10.7109375" style="13" customWidth="1"/>
    <col min="4889" max="4889" width="16" style="13" customWidth="1"/>
    <col min="4890" max="4890" width="8.7109375" style="13" customWidth="1"/>
    <col min="4891" max="4891" width="6.5703125" style="13" bestFit="1" customWidth="1"/>
    <col min="4892" max="4892" width="8.7109375" style="13" customWidth="1"/>
    <col min="4893" max="4893" width="16" style="13" customWidth="1"/>
    <col min="4894" max="4894" width="15" style="13" customWidth="1"/>
    <col min="4895" max="4895" width="9.42578125" style="13" customWidth="1"/>
    <col min="4896" max="5120" width="9.140625" style="13"/>
    <col min="5121" max="5121" width="12.28515625" style="13" customWidth="1"/>
    <col min="5122" max="5122" width="2.42578125" style="13" customWidth="1"/>
    <col min="5123" max="5123" width="3.42578125" style="13" customWidth="1"/>
    <col min="5124" max="5124" width="13.28515625" style="13" customWidth="1"/>
    <col min="5125" max="5125" width="3.140625" style="13" customWidth="1"/>
    <col min="5126" max="5126" width="5.140625" style="13" customWidth="1"/>
    <col min="5127" max="5127" width="16.42578125" style="13" customWidth="1"/>
    <col min="5128" max="5134" width="0" style="13" hidden="1" customWidth="1"/>
    <col min="5135" max="5135" width="4.140625" style="13" customWidth="1"/>
    <col min="5136" max="5136" width="5.7109375" style="13" customWidth="1"/>
    <col min="5137" max="5137" width="0" style="13" hidden="1" customWidth="1"/>
    <col min="5138" max="5138" width="15.7109375" style="13" customWidth="1"/>
    <col min="5139" max="5139" width="7.7109375" style="13" customWidth="1"/>
    <col min="5140" max="5140" width="9.140625" style="13"/>
    <col min="5141" max="5141" width="10.85546875" style="13" customWidth="1"/>
    <col min="5142" max="5142" width="9.7109375" style="13" customWidth="1"/>
    <col min="5143" max="5143" width="8.85546875" style="13" customWidth="1"/>
    <col min="5144" max="5144" width="10.7109375" style="13" customWidth="1"/>
    <col min="5145" max="5145" width="16" style="13" customWidth="1"/>
    <col min="5146" max="5146" width="8.7109375" style="13" customWidth="1"/>
    <col min="5147" max="5147" width="6.5703125" style="13" bestFit="1" customWidth="1"/>
    <col min="5148" max="5148" width="8.7109375" style="13" customWidth="1"/>
    <col min="5149" max="5149" width="16" style="13" customWidth="1"/>
    <col min="5150" max="5150" width="15" style="13" customWidth="1"/>
    <col min="5151" max="5151" width="9.42578125" style="13" customWidth="1"/>
    <col min="5152" max="5376" width="9.140625" style="13"/>
    <col min="5377" max="5377" width="12.28515625" style="13" customWidth="1"/>
    <col min="5378" max="5378" width="2.42578125" style="13" customWidth="1"/>
    <col min="5379" max="5379" width="3.42578125" style="13" customWidth="1"/>
    <col min="5380" max="5380" width="13.28515625" style="13" customWidth="1"/>
    <col min="5381" max="5381" width="3.140625" style="13" customWidth="1"/>
    <col min="5382" max="5382" width="5.140625" style="13" customWidth="1"/>
    <col min="5383" max="5383" width="16.42578125" style="13" customWidth="1"/>
    <col min="5384" max="5390" width="0" style="13" hidden="1" customWidth="1"/>
    <col min="5391" max="5391" width="4.140625" style="13" customWidth="1"/>
    <col min="5392" max="5392" width="5.7109375" style="13" customWidth="1"/>
    <col min="5393" max="5393" width="0" style="13" hidden="1" customWidth="1"/>
    <col min="5394" max="5394" width="15.7109375" style="13" customWidth="1"/>
    <col min="5395" max="5395" width="7.7109375" style="13" customWidth="1"/>
    <col min="5396" max="5396" width="9.140625" style="13"/>
    <col min="5397" max="5397" width="10.85546875" style="13" customWidth="1"/>
    <col min="5398" max="5398" width="9.7109375" style="13" customWidth="1"/>
    <col min="5399" max="5399" width="8.85546875" style="13" customWidth="1"/>
    <col min="5400" max="5400" width="10.7109375" style="13" customWidth="1"/>
    <col min="5401" max="5401" width="16" style="13" customWidth="1"/>
    <col min="5402" max="5402" width="8.7109375" style="13" customWidth="1"/>
    <col min="5403" max="5403" width="6.5703125" style="13" bestFit="1" customWidth="1"/>
    <col min="5404" max="5404" width="8.7109375" style="13" customWidth="1"/>
    <col min="5405" max="5405" width="16" style="13" customWidth="1"/>
    <col min="5406" max="5406" width="15" style="13" customWidth="1"/>
    <col min="5407" max="5407" width="9.42578125" style="13" customWidth="1"/>
    <col min="5408" max="5632" width="9.140625" style="13"/>
    <col min="5633" max="5633" width="12.28515625" style="13" customWidth="1"/>
    <col min="5634" max="5634" width="2.42578125" style="13" customWidth="1"/>
    <col min="5635" max="5635" width="3.42578125" style="13" customWidth="1"/>
    <col min="5636" max="5636" width="13.28515625" style="13" customWidth="1"/>
    <col min="5637" max="5637" width="3.140625" style="13" customWidth="1"/>
    <col min="5638" max="5638" width="5.140625" style="13" customWidth="1"/>
    <col min="5639" max="5639" width="16.42578125" style="13" customWidth="1"/>
    <col min="5640" max="5646" width="0" style="13" hidden="1" customWidth="1"/>
    <col min="5647" max="5647" width="4.140625" style="13" customWidth="1"/>
    <col min="5648" max="5648" width="5.7109375" style="13" customWidth="1"/>
    <col min="5649" max="5649" width="0" style="13" hidden="1" customWidth="1"/>
    <col min="5650" max="5650" width="15.7109375" style="13" customWidth="1"/>
    <col min="5651" max="5651" width="7.7109375" style="13" customWidth="1"/>
    <col min="5652" max="5652" width="9.140625" style="13"/>
    <col min="5653" max="5653" width="10.85546875" style="13" customWidth="1"/>
    <col min="5654" max="5654" width="9.7109375" style="13" customWidth="1"/>
    <col min="5655" max="5655" width="8.85546875" style="13" customWidth="1"/>
    <col min="5656" max="5656" width="10.7109375" style="13" customWidth="1"/>
    <col min="5657" max="5657" width="16" style="13" customWidth="1"/>
    <col min="5658" max="5658" width="8.7109375" style="13" customWidth="1"/>
    <col min="5659" max="5659" width="6.5703125" style="13" bestFit="1" customWidth="1"/>
    <col min="5660" max="5660" width="8.7109375" style="13" customWidth="1"/>
    <col min="5661" max="5661" width="16" style="13" customWidth="1"/>
    <col min="5662" max="5662" width="15" style="13" customWidth="1"/>
    <col min="5663" max="5663" width="9.42578125" style="13" customWidth="1"/>
    <col min="5664" max="5888" width="9.140625" style="13"/>
    <col min="5889" max="5889" width="12.28515625" style="13" customWidth="1"/>
    <col min="5890" max="5890" width="2.42578125" style="13" customWidth="1"/>
    <col min="5891" max="5891" width="3.42578125" style="13" customWidth="1"/>
    <col min="5892" max="5892" width="13.28515625" style="13" customWidth="1"/>
    <col min="5893" max="5893" width="3.140625" style="13" customWidth="1"/>
    <col min="5894" max="5894" width="5.140625" style="13" customWidth="1"/>
    <col min="5895" max="5895" width="16.42578125" style="13" customWidth="1"/>
    <col min="5896" max="5902" width="0" style="13" hidden="1" customWidth="1"/>
    <col min="5903" max="5903" width="4.140625" style="13" customWidth="1"/>
    <col min="5904" max="5904" width="5.7109375" style="13" customWidth="1"/>
    <col min="5905" max="5905" width="0" style="13" hidden="1" customWidth="1"/>
    <col min="5906" max="5906" width="15.7109375" style="13" customWidth="1"/>
    <col min="5907" max="5907" width="7.7109375" style="13" customWidth="1"/>
    <col min="5908" max="5908" width="9.140625" style="13"/>
    <col min="5909" max="5909" width="10.85546875" style="13" customWidth="1"/>
    <col min="5910" max="5910" width="9.7109375" style="13" customWidth="1"/>
    <col min="5911" max="5911" width="8.85546875" style="13" customWidth="1"/>
    <col min="5912" max="5912" width="10.7109375" style="13" customWidth="1"/>
    <col min="5913" max="5913" width="16" style="13" customWidth="1"/>
    <col min="5914" max="5914" width="8.7109375" style="13" customWidth="1"/>
    <col min="5915" max="5915" width="6.5703125" style="13" bestFit="1" customWidth="1"/>
    <col min="5916" max="5916" width="8.7109375" style="13" customWidth="1"/>
    <col min="5917" max="5917" width="16" style="13" customWidth="1"/>
    <col min="5918" max="5918" width="15" style="13" customWidth="1"/>
    <col min="5919" max="5919" width="9.42578125" style="13" customWidth="1"/>
    <col min="5920" max="6144" width="9.140625" style="13"/>
    <col min="6145" max="6145" width="12.28515625" style="13" customWidth="1"/>
    <col min="6146" max="6146" width="2.42578125" style="13" customWidth="1"/>
    <col min="6147" max="6147" width="3.42578125" style="13" customWidth="1"/>
    <col min="6148" max="6148" width="13.28515625" style="13" customWidth="1"/>
    <col min="6149" max="6149" width="3.140625" style="13" customWidth="1"/>
    <col min="6150" max="6150" width="5.140625" style="13" customWidth="1"/>
    <col min="6151" max="6151" width="16.42578125" style="13" customWidth="1"/>
    <col min="6152" max="6158" width="0" style="13" hidden="1" customWidth="1"/>
    <col min="6159" max="6159" width="4.140625" style="13" customWidth="1"/>
    <col min="6160" max="6160" width="5.7109375" style="13" customWidth="1"/>
    <col min="6161" max="6161" width="0" style="13" hidden="1" customWidth="1"/>
    <col min="6162" max="6162" width="15.7109375" style="13" customWidth="1"/>
    <col min="6163" max="6163" width="7.7109375" style="13" customWidth="1"/>
    <col min="6164" max="6164" width="9.140625" style="13"/>
    <col min="6165" max="6165" width="10.85546875" style="13" customWidth="1"/>
    <col min="6166" max="6166" width="9.7109375" style="13" customWidth="1"/>
    <col min="6167" max="6167" width="8.85546875" style="13" customWidth="1"/>
    <col min="6168" max="6168" width="10.7109375" style="13" customWidth="1"/>
    <col min="6169" max="6169" width="16" style="13" customWidth="1"/>
    <col min="6170" max="6170" width="8.7109375" style="13" customWidth="1"/>
    <col min="6171" max="6171" width="6.5703125" style="13" bestFit="1" customWidth="1"/>
    <col min="6172" max="6172" width="8.7109375" style="13" customWidth="1"/>
    <col min="6173" max="6173" width="16" style="13" customWidth="1"/>
    <col min="6174" max="6174" width="15" style="13" customWidth="1"/>
    <col min="6175" max="6175" width="9.42578125" style="13" customWidth="1"/>
    <col min="6176" max="6400" width="9.140625" style="13"/>
    <col min="6401" max="6401" width="12.28515625" style="13" customWidth="1"/>
    <col min="6402" max="6402" width="2.42578125" style="13" customWidth="1"/>
    <col min="6403" max="6403" width="3.42578125" style="13" customWidth="1"/>
    <col min="6404" max="6404" width="13.28515625" style="13" customWidth="1"/>
    <col min="6405" max="6405" width="3.140625" style="13" customWidth="1"/>
    <col min="6406" max="6406" width="5.140625" style="13" customWidth="1"/>
    <col min="6407" max="6407" width="16.42578125" style="13" customWidth="1"/>
    <col min="6408" max="6414" width="0" style="13" hidden="1" customWidth="1"/>
    <col min="6415" max="6415" width="4.140625" style="13" customWidth="1"/>
    <col min="6416" max="6416" width="5.7109375" style="13" customWidth="1"/>
    <col min="6417" max="6417" width="0" style="13" hidden="1" customWidth="1"/>
    <col min="6418" max="6418" width="15.7109375" style="13" customWidth="1"/>
    <col min="6419" max="6419" width="7.7109375" style="13" customWidth="1"/>
    <col min="6420" max="6420" width="9.140625" style="13"/>
    <col min="6421" max="6421" width="10.85546875" style="13" customWidth="1"/>
    <col min="6422" max="6422" width="9.7109375" style="13" customWidth="1"/>
    <col min="6423" max="6423" width="8.85546875" style="13" customWidth="1"/>
    <col min="6424" max="6424" width="10.7109375" style="13" customWidth="1"/>
    <col min="6425" max="6425" width="16" style="13" customWidth="1"/>
    <col min="6426" max="6426" width="8.7109375" style="13" customWidth="1"/>
    <col min="6427" max="6427" width="6.5703125" style="13" bestFit="1" customWidth="1"/>
    <col min="6428" max="6428" width="8.7109375" style="13" customWidth="1"/>
    <col min="6429" max="6429" width="16" style="13" customWidth="1"/>
    <col min="6430" max="6430" width="15" style="13" customWidth="1"/>
    <col min="6431" max="6431" width="9.42578125" style="13" customWidth="1"/>
    <col min="6432" max="6656" width="9.140625" style="13"/>
    <col min="6657" max="6657" width="12.28515625" style="13" customWidth="1"/>
    <col min="6658" max="6658" width="2.42578125" style="13" customWidth="1"/>
    <col min="6659" max="6659" width="3.42578125" style="13" customWidth="1"/>
    <col min="6660" max="6660" width="13.28515625" style="13" customWidth="1"/>
    <col min="6661" max="6661" width="3.140625" style="13" customWidth="1"/>
    <col min="6662" max="6662" width="5.140625" style="13" customWidth="1"/>
    <col min="6663" max="6663" width="16.42578125" style="13" customWidth="1"/>
    <col min="6664" max="6670" width="0" style="13" hidden="1" customWidth="1"/>
    <col min="6671" max="6671" width="4.140625" style="13" customWidth="1"/>
    <col min="6672" max="6672" width="5.7109375" style="13" customWidth="1"/>
    <col min="6673" max="6673" width="0" style="13" hidden="1" customWidth="1"/>
    <col min="6674" max="6674" width="15.7109375" style="13" customWidth="1"/>
    <col min="6675" max="6675" width="7.7109375" style="13" customWidth="1"/>
    <col min="6676" max="6676" width="9.140625" style="13"/>
    <col min="6677" max="6677" width="10.85546875" style="13" customWidth="1"/>
    <col min="6678" max="6678" width="9.7109375" style="13" customWidth="1"/>
    <col min="6679" max="6679" width="8.85546875" style="13" customWidth="1"/>
    <col min="6680" max="6680" width="10.7109375" style="13" customWidth="1"/>
    <col min="6681" max="6681" width="16" style="13" customWidth="1"/>
    <col min="6682" max="6682" width="8.7109375" style="13" customWidth="1"/>
    <col min="6683" max="6683" width="6.5703125" style="13" bestFit="1" customWidth="1"/>
    <col min="6684" max="6684" width="8.7109375" style="13" customWidth="1"/>
    <col min="6685" max="6685" width="16" style="13" customWidth="1"/>
    <col min="6686" max="6686" width="15" style="13" customWidth="1"/>
    <col min="6687" max="6687" width="9.42578125" style="13" customWidth="1"/>
    <col min="6688" max="6912" width="9.140625" style="13"/>
    <col min="6913" max="6913" width="12.28515625" style="13" customWidth="1"/>
    <col min="6914" max="6914" width="2.42578125" style="13" customWidth="1"/>
    <col min="6915" max="6915" width="3.42578125" style="13" customWidth="1"/>
    <col min="6916" max="6916" width="13.28515625" style="13" customWidth="1"/>
    <col min="6917" max="6917" width="3.140625" style="13" customWidth="1"/>
    <col min="6918" max="6918" width="5.140625" style="13" customWidth="1"/>
    <col min="6919" max="6919" width="16.42578125" style="13" customWidth="1"/>
    <col min="6920" max="6926" width="0" style="13" hidden="1" customWidth="1"/>
    <col min="6927" max="6927" width="4.140625" style="13" customWidth="1"/>
    <col min="6928" max="6928" width="5.7109375" style="13" customWidth="1"/>
    <col min="6929" max="6929" width="0" style="13" hidden="1" customWidth="1"/>
    <col min="6930" max="6930" width="15.7109375" style="13" customWidth="1"/>
    <col min="6931" max="6931" width="7.7109375" style="13" customWidth="1"/>
    <col min="6932" max="6932" width="9.140625" style="13"/>
    <col min="6933" max="6933" width="10.85546875" style="13" customWidth="1"/>
    <col min="6934" max="6934" width="9.7109375" style="13" customWidth="1"/>
    <col min="6935" max="6935" width="8.85546875" style="13" customWidth="1"/>
    <col min="6936" max="6936" width="10.7109375" style="13" customWidth="1"/>
    <col min="6937" max="6937" width="16" style="13" customWidth="1"/>
    <col min="6938" max="6938" width="8.7109375" style="13" customWidth="1"/>
    <col min="6939" max="6939" width="6.5703125" style="13" bestFit="1" customWidth="1"/>
    <col min="6940" max="6940" width="8.7109375" style="13" customWidth="1"/>
    <col min="6941" max="6941" width="16" style="13" customWidth="1"/>
    <col min="6942" max="6942" width="15" style="13" customWidth="1"/>
    <col min="6943" max="6943" width="9.42578125" style="13" customWidth="1"/>
    <col min="6944" max="7168" width="9.140625" style="13"/>
    <col min="7169" max="7169" width="12.28515625" style="13" customWidth="1"/>
    <col min="7170" max="7170" width="2.42578125" style="13" customWidth="1"/>
    <col min="7171" max="7171" width="3.42578125" style="13" customWidth="1"/>
    <col min="7172" max="7172" width="13.28515625" style="13" customWidth="1"/>
    <col min="7173" max="7173" width="3.140625" style="13" customWidth="1"/>
    <col min="7174" max="7174" width="5.140625" style="13" customWidth="1"/>
    <col min="7175" max="7175" width="16.42578125" style="13" customWidth="1"/>
    <col min="7176" max="7182" width="0" style="13" hidden="1" customWidth="1"/>
    <col min="7183" max="7183" width="4.140625" style="13" customWidth="1"/>
    <col min="7184" max="7184" width="5.7109375" style="13" customWidth="1"/>
    <col min="7185" max="7185" width="0" style="13" hidden="1" customWidth="1"/>
    <col min="7186" max="7186" width="15.7109375" style="13" customWidth="1"/>
    <col min="7187" max="7187" width="7.7109375" style="13" customWidth="1"/>
    <col min="7188" max="7188" width="9.140625" style="13"/>
    <col min="7189" max="7189" width="10.85546875" style="13" customWidth="1"/>
    <col min="7190" max="7190" width="9.7109375" style="13" customWidth="1"/>
    <col min="7191" max="7191" width="8.85546875" style="13" customWidth="1"/>
    <col min="7192" max="7192" width="10.7109375" style="13" customWidth="1"/>
    <col min="7193" max="7193" width="16" style="13" customWidth="1"/>
    <col min="7194" max="7194" width="8.7109375" style="13" customWidth="1"/>
    <col min="7195" max="7195" width="6.5703125" style="13" bestFit="1" customWidth="1"/>
    <col min="7196" max="7196" width="8.7109375" style="13" customWidth="1"/>
    <col min="7197" max="7197" width="16" style="13" customWidth="1"/>
    <col min="7198" max="7198" width="15" style="13" customWidth="1"/>
    <col min="7199" max="7199" width="9.42578125" style="13" customWidth="1"/>
    <col min="7200" max="7424" width="9.140625" style="13"/>
    <col min="7425" max="7425" width="12.28515625" style="13" customWidth="1"/>
    <col min="7426" max="7426" width="2.42578125" style="13" customWidth="1"/>
    <col min="7427" max="7427" width="3.42578125" style="13" customWidth="1"/>
    <col min="7428" max="7428" width="13.28515625" style="13" customWidth="1"/>
    <col min="7429" max="7429" width="3.140625" style="13" customWidth="1"/>
    <col min="7430" max="7430" width="5.140625" style="13" customWidth="1"/>
    <col min="7431" max="7431" width="16.42578125" style="13" customWidth="1"/>
    <col min="7432" max="7438" width="0" style="13" hidden="1" customWidth="1"/>
    <col min="7439" max="7439" width="4.140625" style="13" customWidth="1"/>
    <col min="7440" max="7440" width="5.7109375" style="13" customWidth="1"/>
    <col min="7441" max="7441" width="0" style="13" hidden="1" customWidth="1"/>
    <col min="7442" max="7442" width="15.7109375" style="13" customWidth="1"/>
    <col min="7443" max="7443" width="7.7109375" style="13" customWidth="1"/>
    <col min="7444" max="7444" width="9.140625" style="13"/>
    <col min="7445" max="7445" width="10.85546875" style="13" customWidth="1"/>
    <col min="7446" max="7446" width="9.7109375" style="13" customWidth="1"/>
    <col min="7447" max="7447" width="8.85546875" style="13" customWidth="1"/>
    <col min="7448" max="7448" width="10.7109375" style="13" customWidth="1"/>
    <col min="7449" max="7449" width="16" style="13" customWidth="1"/>
    <col min="7450" max="7450" width="8.7109375" style="13" customWidth="1"/>
    <col min="7451" max="7451" width="6.5703125" style="13" bestFit="1" customWidth="1"/>
    <col min="7452" max="7452" width="8.7109375" style="13" customWidth="1"/>
    <col min="7453" max="7453" width="16" style="13" customWidth="1"/>
    <col min="7454" max="7454" width="15" style="13" customWidth="1"/>
    <col min="7455" max="7455" width="9.42578125" style="13" customWidth="1"/>
    <col min="7456" max="7680" width="9.140625" style="13"/>
    <col min="7681" max="7681" width="12.28515625" style="13" customWidth="1"/>
    <col min="7682" max="7682" width="2.42578125" style="13" customWidth="1"/>
    <col min="7683" max="7683" width="3.42578125" style="13" customWidth="1"/>
    <col min="7684" max="7684" width="13.28515625" style="13" customWidth="1"/>
    <col min="7685" max="7685" width="3.140625" style="13" customWidth="1"/>
    <col min="7686" max="7686" width="5.140625" style="13" customWidth="1"/>
    <col min="7687" max="7687" width="16.42578125" style="13" customWidth="1"/>
    <col min="7688" max="7694" width="0" style="13" hidden="1" customWidth="1"/>
    <col min="7695" max="7695" width="4.140625" style="13" customWidth="1"/>
    <col min="7696" max="7696" width="5.7109375" style="13" customWidth="1"/>
    <col min="7697" max="7697" width="0" style="13" hidden="1" customWidth="1"/>
    <col min="7698" max="7698" width="15.7109375" style="13" customWidth="1"/>
    <col min="7699" max="7699" width="7.7109375" style="13" customWidth="1"/>
    <col min="7700" max="7700" width="9.140625" style="13"/>
    <col min="7701" max="7701" width="10.85546875" style="13" customWidth="1"/>
    <col min="7702" max="7702" width="9.7109375" style="13" customWidth="1"/>
    <col min="7703" max="7703" width="8.85546875" style="13" customWidth="1"/>
    <col min="7704" max="7704" width="10.7109375" style="13" customWidth="1"/>
    <col min="7705" max="7705" width="16" style="13" customWidth="1"/>
    <col min="7706" max="7706" width="8.7109375" style="13" customWidth="1"/>
    <col min="7707" max="7707" width="6.5703125" style="13" bestFit="1" customWidth="1"/>
    <col min="7708" max="7708" width="8.7109375" style="13" customWidth="1"/>
    <col min="7709" max="7709" width="16" style="13" customWidth="1"/>
    <col min="7710" max="7710" width="15" style="13" customWidth="1"/>
    <col min="7711" max="7711" width="9.42578125" style="13" customWidth="1"/>
    <col min="7712" max="7936" width="9.140625" style="13"/>
    <col min="7937" max="7937" width="12.28515625" style="13" customWidth="1"/>
    <col min="7938" max="7938" width="2.42578125" style="13" customWidth="1"/>
    <col min="7939" max="7939" width="3.42578125" style="13" customWidth="1"/>
    <col min="7940" max="7940" width="13.28515625" style="13" customWidth="1"/>
    <col min="7941" max="7941" width="3.140625" style="13" customWidth="1"/>
    <col min="7942" max="7942" width="5.140625" style="13" customWidth="1"/>
    <col min="7943" max="7943" width="16.42578125" style="13" customWidth="1"/>
    <col min="7944" max="7950" width="0" style="13" hidden="1" customWidth="1"/>
    <col min="7951" max="7951" width="4.140625" style="13" customWidth="1"/>
    <col min="7952" max="7952" width="5.7109375" style="13" customWidth="1"/>
    <col min="7953" max="7953" width="0" style="13" hidden="1" customWidth="1"/>
    <col min="7954" max="7954" width="15.7109375" style="13" customWidth="1"/>
    <col min="7955" max="7955" width="7.7109375" style="13" customWidth="1"/>
    <col min="7956" max="7956" width="9.140625" style="13"/>
    <col min="7957" max="7957" width="10.85546875" style="13" customWidth="1"/>
    <col min="7958" max="7958" width="9.7109375" style="13" customWidth="1"/>
    <col min="7959" max="7959" width="8.85546875" style="13" customWidth="1"/>
    <col min="7960" max="7960" width="10.7109375" style="13" customWidth="1"/>
    <col min="7961" max="7961" width="16" style="13" customWidth="1"/>
    <col min="7962" max="7962" width="8.7109375" style="13" customWidth="1"/>
    <col min="7963" max="7963" width="6.5703125" style="13" bestFit="1" customWidth="1"/>
    <col min="7964" max="7964" width="8.7109375" style="13" customWidth="1"/>
    <col min="7965" max="7965" width="16" style="13" customWidth="1"/>
    <col min="7966" max="7966" width="15" style="13" customWidth="1"/>
    <col min="7967" max="7967" width="9.42578125" style="13" customWidth="1"/>
    <col min="7968" max="8192" width="9.140625" style="13"/>
    <col min="8193" max="8193" width="12.28515625" style="13" customWidth="1"/>
    <col min="8194" max="8194" width="2.42578125" style="13" customWidth="1"/>
    <col min="8195" max="8195" width="3.42578125" style="13" customWidth="1"/>
    <col min="8196" max="8196" width="13.28515625" style="13" customWidth="1"/>
    <col min="8197" max="8197" width="3.140625" style="13" customWidth="1"/>
    <col min="8198" max="8198" width="5.140625" style="13" customWidth="1"/>
    <col min="8199" max="8199" width="16.42578125" style="13" customWidth="1"/>
    <col min="8200" max="8206" width="0" style="13" hidden="1" customWidth="1"/>
    <col min="8207" max="8207" width="4.140625" style="13" customWidth="1"/>
    <col min="8208" max="8208" width="5.7109375" style="13" customWidth="1"/>
    <col min="8209" max="8209" width="0" style="13" hidden="1" customWidth="1"/>
    <col min="8210" max="8210" width="15.7109375" style="13" customWidth="1"/>
    <col min="8211" max="8211" width="7.7109375" style="13" customWidth="1"/>
    <col min="8212" max="8212" width="9.140625" style="13"/>
    <col min="8213" max="8213" width="10.85546875" style="13" customWidth="1"/>
    <col min="8214" max="8214" width="9.7109375" style="13" customWidth="1"/>
    <col min="8215" max="8215" width="8.85546875" style="13" customWidth="1"/>
    <col min="8216" max="8216" width="10.7109375" style="13" customWidth="1"/>
    <col min="8217" max="8217" width="16" style="13" customWidth="1"/>
    <col min="8218" max="8218" width="8.7109375" style="13" customWidth="1"/>
    <col min="8219" max="8219" width="6.5703125" style="13" bestFit="1" customWidth="1"/>
    <col min="8220" max="8220" width="8.7109375" style="13" customWidth="1"/>
    <col min="8221" max="8221" width="16" style="13" customWidth="1"/>
    <col min="8222" max="8222" width="15" style="13" customWidth="1"/>
    <col min="8223" max="8223" width="9.42578125" style="13" customWidth="1"/>
    <col min="8224" max="8448" width="9.140625" style="13"/>
    <col min="8449" max="8449" width="12.28515625" style="13" customWidth="1"/>
    <col min="8450" max="8450" width="2.42578125" style="13" customWidth="1"/>
    <col min="8451" max="8451" width="3.42578125" style="13" customWidth="1"/>
    <col min="8452" max="8452" width="13.28515625" style="13" customWidth="1"/>
    <col min="8453" max="8453" width="3.140625" style="13" customWidth="1"/>
    <col min="8454" max="8454" width="5.140625" style="13" customWidth="1"/>
    <col min="8455" max="8455" width="16.42578125" style="13" customWidth="1"/>
    <col min="8456" max="8462" width="0" style="13" hidden="1" customWidth="1"/>
    <col min="8463" max="8463" width="4.140625" style="13" customWidth="1"/>
    <col min="8464" max="8464" width="5.7109375" style="13" customWidth="1"/>
    <col min="8465" max="8465" width="0" style="13" hidden="1" customWidth="1"/>
    <col min="8466" max="8466" width="15.7109375" style="13" customWidth="1"/>
    <col min="8467" max="8467" width="7.7109375" style="13" customWidth="1"/>
    <col min="8468" max="8468" width="9.140625" style="13"/>
    <col min="8469" max="8469" width="10.85546875" style="13" customWidth="1"/>
    <col min="8470" max="8470" width="9.7109375" style="13" customWidth="1"/>
    <col min="8471" max="8471" width="8.85546875" style="13" customWidth="1"/>
    <col min="8472" max="8472" width="10.7109375" style="13" customWidth="1"/>
    <col min="8473" max="8473" width="16" style="13" customWidth="1"/>
    <col min="8474" max="8474" width="8.7109375" style="13" customWidth="1"/>
    <col min="8475" max="8475" width="6.5703125" style="13" bestFit="1" customWidth="1"/>
    <col min="8476" max="8476" width="8.7109375" style="13" customWidth="1"/>
    <col min="8477" max="8477" width="16" style="13" customWidth="1"/>
    <col min="8478" max="8478" width="15" style="13" customWidth="1"/>
    <col min="8479" max="8479" width="9.42578125" style="13" customWidth="1"/>
    <col min="8480" max="8704" width="9.140625" style="13"/>
    <col min="8705" max="8705" width="12.28515625" style="13" customWidth="1"/>
    <col min="8706" max="8706" width="2.42578125" style="13" customWidth="1"/>
    <col min="8707" max="8707" width="3.42578125" style="13" customWidth="1"/>
    <col min="8708" max="8708" width="13.28515625" style="13" customWidth="1"/>
    <col min="8709" max="8709" width="3.140625" style="13" customWidth="1"/>
    <col min="8710" max="8710" width="5.140625" style="13" customWidth="1"/>
    <col min="8711" max="8711" width="16.42578125" style="13" customWidth="1"/>
    <col min="8712" max="8718" width="0" style="13" hidden="1" customWidth="1"/>
    <col min="8719" max="8719" width="4.140625" style="13" customWidth="1"/>
    <col min="8720" max="8720" width="5.7109375" style="13" customWidth="1"/>
    <col min="8721" max="8721" width="0" style="13" hidden="1" customWidth="1"/>
    <col min="8722" max="8722" width="15.7109375" style="13" customWidth="1"/>
    <col min="8723" max="8723" width="7.7109375" style="13" customWidth="1"/>
    <col min="8724" max="8724" width="9.140625" style="13"/>
    <col min="8725" max="8725" width="10.85546875" style="13" customWidth="1"/>
    <col min="8726" max="8726" width="9.7109375" style="13" customWidth="1"/>
    <col min="8727" max="8727" width="8.85546875" style="13" customWidth="1"/>
    <col min="8728" max="8728" width="10.7109375" style="13" customWidth="1"/>
    <col min="8729" max="8729" width="16" style="13" customWidth="1"/>
    <col min="8730" max="8730" width="8.7109375" style="13" customWidth="1"/>
    <col min="8731" max="8731" width="6.5703125" style="13" bestFit="1" customWidth="1"/>
    <col min="8732" max="8732" width="8.7109375" style="13" customWidth="1"/>
    <col min="8733" max="8733" width="16" style="13" customWidth="1"/>
    <col min="8734" max="8734" width="15" style="13" customWidth="1"/>
    <col min="8735" max="8735" width="9.42578125" style="13" customWidth="1"/>
    <col min="8736" max="8960" width="9.140625" style="13"/>
    <col min="8961" max="8961" width="12.28515625" style="13" customWidth="1"/>
    <col min="8962" max="8962" width="2.42578125" style="13" customWidth="1"/>
    <col min="8963" max="8963" width="3.42578125" style="13" customWidth="1"/>
    <col min="8964" max="8964" width="13.28515625" style="13" customWidth="1"/>
    <col min="8965" max="8965" width="3.140625" style="13" customWidth="1"/>
    <col min="8966" max="8966" width="5.140625" style="13" customWidth="1"/>
    <col min="8967" max="8967" width="16.42578125" style="13" customWidth="1"/>
    <col min="8968" max="8974" width="0" style="13" hidden="1" customWidth="1"/>
    <col min="8975" max="8975" width="4.140625" style="13" customWidth="1"/>
    <col min="8976" max="8976" width="5.7109375" style="13" customWidth="1"/>
    <col min="8977" max="8977" width="0" style="13" hidden="1" customWidth="1"/>
    <col min="8978" max="8978" width="15.7109375" style="13" customWidth="1"/>
    <col min="8979" max="8979" width="7.7109375" style="13" customWidth="1"/>
    <col min="8980" max="8980" width="9.140625" style="13"/>
    <col min="8981" max="8981" width="10.85546875" style="13" customWidth="1"/>
    <col min="8982" max="8982" width="9.7109375" style="13" customWidth="1"/>
    <col min="8983" max="8983" width="8.85546875" style="13" customWidth="1"/>
    <col min="8984" max="8984" width="10.7109375" style="13" customWidth="1"/>
    <col min="8985" max="8985" width="16" style="13" customWidth="1"/>
    <col min="8986" max="8986" width="8.7109375" style="13" customWidth="1"/>
    <col min="8987" max="8987" width="6.5703125" style="13" bestFit="1" customWidth="1"/>
    <col min="8988" max="8988" width="8.7109375" style="13" customWidth="1"/>
    <col min="8989" max="8989" width="16" style="13" customWidth="1"/>
    <col min="8990" max="8990" width="15" style="13" customWidth="1"/>
    <col min="8991" max="8991" width="9.42578125" style="13" customWidth="1"/>
    <col min="8992" max="9216" width="9.140625" style="13"/>
    <col min="9217" max="9217" width="12.28515625" style="13" customWidth="1"/>
    <col min="9218" max="9218" width="2.42578125" style="13" customWidth="1"/>
    <col min="9219" max="9219" width="3.42578125" style="13" customWidth="1"/>
    <col min="9220" max="9220" width="13.28515625" style="13" customWidth="1"/>
    <col min="9221" max="9221" width="3.140625" style="13" customWidth="1"/>
    <col min="9222" max="9222" width="5.140625" style="13" customWidth="1"/>
    <col min="9223" max="9223" width="16.42578125" style="13" customWidth="1"/>
    <col min="9224" max="9230" width="0" style="13" hidden="1" customWidth="1"/>
    <col min="9231" max="9231" width="4.140625" style="13" customWidth="1"/>
    <col min="9232" max="9232" width="5.7109375" style="13" customWidth="1"/>
    <col min="9233" max="9233" width="0" style="13" hidden="1" customWidth="1"/>
    <col min="9234" max="9234" width="15.7109375" style="13" customWidth="1"/>
    <col min="9235" max="9235" width="7.7109375" style="13" customWidth="1"/>
    <col min="9236" max="9236" width="9.140625" style="13"/>
    <col min="9237" max="9237" width="10.85546875" style="13" customWidth="1"/>
    <col min="9238" max="9238" width="9.7109375" style="13" customWidth="1"/>
    <col min="9239" max="9239" width="8.85546875" style="13" customWidth="1"/>
    <col min="9240" max="9240" width="10.7109375" style="13" customWidth="1"/>
    <col min="9241" max="9241" width="16" style="13" customWidth="1"/>
    <col min="9242" max="9242" width="8.7109375" style="13" customWidth="1"/>
    <col min="9243" max="9243" width="6.5703125" style="13" bestFit="1" customWidth="1"/>
    <col min="9244" max="9244" width="8.7109375" style="13" customWidth="1"/>
    <col min="9245" max="9245" width="16" style="13" customWidth="1"/>
    <col min="9246" max="9246" width="15" style="13" customWidth="1"/>
    <col min="9247" max="9247" width="9.42578125" style="13" customWidth="1"/>
    <col min="9248" max="9472" width="9.140625" style="13"/>
    <col min="9473" max="9473" width="12.28515625" style="13" customWidth="1"/>
    <col min="9474" max="9474" width="2.42578125" style="13" customWidth="1"/>
    <col min="9475" max="9475" width="3.42578125" style="13" customWidth="1"/>
    <col min="9476" max="9476" width="13.28515625" style="13" customWidth="1"/>
    <col min="9477" max="9477" width="3.140625" style="13" customWidth="1"/>
    <col min="9478" max="9478" width="5.140625" style="13" customWidth="1"/>
    <col min="9479" max="9479" width="16.42578125" style="13" customWidth="1"/>
    <col min="9480" max="9486" width="0" style="13" hidden="1" customWidth="1"/>
    <col min="9487" max="9487" width="4.140625" style="13" customWidth="1"/>
    <col min="9488" max="9488" width="5.7109375" style="13" customWidth="1"/>
    <col min="9489" max="9489" width="0" style="13" hidden="1" customWidth="1"/>
    <col min="9490" max="9490" width="15.7109375" style="13" customWidth="1"/>
    <col min="9491" max="9491" width="7.7109375" style="13" customWidth="1"/>
    <col min="9492" max="9492" width="9.140625" style="13"/>
    <col min="9493" max="9493" width="10.85546875" style="13" customWidth="1"/>
    <col min="9494" max="9494" width="9.7109375" style="13" customWidth="1"/>
    <col min="9495" max="9495" width="8.85546875" style="13" customWidth="1"/>
    <col min="9496" max="9496" width="10.7109375" style="13" customWidth="1"/>
    <col min="9497" max="9497" width="16" style="13" customWidth="1"/>
    <col min="9498" max="9498" width="8.7109375" style="13" customWidth="1"/>
    <col min="9499" max="9499" width="6.5703125" style="13" bestFit="1" customWidth="1"/>
    <col min="9500" max="9500" width="8.7109375" style="13" customWidth="1"/>
    <col min="9501" max="9501" width="16" style="13" customWidth="1"/>
    <col min="9502" max="9502" width="15" style="13" customWidth="1"/>
    <col min="9503" max="9503" width="9.42578125" style="13" customWidth="1"/>
    <col min="9504" max="9728" width="9.140625" style="13"/>
    <col min="9729" max="9729" width="12.28515625" style="13" customWidth="1"/>
    <col min="9730" max="9730" width="2.42578125" style="13" customWidth="1"/>
    <col min="9731" max="9731" width="3.42578125" style="13" customWidth="1"/>
    <col min="9732" max="9732" width="13.28515625" style="13" customWidth="1"/>
    <col min="9733" max="9733" width="3.140625" style="13" customWidth="1"/>
    <col min="9734" max="9734" width="5.140625" style="13" customWidth="1"/>
    <col min="9735" max="9735" width="16.42578125" style="13" customWidth="1"/>
    <col min="9736" max="9742" width="0" style="13" hidden="1" customWidth="1"/>
    <col min="9743" max="9743" width="4.140625" style="13" customWidth="1"/>
    <col min="9744" max="9744" width="5.7109375" style="13" customWidth="1"/>
    <col min="9745" max="9745" width="0" style="13" hidden="1" customWidth="1"/>
    <col min="9746" max="9746" width="15.7109375" style="13" customWidth="1"/>
    <col min="9747" max="9747" width="7.7109375" style="13" customWidth="1"/>
    <col min="9748" max="9748" width="9.140625" style="13"/>
    <col min="9749" max="9749" width="10.85546875" style="13" customWidth="1"/>
    <col min="9750" max="9750" width="9.7109375" style="13" customWidth="1"/>
    <col min="9751" max="9751" width="8.85546875" style="13" customWidth="1"/>
    <col min="9752" max="9752" width="10.7109375" style="13" customWidth="1"/>
    <col min="9753" max="9753" width="16" style="13" customWidth="1"/>
    <col min="9754" max="9754" width="8.7109375" style="13" customWidth="1"/>
    <col min="9755" max="9755" width="6.5703125" style="13" bestFit="1" customWidth="1"/>
    <col min="9756" max="9756" width="8.7109375" style="13" customWidth="1"/>
    <col min="9757" max="9757" width="16" style="13" customWidth="1"/>
    <col min="9758" max="9758" width="15" style="13" customWidth="1"/>
    <col min="9759" max="9759" width="9.42578125" style="13" customWidth="1"/>
    <col min="9760" max="9984" width="9.140625" style="13"/>
    <col min="9985" max="9985" width="12.28515625" style="13" customWidth="1"/>
    <col min="9986" max="9986" width="2.42578125" style="13" customWidth="1"/>
    <col min="9987" max="9987" width="3.42578125" style="13" customWidth="1"/>
    <col min="9988" max="9988" width="13.28515625" style="13" customWidth="1"/>
    <col min="9989" max="9989" width="3.140625" style="13" customWidth="1"/>
    <col min="9990" max="9990" width="5.140625" style="13" customWidth="1"/>
    <col min="9991" max="9991" width="16.42578125" style="13" customWidth="1"/>
    <col min="9992" max="9998" width="0" style="13" hidden="1" customWidth="1"/>
    <col min="9999" max="9999" width="4.140625" style="13" customWidth="1"/>
    <col min="10000" max="10000" width="5.7109375" style="13" customWidth="1"/>
    <col min="10001" max="10001" width="0" style="13" hidden="1" customWidth="1"/>
    <col min="10002" max="10002" width="15.7109375" style="13" customWidth="1"/>
    <col min="10003" max="10003" width="7.7109375" style="13" customWidth="1"/>
    <col min="10004" max="10004" width="9.140625" style="13"/>
    <col min="10005" max="10005" width="10.85546875" style="13" customWidth="1"/>
    <col min="10006" max="10006" width="9.7109375" style="13" customWidth="1"/>
    <col min="10007" max="10007" width="8.85546875" style="13" customWidth="1"/>
    <col min="10008" max="10008" width="10.7109375" style="13" customWidth="1"/>
    <col min="10009" max="10009" width="16" style="13" customWidth="1"/>
    <col min="10010" max="10010" width="8.7109375" style="13" customWidth="1"/>
    <col min="10011" max="10011" width="6.5703125" style="13" bestFit="1" customWidth="1"/>
    <col min="10012" max="10012" width="8.7109375" style="13" customWidth="1"/>
    <col min="10013" max="10013" width="16" style="13" customWidth="1"/>
    <col min="10014" max="10014" width="15" style="13" customWidth="1"/>
    <col min="10015" max="10015" width="9.42578125" style="13" customWidth="1"/>
    <col min="10016" max="10240" width="9.140625" style="13"/>
    <col min="10241" max="10241" width="12.28515625" style="13" customWidth="1"/>
    <col min="10242" max="10242" width="2.42578125" style="13" customWidth="1"/>
    <col min="10243" max="10243" width="3.42578125" style="13" customWidth="1"/>
    <col min="10244" max="10244" width="13.28515625" style="13" customWidth="1"/>
    <col min="10245" max="10245" width="3.140625" style="13" customWidth="1"/>
    <col min="10246" max="10246" width="5.140625" style="13" customWidth="1"/>
    <col min="10247" max="10247" width="16.42578125" style="13" customWidth="1"/>
    <col min="10248" max="10254" width="0" style="13" hidden="1" customWidth="1"/>
    <col min="10255" max="10255" width="4.140625" style="13" customWidth="1"/>
    <col min="10256" max="10256" width="5.7109375" style="13" customWidth="1"/>
    <col min="10257" max="10257" width="0" style="13" hidden="1" customWidth="1"/>
    <col min="10258" max="10258" width="15.7109375" style="13" customWidth="1"/>
    <col min="10259" max="10259" width="7.7109375" style="13" customWidth="1"/>
    <col min="10260" max="10260" width="9.140625" style="13"/>
    <col min="10261" max="10261" width="10.85546875" style="13" customWidth="1"/>
    <col min="10262" max="10262" width="9.7109375" style="13" customWidth="1"/>
    <col min="10263" max="10263" width="8.85546875" style="13" customWidth="1"/>
    <col min="10264" max="10264" width="10.7109375" style="13" customWidth="1"/>
    <col min="10265" max="10265" width="16" style="13" customWidth="1"/>
    <col min="10266" max="10266" width="8.7109375" style="13" customWidth="1"/>
    <col min="10267" max="10267" width="6.5703125" style="13" bestFit="1" customWidth="1"/>
    <col min="10268" max="10268" width="8.7109375" style="13" customWidth="1"/>
    <col min="10269" max="10269" width="16" style="13" customWidth="1"/>
    <col min="10270" max="10270" width="15" style="13" customWidth="1"/>
    <col min="10271" max="10271" width="9.42578125" style="13" customWidth="1"/>
    <col min="10272" max="10496" width="9.140625" style="13"/>
    <col min="10497" max="10497" width="12.28515625" style="13" customWidth="1"/>
    <col min="10498" max="10498" width="2.42578125" style="13" customWidth="1"/>
    <col min="10499" max="10499" width="3.42578125" style="13" customWidth="1"/>
    <col min="10500" max="10500" width="13.28515625" style="13" customWidth="1"/>
    <col min="10501" max="10501" width="3.140625" style="13" customWidth="1"/>
    <col min="10502" max="10502" width="5.140625" style="13" customWidth="1"/>
    <col min="10503" max="10503" width="16.42578125" style="13" customWidth="1"/>
    <col min="10504" max="10510" width="0" style="13" hidden="1" customWidth="1"/>
    <col min="10511" max="10511" width="4.140625" style="13" customWidth="1"/>
    <col min="10512" max="10512" width="5.7109375" style="13" customWidth="1"/>
    <col min="10513" max="10513" width="0" style="13" hidden="1" customWidth="1"/>
    <col min="10514" max="10514" width="15.7109375" style="13" customWidth="1"/>
    <col min="10515" max="10515" width="7.7109375" style="13" customWidth="1"/>
    <col min="10516" max="10516" width="9.140625" style="13"/>
    <col min="10517" max="10517" width="10.85546875" style="13" customWidth="1"/>
    <col min="10518" max="10518" width="9.7109375" style="13" customWidth="1"/>
    <col min="10519" max="10519" width="8.85546875" style="13" customWidth="1"/>
    <col min="10520" max="10520" width="10.7109375" style="13" customWidth="1"/>
    <col min="10521" max="10521" width="16" style="13" customWidth="1"/>
    <col min="10522" max="10522" width="8.7109375" style="13" customWidth="1"/>
    <col min="10523" max="10523" width="6.5703125" style="13" bestFit="1" customWidth="1"/>
    <col min="10524" max="10524" width="8.7109375" style="13" customWidth="1"/>
    <col min="10525" max="10525" width="16" style="13" customWidth="1"/>
    <col min="10526" max="10526" width="15" style="13" customWidth="1"/>
    <col min="10527" max="10527" width="9.42578125" style="13" customWidth="1"/>
    <col min="10528" max="10752" width="9.140625" style="13"/>
    <col min="10753" max="10753" width="12.28515625" style="13" customWidth="1"/>
    <col min="10754" max="10754" width="2.42578125" style="13" customWidth="1"/>
    <col min="10755" max="10755" width="3.42578125" style="13" customWidth="1"/>
    <col min="10756" max="10756" width="13.28515625" style="13" customWidth="1"/>
    <col min="10757" max="10757" width="3.140625" style="13" customWidth="1"/>
    <col min="10758" max="10758" width="5.140625" style="13" customWidth="1"/>
    <col min="10759" max="10759" width="16.42578125" style="13" customWidth="1"/>
    <col min="10760" max="10766" width="0" style="13" hidden="1" customWidth="1"/>
    <col min="10767" max="10767" width="4.140625" style="13" customWidth="1"/>
    <col min="10768" max="10768" width="5.7109375" style="13" customWidth="1"/>
    <col min="10769" max="10769" width="0" style="13" hidden="1" customWidth="1"/>
    <col min="10770" max="10770" width="15.7109375" style="13" customWidth="1"/>
    <col min="10771" max="10771" width="7.7109375" style="13" customWidth="1"/>
    <col min="10772" max="10772" width="9.140625" style="13"/>
    <col min="10773" max="10773" width="10.85546875" style="13" customWidth="1"/>
    <col min="10774" max="10774" width="9.7109375" style="13" customWidth="1"/>
    <col min="10775" max="10775" width="8.85546875" style="13" customWidth="1"/>
    <col min="10776" max="10776" width="10.7109375" style="13" customWidth="1"/>
    <col min="10777" max="10777" width="16" style="13" customWidth="1"/>
    <col min="10778" max="10778" width="8.7109375" style="13" customWidth="1"/>
    <col min="10779" max="10779" width="6.5703125" style="13" bestFit="1" customWidth="1"/>
    <col min="10780" max="10780" width="8.7109375" style="13" customWidth="1"/>
    <col min="10781" max="10781" width="16" style="13" customWidth="1"/>
    <col min="10782" max="10782" width="15" style="13" customWidth="1"/>
    <col min="10783" max="10783" width="9.42578125" style="13" customWidth="1"/>
    <col min="10784" max="11008" width="9.140625" style="13"/>
    <col min="11009" max="11009" width="12.28515625" style="13" customWidth="1"/>
    <col min="11010" max="11010" width="2.42578125" style="13" customWidth="1"/>
    <col min="11011" max="11011" width="3.42578125" style="13" customWidth="1"/>
    <col min="11012" max="11012" width="13.28515625" style="13" customWidth="1"/>
    <col min="11013" max="11013" width="3.140625" style="13" customWidth="1"/>
    <col min="11014" max="11014" width="5.140625" style="13" customWidth="1"/>
    <col min="11015" max="11015" width="16.42578125" style="13" customWidth="1"/>
    <col min="11016" max="11022" width="0" style="13" hidden="1" customWidth="1"/>
    <col min="11023" max="11023" width="4.140625" style="13" customWidth="1"/>
    <col min="11024" max="11024" width="5.7109375" style="13" customWidth="1"/>
    <col min="11025" max="11025" width="0" style="13" hidden="1" customWidth="1"/>
    <col min="11026" max="11026" width="15.7109375" style="13" customWidth="1"/>
    <col min="11027" max="11027" width="7.7109375" style="13" customWidth="1"/>
    <col min="11028" max="11028" width="9.140625" style="13"/>
    <col min="11029" max="11029" width="10.85546875" style="13" customWidth="1"/>
    <col min="11030" max="11030" width="9.7109375" style="13" customWidth="1"/>
    <col min="11031" max="11031" width="8.85546875" style="13" customWidth="1"/>
    <col min="11032" max="11032" width="10.7109375" style="13" customWidth="1"/>
    <col min="11033" max="11033" width="16" style="13" customWidth="1"/>
    <col min="11034" max="11034" width="8.7109375" style="13" customWidth="1"/>
    <col min="11035" max="11035" width="6.5703125" style="13" bestFit="1" customWidth="1"/>
    <col min="11036" max="11036" width="8.7109375" style="13" customWidth="1"/>
    <col min="11037" max="11037" width="16" style="13" customWidth="1"/>
    <col min="11038" max="11038" width="15" style="13" customWidth="1"/>
    <col min="11039" max="11039" width="9.42578125" style="13" customWidth="1"/>
    <col min="11040" max="11264" width="9.140625" style="13"/>
    <col min="11265" max="11265" width="12.28515625" style="13" customWidth="1"/>
    <col min="11266" max="11266" width="2.42578125" style="13" customWidth="1"/>
    <col min="11267" max="11267" width="3.42578125" style="13" customWidth="1"/>
    <col min="11268" max="11268" width="13.28515625" style="13" customWidth="1"/>
    <col min="11269" max="11269" width="3.140625" style="13" customWidth="1"/>
    <col min="11270" max="11270" width="5.140625" style="13" customWidth="1"/>
    <col min="11271" max="11271" width="16.42578125" style="13" customWidth="1"/>
    <col min="11272" max="11278" width="0" style="13" hidden="1" customWidth="1"/>
    <col min="11279" max="11279" width="4.140625" style="13" customWidth="1"/>
    <col min="11280" max="11280" width="5.7109375" style="13" customWidth="1"/>
    <col min="11281" max="11281" width="0" style="13" hidden="1" customWidth="1"/>
    <col min="11282" max="11282" width="15.7109375" style="13" customWidth="1"/>
    <col min="11283" max="11283" width="7.7109375" style="13" customWidth="1"/>
    <col min="11284" max="11284" width="9.140625" style="13"/>
    <col min="11285" max="11285" width="10.85546875" style="13" customWidth="1"/>
    <col min="11286" max="11286" width="9.7109375" style="13" customWidth="1"/>
    <col min="11287" max="11287" width="8.85546875" style="13" customWidth="1"/>
    <col min="11288" max="11288" width="10.7109375" style="13" customWidth="1"/>
    <col min="11289" max="11289" width="16" style="13" customWidth="1"/>
    <col min="11290" max="11290" width="8.7109375" style="13" customWidth="1"/>
    <col min="11291" max="11291" width="6.5703125" style="13" bestFit="1" customWidth="1"/>
    <col min="11292" max="11292" width="8.7109375" style="13" customWidth="1"/>
    <col min="11293" max="11293" width="16" style="13" customWidth="1"/>
    <col min="11294" max="11294" width="15" style="13" customWidth="1"/>
    <col min="11295" max="11295" width="9.42578125" style="13" customWidth="1"/>
    <col min="11296" max="11520" width="9.140625" style="13"/>
    <col min="11521" max="11521" width="12.28515625" style="13" customWidth="1"/>
    <col min="11522" max="11522" width="2.42578125" style="13" customWidth="1"/>
    <col min="11523" max="11523" width="3.42578125" style="13" customWidth="1"/>
    <col min="11524" max="11524" width="13.28515625" style="13" customWidth="1"/>
    <col min="11525" max="11525" width="3.140625" style="13" customWidth="1"/>
    <col min="11526" max="11526" width="5.140625" style="13" customWidth="1"/>
    <col min="11527" max="11527" width="16.42578125" style="13" customWidth="1"/>
    <col min="11528" max="11534" width="0" style="13" hidden="1" customWidth="1"/>
    <col min="11535" max="11535" width="4.140625" style="13" customWidth="1"/>
    <col min="11536" max="11536" width="5.7109375" style="13" customWidth="1"/>
    <col min="11537" max="11537" width="0" style="13" hidden="1" customWidth="1"/>
    <col min="11538" max="11538" width="15.7109375" style="13" customWidth="1"/>
    <col min="11539" max="11539" width="7.7109375" style="13" customWidth="1"/>
    <col min="11540" max="11540" width="9.140625" style="13"/>
    <col min="11541" max="11541" width="10.85546875" style="13" customWidth="1"/>
    <col min="11542" max="11542" width="9.7109375" style="13" customWidth="1"/>
    <col min="11543" max="11543" width="8.85546875" style="13" customWidth="1"/>
    <col min="11544" max="11544" width="10.7109375" style="13" customWidth="1"/>
    <col min="11545" max="11545" width="16" style="13" customWidth="1"/>
    <col min="11546" max="11546" width="8.7109375" style="13" customWidth="1"/>
    <col min="11547" max="11547" width="6.5703125" style="13" bestFit="1" customWidth="1"/>
    <col min="11548" max="11548" width="8.7109375" style="13" customWidth="1"/>
    <col min="11549" max="11549" width="16" style="13" customWidth="1"/>
    <col min="11550" max="11550" width="15" style="13" customWidth="1"/>
    <col min="11551" max="11551" width="9.42578125" style="13" customWidth="1"/>
    <col min="11552" max="11776" width="9.140625" style="13"/>
    <col min="11777" max="11777" width="12.28515625" style="13" customWidth="1"/>
    <col min="11778" max="11778" width="2.42578125" style="13" customWidth="1"/>
    <col min="11779" max="11779" width="3.42578125" style="13" customWidth="1"/>
    <col min="11780" max="11780" width="13.28515625" style="13" customWidth="1"/>
    <col min="11781" max="11781" width="3.140625" style="13" customWidth="1"/>
    <col min="11782" max="11782" width="5.140625" style="13" customWidth="1"/>
    <col min="11783" max="11783" width="16.42578125" style="13" customWidth="1"/>
    <col min="11784" max="11790" width="0" style="13" hidden="1" customWidth="1"/>
    <col min="11791" max="11791" width="4.140625" style="13" customWidth="1"/>
    <col min="11792" max="11792" width="5.7109375" style="13" customWidth="1"/>
    <col min="11793" max="11793" width="0" style="13" hidden="1" customWidth="1"/>
    <col min="11794" max="11794" width="15.7109375" style="13" customWidth="1"/>
    <col min="11795" max="11795" width="7.7109375" style="13" customWidth="1"/>
    <col min="11796" max="11796" width="9.140625" style="13"/>
    <col min="11797" max="11797" width="10.85546875" style="13" customWidth="1"/>
    <col min="11798" max="11798" width="9.7109375" style="13" customWidth="1"/>
    <col min="11799" max="11799" width="8.85546875" style="13" customWidth="1"/>
    <col min="11800" max="11800" width="10.7109375" style="13" customWidth="1"/>
    <col min="11801" max="11801" width="16" style="13" customWidth="1"/>
    <col min="11802" max="11802" width="8.7109375" style="13" customWidth="1"/>
    <col min="11803" max="11803" width="6.5703125" style="13" bestFit="1" customWidth="1"/>
    <col min="11804" max="11804" width="8.7109375" style="13" customWidth="1"/>
    <col min="11805" max="11805" width="16" style="13" customWidth="1"/>
    <col min="11806" max="11806" width="15" style="13" customWidth="1"/>
    <col min="11807" max="11807" width="9.42578125" style="13" customWidth="1"/>
    <col min="11808" max="12032" width="9.140625" style="13"/>
    <col min="12033" max="12033" width="12.28515625" style="13" customWidth="1"/>
    <col min="12034" max="12034" width="2.42578125" style="13" customWidth="1"/>
    <col min="12035" max="12035" width="3.42578125" style="13" customWidth="1"/>
    <col min="12036" max="12036" width="13.28515625" style="13" customWidth="1"/>
    <col min="12037" max="12037" width="3.140625" style="13" customWidth="1"/>
    <col min="12038" max="12038" width="5.140625" style="13" customWidth="1"/>
    <col min="12039" max="12039" width="16.42578125" style="13" customWidth="1"/>
    <col min="12040" max="12046" width="0" style="13" hidden="1" customWidth="1"/>
    <col min="12047" max="12047" width="4.140625" style="13" customWidth="1"/>
    <col min="12048" max="12048" width="5.7109375" style="13" customWidth="1"/>
    <col min="12049" max="12049" width="0" style="13" hidden="1" customWidth="1"/>
    <col min="12050" max="12050" width="15.7109375" style="13" customWidth="1"/>
    <col min="12051" max="12051" width="7.7109375" style="13" customWidth="1"/>
    <col min="12052" max="12052" width="9.140625" style="13"/>
    <col min="12053" max="12053" width="10.85546875" style="13" customWidth="1"/>
    <col min="12054" max="12054" width="9.7109375" style="13" customWidth="1"/>
    <col min="12055" max="12055" width="8.85546875" style="13" customWidth="1"/>
    <col min="12056" max="12056" width="10.7109375" style="13" customWidth="1"/>
    <col min="12057" max="12057" width="16" style="13" customWidth="1"/>
    <col min="12058" max="12058" width="8.7109375" style="13" customWidth="1"/>
    <col min="12059" max="12059" width="6.5703125" style="13" bestFit="1" customWidth="1"/>
    <col min="12060" max="12060" width="8.7109375" style="13" customWidth="1"/>
    <col min="12061" max="12061" width="16" style="13" customWidth="1"/>
    <col min="12062" max="12062" width="15" style="13" customWidth="1"/>
    <col min="12063" max="12063" width="9.42578125" style="13" customWidth="1"/>
    <col min="12064" max="12288" width="9.140625" style="13"/>
    <col min="12289" max="12289" width="12.28515625" style="13" customWidth="1"/>
    <col min="12290" max="12290" width="2.42578125" style="13" customWidth="1"/>
    <col min="12291" max="12291" width="3.42578125" style="13" customWidth="1"/>
    <col min="12292" max="12292" width="13.28515625" style="13" customWidth="1"/>
    <col min="12293" max="12293" width="3.140625" style="13" customWidth="1"/>
    <col min="12294" max="12294" width="5.140625" style="13" customWidth="1"/>
    <col min="12295" max="12295" width="16.42578125" style="13" customWidth="1"/>
    <col min="12296" max="12302" width="0" style="13" hidden="1" customWidth="1"/>
    <col min="12303" max="12303" width="4.140625" style="13" customWidth="1"/>
    <col min="12304" max="12304" width="5.7109375" style="13" customWidth="1"/>
    <col min="12305" max="12305" width="0" style="13" hidden="1" customWidth="1"/>
    <col min="12306" max="12306" width="15.7109375" style="13" customWidth="1"/>
    <col min="12307" max="12307" width="7.7109375" style="13" customWidth="1"/>
    <col min="12308" max="12308" width="9.140625" style="13"/>
    <col min="12309" max="12309" width="10.85546875" style="13" customWidth="1"/>
    <col min="12310" max="12310" width="9.7109375" style="13" customWidth="1"/>
    <col min="12311" max="12311" width="8.85546875" style="13" customWidth="1"/>
    <col min="12312" max="12312" width="10.7109375" style="13" customWidth="1"/>
    <col min="12313" max="12313" width="16" style="13" customWidth="1"/>
    <col min="12314" max="12314" width="8.7109375" style="13" customWidth="1"/>
    <col min="12315" max="12315" width="6.5703125" style="13" bestFit="1" customWidth="1"/>
    <col min="12316" max="12316" width="8.7109375" style="13" customWidth="1"/>
    <col min="12317" max="12317" width="16" style="13" customWidth="1"/>
    <col min="12318" max="12318" width="15" style="13" customWidth="1"/>
    <col min="12319" max="12319" width="9.42578125" style="13" customWidth="1"/>
    <col min="12320" max="12544" width="9.140625" style="13"/>
    <col min="12545" max="12545" width="12.28515625" style="13" customWidth="1"/>
    <col min="12546" max="12546" width="2.42578125" style="13" customWidth="1"/>
    <col min="12547" max="12547" width="3.42578125" style="13" customWidth="1"/>
    <col min="12548" max="12548" width="13.28515625" style="13" customWidth="1"/>
    <col min="12549" max="12549" width="3.140625" style="13" customWidth="1"/>
    <col min="12550" max="12550" width="5.140625" style="13" customWidth="1"/>
    <col min="12551" max="12551" width="16.42578125" style="13" customWidth="1"/>
    <col min="12552" max="12558" width="0" style="13" hidden="1" customWidth="1"/>
    <col min="12559" max="12559" width="4.140625" style="13" customWidth="1"/>
    <col min="12560" max="12560" width="5.7109375" style="13" customWidth="1"/>
    <col min="12561" max="12561" width="0" style="13" hidden="1" customWidth="1"/>
    <col min="12562" max="12562" width="15.7109375" style="13" customWidth="1"/>
    <col min="12563" max="12563" width="7.7109375" style="13" customWidth="1"/>
    <col min="12564" max="12564" width="9.140625" style="13"/>
    <col min="12565" max="12565" width="10.85546875" style="13" customWidth="1"/>
    <col min="12566" max="12566" width="9.7109375" style="13" customWidth="1"/>
    <col min="12567" max="12567" width="8.85546875" style="13" customWidth="1"/>
    <col min="12568" max="12568" width="10.7109375" style="13" customWidth="1"/>
    <col min="12569" max="12569" width="16" style="13" customWidth="1"/>
    <col min="12570" max="12570" width="8.7109375" style="13" customWidth="1"/>
    <col min="12571" max="12571" width="6.5703125" style="13" bestFit="1" customWidth="1"/>
    <col min="12572" max="12572" width="8.7109375" style="13" customWidth="1"/>
    <col min="12573" max="12573" width="16" style="13" customWidth="1"/>
    <col min="12574" max="12574" width="15" style="13" customWidth="1"/>
    <col min="12575" max="12575" width="9.42578125" style="13" customWidth="1"/>
    <col min="12576" max="12800" width="9.140625" style="13"/>
    <col min="12801" max="12801" width="12.28515625" style="13" customWidth="1"/>
    <col min="12802" max="12802" width="2.42578125" style="13" customWidth="1"/>
    <col min="12803" max="12803" width="3.42578125" style="13" customWidth="1"/>
    <col min="12804" max="12804" width="13.28515625" style="13" customWidth="1"/>
    <col min="12805" max="12805" width="3.140625" style="13" customWidth="1"/>
    <col min="12806" max="12806" width="5.140625" style="13" customWidth="1"/>
    <col min="12807" max="12807" width="16.42578125" style="13" customWidth="1"/>
    <col min="12808" max="12814" width="0" style="13" hidden="1" customWidth="1"/>
    <col min="12815" max="12815" width="4.140625" style="13" customWidth="1"/>
    <col min="12816" max="12816" width="5.7109375" style="13" customWidth="1"/>
    <col min="12817" max="12817" width="0" style="13" hidden="1" customWidth="1"/>
    <col min="12818" max="12818" width="15.7109375" style="13" customWidth="1"/>
    <col min="12819" max="12819" width="7.7109375" style="13" customWidth="1"/>
    <col min="12820" max="12820" width="9.140625" style="13"/>
    <col min="12821" max="12821" width="10.85546875" style="13" customWidth="1"/>
    <col min="12822" max="12822" width="9.7109375" style="13" customWidth="1"/>
    <col min="12823" max="12823" width="8.85546875" style="13" customWidth="1"/>
    <col min="12824" max="12824" width="10.7109375" style="13" customWidth="1"/>
    <col min="12825" max="12825" width="16" style="13" customWidth="1"/>
    <col min="12826" max="12826" width="8.7109375" style="13" customWidth="1"/>
    <col min="12827" max="12827" width="6.5703125" style="13" bestFit="1" customWidth="1"/>
    <col min="12828" max="12828" width="8.7109375" style="13" customWidth="1"/>
    <col min="12829" max="12829" width="16" style="13" customWidth="1"/>
    <col min="12830" max="12830" width="15" style="13" customWidth="1"/>
    <col min="12831" max="12831" width="9.42578125" style="13" customWidth="1"/>
    <col min="12832" max="13056" width="9.140625" style="13"/>
    <col min="13057" max="13057" width="12.28515625" style="13" customWidth="1"/>
    <col min="13058" max="13058" width="2.42578125" style="13" customWidth="1"/>
    <col min="13059" max="13059" width="3.42578125" style="13" customWidth="1"/>
    <col min="13060" max="13060" width="13.28515625" style="13" customWidth="1"/>
    <col min="13061" max="13061" width="3.140625" style="13" customWidth="1"/>
    <col min="13062" max="13062" width="5.140625" style="13" customWidth="1"/>
    <col min="13063" max="13063" width="16.42578125" style="13" customWidth="1"/>
    <col min="13064" max="13070" width="0" style="13" hidden="1" customWidth="1"/>
    <col min="13071" max="13071" width="4.140625" style="13" customWidth="1"/>
    <col min="13072" max="13072" width="5.7109375" style="13" customWidth="1"/>
    <col min="13073" max="13073" width="0" style="13" hidden="1" customWidth="1"/>
    <col min="13074" max="13074" width="15.7109375" style="13" customWidth="1"/>
    <col min="13075" max="13075" width="7.7109375" style="13" customWidth="1"/>
    <col min="13076" max="13076" width="9.140625" style="13"/>
    <col min="13077" max="13077" width="10.85546875" style="13" customWidth="1"/>
    <col min="13078" max="13078" width="9.7109375" style="13" customWidth="1"/>
    <col min="13079" max="13079" width="8.85546875" style="13" customWidth="1"/>
    <col min="13080" max="13080" width="10.7109375" style="13" customWidth="1"/>
    <col min="13081" max="13081" width="16" style="13" customWidth="1"/>
    <col min="13082" max="13082" width="8.7109375" style="13" customWidth="1"/>
    <col min="13083" max="13083" width="6.5703125" style="13" bestFit="1" customWidth="1"/>
    <col min="13084" max="13084" width="8.7109375" style="13" customWidth="1"/>
    <col min="13085" max="13085" width="16" style="13" customWidth="1"/>
    <col min="13086" max="13086" width="15" style="13" customWidth="1"/>
    <col min="13087" max="13087" width="9.42578125" style="13" customWidth="1"/>
    <col min="13088" max="13312" width="9.140625" style="13"/>
    <col min="13313" max="13313" width="12.28515625" style="13" customWidth="1"/>
    <col min="13314" max="13314" width="2.42578125" style="13" customWidth="1"/>
    <col min="13315" max="13315" width="3.42578125" style="13" customWidth="1"/>
    <col min="13316" max="13316" width="13.28515625" style="13" customWidth="1"/>
    <col min="13317" max="13317" width="3.140625" style="13" customWidth="1"/>
    <col min="13318" max="13318" width="5.140625" style="13" customWidth="1"/>
    <col min="13319" max="13319" width="16.42578125" style="13" customWidth="1"/>
    <col min="13320" max="13326" width="0" style="13" hidden="1" customWidth="1"/>
    <col min="13327" max="13327" width="4.140625" style="13" customWidth="1"/>
    <col min="13328" max="13328" width="5.7109375" style="13" customWidth="1"/>
    <col min="13329" max="13329" width="0" style="13" hidden="1" customWidth="1"/>
    <col min="13330" max="13330" width="15.7109375" style="13" customWidth="1"/>
    <col min="13331" max="13331" width="7.7109375" style="13" customWidth="1"/>
    <col min="13332" max="13332" width="9.140625" style="13"/>
    <col min="13333" max="13333" width="10.85546875" style="13" customWidth="1"/>
    <col min="13334" max="13334" width="9.7109375" style="13" customWidth="1"/>
    <col min="13335" max="13335" width="8.85546875" style="13" customWidth="1"/>
    <col min="13336" max="13336" width="10.7109375" style="13" customWidth="1"/>
    <col min="13337" max="13337" width="16" style="13" customWidth="1"/>
    <col min="13338" max="13338" width="8.7109375" style="13" customWidth="1"/>
    <col min="13339" max="13339" width="6.5703125" style="13" bestFit="1" customWidth="1"/>
    <col min="13340" max="13340" width="8.7109375" style="13" customWidth="1"/>
    <col min="13341" max="13341" width="16" style="13" customWidth="1"/>
    <col min="13342" max="13342" width="15" style="13" customWidth="1"/>
    <col min="13343" max="13343" width="9.42578125" style="13" customWidth="1"/>
    <col min="13344" max="13568" width="9.140625" style="13"/>
    <col min="13569" max="13569" width="12.28515625" style="13" customWidth="1"/>
    <col min="13570" max="13570" width="2.42578125" style="13" customWidth="1"/>
    <col min="13571" max="13571" width="3.42578125" style="13" customWidth="1"/>
    <col min="13572" max="13572" width="13.28515625" style="13" customWidth="1"/>
    <col min="13573" max="13573" width="3.140625" style="13" customWidth="1"/>
    <col min="13574" max="13574" width="5.140625" style="13" customWidth="1"/>
    <col min="13575" max="13575" width="16.42578125" style="13" customWidth="1"/>
    <col min="13576" max="13582" width="0" style="13" hidden="1" customWidth="1"/>
    <col min="13583" max="13583" width="4.140625" style="13" customWidth="1"/>
    <col min="13584" max="13584" width="5.7109375" style="13" customWidth="1"/>
    <col min="13585" max="13585" width="0" style="13" hidden="1" customWidth="1"/>
    <col min="13586" max="13586" width="15.7109375" style="13" customWidth="1"/>
    <col min="13587" max="13587" width="7.7109375" style="13" customWidth="1"/>
    <col min="13588" max="13588" width="9.140625" style="13"/>
    <col min="13589" max="13589" width="10.85546875" style="13" customWidth="1"/>
    <col min="13590" max="13590" width="9.7109375" style="13" customWidth="1"/>
    <col min="13591" max="13591" width="8.85546875" style="13" customWidth="1"/>
    <col min="13592" max="13592" width="10.7109375" style="13" customWidth="1"/>
    <col min="13593" max="13593" width="16" style="13" customWidth="1"/>
    <col min="13594" max="13594" width="8.7109375" style="13" customWidth="1"/>
    <col min="13595" max="13595" width="6.5703125" style="13" bestFit="1" customWidth="1"/>
    <col min="13596" max="13596" width="8.7109375" style="13" customWidth="1"/>
    <col min="13597" max="13597" width="16" style="13" customWidth="1"/>
    <col min="13598" max="13598" width="15" style="13" customWidth="1"/>
    <col min="13599" max="13599" width="9.42578125" style="13" customWidth="1"/>
    <col min="13600" max="13824" width="9.140625" style="13"/>
    <col min="13825" max="13825" width="12.28515625" style="13" customWidth="1"/>
    <col min="13826" max="13826" width="2.42578125" style="13" customWidth="1"/>
    <col min="13827" max="13827" width="3.42578125" style="13" customWidth="1"/>
    <col min="13828" max="13828" width="13.28515625" style="13" customWidth="1"/>
    <col min="13829" max="13829" width="3.140625" style="13" customWidth="1"/>
    <col min="13830" max="13830" width="5.140625" style="13" customWidth="1"/>
    <col min="13831" max="13831" width="16.42578125" style="13" customWidth="1"/>
    <col min="13832" max="13838" width="0" style="13" hidden="1" customWidth="1"/>
    <col min="13839" max="13839" width="4.140625" style="13" customWidth="1"/>
    <col min="13840" max="13840" width="5.7109375" style="13" customWidth="1"/>
    <col min="13841" max="13841" width="0" style="13" hidden="1" customWidth="1"/>
    <col min="13842" max="13842" width="15.7109375" style="13" customWidth="1"/>
    <col min="13843" max="13843" width="7.7109375" style="13" customWidth="1"/>
    <col min="13844" max="13844" width="9.140625" style="13"/>
    <col min="13845" max="13845" width="10.85546875" style="13" customWidth="1"/>
    <col min="13846" max="13846" width="9.7109375" style="13" customWidth="1"/>
    <col min="13847" max="13847" width="8.85546875" style="13" customWidth="1"/>
    <col min="13848" max="13848" width="10.7109375" style="13" customWidth="1"/>
    <col min="13849" max="13849" width="16" style="13" customWidth="1"/>
    <col min="13850" max="13850" width="8.7109375" style="13" customWidth="1"/>
    <col min="13851" max="13851" width="6.5703125" style="13" bestFit="1" customWidth="1"/>
    <col min="13852" max="13852" width="8.7109375" style="13" customWidth="1"/>
    <col min="13853" max="13853" width="16" style="13" customWidth="1"/>
    <col min="13854" max="13854" width="15" style="13" customWidth="1"/>
    <col min="13855" max="13855" width="9.42578125" style="13" customWidth="1"/>
    <col min="13856" max="14080" width="9.140625" style="13"/>
    <col min="14081" max="14081" width="12.28515625" style="13" customWidth="1"/>
    <col min="14082" max="14082" width="2.42578125" style="13" customWidth="1"/>
    <col min="14083" max="14083" width="3.42578125" style="13" customWidth="1"/>
    <col min="14084" max="14084" width="13.28515625" style="13" customWidth="1"/>
    <col min="14085" max="14085" width="3.140625" style="13" customWidth="1"/>
    <col min="14086" max="14086" width="5.140625" style="13" customWidth="1"/>
    <col min="14087" max="14087" width="16.42578125" style="13" customWidth="1"/>
    <col min="14088" max="14094" width="0" style="13" hidden="1" customWidth="1"/>
    <col min="14095" max="14095" width="4.140625" style="13" customWidth="1"/>
    <col min="14096" max="14096" width="5.7109375" style="13" customWidth="1"/>
    <col min="14097" max="14097" width="0" style="13" hidden="1" customWidth="1"/>
    <col min="14098" max="14098" width="15.7109375" style="13" customWidth="1"/>
    <col min="14099" max="14099" width="7.7109375" style="13" customWidth="1"/>
    <col min="14100" max="14100" width="9.140625" style="13"/>
    <col min="14101" max="14101" width="10.85546875" style="13" customWidth="1"/>
    <col min="14102" max="14102" width="9.7109375" style="13" customWidth="1"/>
    <col min="14103" max="14103" width="8.85546875" style="13" customWidth="1"/>
    <col min="14104" max="14104" width="10.7109375" style="13" customWidth="1"/>
    <col min="14105" max="14105" width="16" style="13" customWidth="1"/>
    <col min="14106" max="14106" width="8.7109375" style="13" customWidth="1"/>
    <col min="14107" max="14107" width="6.5703125" style="13" bestFit="1" customWidth="1"/>
    <col min="14108" max="14108" width="8.7109375" style="13" customWidth="1"/>
    <col min="14109" max="14109" width="16" style="13" customWidth="1"/>
    <col min="14110" max="14110" width="15" style="13" customWidth="1"/>
    <col min="14111" max="14111" width="9.42578125" style="13" customWidth="1"/>
    <col min="14112" max="14336" width="9.140625" style="13"/>
    <col min="14337" max="14337" width="12.28515625" style="13" customWidth="1"/>
    <col min="14338" max="14338" width="2.42578125" style="13" customWidth="1"/>
    <col min="14339" max="14339" width="3.42578125" style="13" customWidth="1"/>
    <col min="14340" max="14340" width="13.28515625" style="13" customWidth="1"/>
    <col min="14341" max="14341" width="3.140625" style="13" customWidth="1"/>
    <col min="14342" max="14342" width="5.140625" style="13" customWidth="1"/>
    <col min="14343" max="14343" width="16.42578125" style="13" customWidth="1"/>
    <col min="14344" max="14350" width="0" style="13" hidden="1" customWidth="1"/>
    <col min="14351" max="14351" width="4.140625" style="13" customWidth="1"/>
    <col min="14352" max="14352" width="5.7109375" style="13" customWidth="1"/>
    <col min="14353" max="14353" width="0" style="13" hidden="1" customWidth="1"/>
    <col min="14354" max="14354" width="15.7109375" style="13" customWidth="1"/>
    <col min="14355" max="14355" width="7.7109375" style="13" customWidth="1"/>
    <col min="14356" max="14356" width="9.140625" style="13"/>
    <col min="14357" max="14357" width="10.85546875" style="13" customWidth="1"/>
    <col min="14358" max="14358" width="9.7109375" style="13" customWidth="1"/>
    <col min="14359" max="14359" width="8.85546875" style="13" customWidth="1"/>
    <col min="14360" max="14360" width="10.7109375" style="13" customWidth="1"/>
    <col min="14361" max="14361" width="16" style="13" customWidth="1"/>
    <col min="14362" max="14362" width="8.7109375" style="13" customWidth="1"/>
    <col min="14363" max="14363" width="6.5703125" style="13" bestFit="1" customWidth="1"/>
    <col min="14364" max="14364" width="8.7109375" style="13" customWidth="1"/>
    <col min="14365" max="14365" width="16" style="13" customWidth="1"/>
    <col min="14366" max="14366" width="15" style="13" customWidth="1"/>
    <col min="14367" max="14367" width="9.42578125" style="13" customWidth="1"/>
    <col min="14368" max="14592" width="9.140625" style="13"/>
    <col min="14593" max="14593" width="12.28515625" style="13" customWidth="1"/>
    <col min="14594" max="14594" width="2.42578125" style="13" customWidth="1"/>
    <col min="14595" max="14595" width="3.42578125" style="13" customWidth="1"/>
    <col min="14596" max="14596" width="13.28515625" style="13" customWidth="1"/>
    <col min="14597" max="14597" width="3.140625" style="13" customWidth="1"/>
    <col min="14598" max="14598" width="5.140625" style="13" customWidth="1"/>
    <col min="14599" max="14599" width="16.42578125" style="13" customWidth="1"/>
    <col min="14600" max="14606" width="0" style="13" hidden="1" customWidth="1"/>
    <col min="14607" max="14607" width="4.140625" style="13" customWidth="1"/>
    <col min="14608" max="14608" width="5.7109375" style="13" customWidth="1"/>
    <col min="14609" max="14609" width="0" style="13" hidden="1" customWidth="1"/>
    <col min="14610" max="14610" width="15.7109375" style="13" customWidth="1"/>
    <col min="14611" max="14611" width="7.7109375" style="13" customWidth="1"/>
    <col min="14612" max="14612" width="9.140625" style="13"/>
    <col min="14613" max="14613" width="10.85546875" style="13" customWidth="1"/>
    <col min="14614" max="14614" width="9.7109375" style="13" customWidth="1"/>
    <col min="14615" max="14615" width="8.85546875" style="13" customWidth="1"/>
    <col min="14616" max="14616" width="10.7109375" style="13" customWidth="1"/>
    <col min="14617" max="14617" width="16" style="13" customWidth="1"/>
    <col min="14618" max="14618" width="8.7109375" style="13" customWidth="1"/>
    <col min="14619" max="14619" width="6.5703125" style="13" bestFit="1" customWidth="1"/>
    <col min="14620" max="14620" width="8.7109375" style="13" customWidth="1"/>
    <col min="14621" max="14621" width="16" style="13" customWidth="1"/>
    <col min="14622" max="14622" width="15" style="13" customWidth="1"/>
    <col min="14623" max="14623" width="9.42578125" style="13" customWidth="1"/>
    <col min="14624" max="14848" width="9.140625" style="13"/>
    <col min="14849" max="14849" width="12.28515625" style="13" customWidth="1"/>
    <col min="14850" max="14850" width="2.42578125" style="13" customWidth="1"/>
    <col min="14851" max="14851" width="3.42578125" style="13" customWidth="1"/>
    <col min="14852" max="14852" width="13.28515625" style="13" customWidth="1"/>
    <col min="14853" max="14853" width="3.140625" style="13" customWidth="1"/>
    <col min="14854" max="14854" width="5.140625" style="13" customWidth="1"/>
    <col min="14855" max="14855" width="16.42578125" style="13" customWidth="1"/>
    <col min="14856" max="14862" width="0" style="13" hidden="1" customWidth="1"/>
    <col min="14863" max="14863" width="4.140625" style="13" customWidth="1"/>
    <col min="14864" max="14864" width="5.7109375" style="13" customWidth="1"/>
    <col min="14865" max="14865" width="0" style="13" hidden="1" customWidth="1"/>
    <col min="14866" max="14866" width="15.7109375" style="13" customWidth="1"/>
    <col min="14867" max="14867" width="7.7109375" style="13" customWidth="1"/>
    <col min="14868" max="14868" width="9.140625" style="13"/>
    <col min="14869" max="14869" width="10.85546875" style="13" customWidth="1"/>
    <col min="14870" max="14870" width="9.7109375" style="13" customWidth="1"/>
    <col min="14871" max="14871" width="8.85546875" style="13" customWidth="1"/>
    <col min="14872" max="14872" width="10.7109375" style="13" customWidth="1"/>
    <col min="14873" max="14873" width="16" style="13" customWidth="1"/>
    <col min="14874" max="14874" width="8.7109375" style="13" customWidth="1"/>
    <col min="14875" max="14875" width="6.5703125" style="13" bestFit="1" customWidth="1"/>
    <col min="14876" max="14876" width="8.7109375" style="13" customWidth="1"/>
    <col min="14877" max="14877" width="16" style="13" customWidth="1"/>
    <col min="14878" max="14878" width="15" style="13" customWidth="1"/>
    <col min="14879" max="14879" width="9.42578125" style="13" customWidth="1"/>
    <col min="14880" max="15104" width="9.140625" style="13"/>
    <col min="15105" max="15105" width="12.28515625" style="13" customWidth="1"/>
    <col min="15106" max="15106" width="2.42578125" style="13" customWidth="1"/>
    <col min="15107" max="15107" width="3.42578125" style="13" customWidth="1"/>
    <col min="15108" max="15108" width="13.28515625" style="13" customWidth="1"/>
    <col min="15109" max="15109" width="3.140625" style="13" customWidth="1"/>
    <col min="15110" max="15110" width="5.140625" style="13" customWidth="1"/>
    <col min="15111" max="15111" width="16.42578125" style="13" customWidth="1"/>
    <col min="15112" max="15118" width="0" style="13" hidden="1" customWidth="1"/>
    <col min="15119" max="15119" width="4.140625" style="13" customWidth="1"/>
    <col min="15120" max="15120" width="5.7109375" style="13" customWidth="1"/>
    <col min="15121" max="15121" width="0" style="13" hidden="1" customWidth="1"/>
    <col min="15122" max="15122" width="15.7109375" style="13" customWidth="1"/>
    <col min="15123" max="15123" width="7.7109375" style="13" customWidth="1"/>
    <col min="15124" max="15124" width="9.140625" style="13"/>
    <col min="15125" max="15125" width="10.85546875" style="13" customWidth="1"/>
    <col min="15126" max="15126" width="9.7109375" style="13" customWidth="1"/>
    <col min="15127" max="15127" width="8.85546875" style="13" customWidth="1"/>
    <col min="15128" max="15128" width="10.7109375" style="13" customWidth="1"/>
    <col min="15129" max="15129" width="16" style="13" customWidth="1"/>
    <col min="15130" max="15130" width="8.7109375" style="13" customWidth="1"/>
    <col min="15131" max="15131" width="6.5703125" style="13" bestFit="1" customWidth="1"/>
    <col min="15132" max="15132" width="8.7109375" style="13" customWidth="1"/>
    <col min="15133" max="15133" width="16" style="13" customWidth="1"/>
    <col min="15134" max="15134" width="15" style="13" customWidth="1"/>
    <col min="15135" max="15135" width="9.42578125" style="13" customWidth="1"/>
    <col min="15136" max="15360" width="9.140625" style="13"/>
    <col min="15361" max="15361" width="12.28515625" style="13" customWidth="1"/>
    <col min="15362" max="15362" width="2.42578125" style="13" customWidth="1"/>
    <col min="15363" max="15363" width="3.42578125" style="13" customWidth="1"/>
    <col min="15364" max="15364" width="13.28515625" style="13" customWidth="1"/>
    <col min="15365" max="15365" width="3.140625" style="13" customWidth="1"/>
    <col min="15366" max="15366" width="5.140625" style="13" customWidth="1"/>
    <col min="15367" max="15367" width="16.42578125" style="13" customWidth="1"/>
    <col min="15368" max="15374" width="0" style="13" hidden="1" customWidth="1"/>
    <col min="15375" max="15375" width="4.140625" style="13" customWidth="1"/>
    <col min="15376" max="15376" width="5.7109375" style="13" customWidth="1"/>
    <col min="15377" max="15377" width="0" style="13" hidden="1" customWidth="1"/>
    <col min="15378" max="15378" width="15.7109375" style="13" customWidth="1"/>
    <col min="15379" max="15379" width="7.7109375" style="13" customWidth="1"/>
    <col min="15380" max="15380" width="9.140625" style="13"/>
    <col min="15381" max="15381" width="10.85546875" style="13" customWidth="1"/>
    <col min="15382" max="15382" width="9.7109375" style="13" customWidth="1"/>
    <col min="15383" max="15383" width="8.85546875" style="13" customWidth="1"/>
    <col min="15384" max="15384" width="10.7109375" style="13" customWidth="1"/>
    <col min="15385" max="15385" width="16" style="13" customWidth="1"/>
    <col min="15386" max="15386" width="8.7109375" style="13" customWidth="1"/>
    <col min="15387" max="15387" width="6.5703125" style="13" bestFit="1" customWidth="1"/>
    <col min="15388" max="15388" width="8.7109375" style="13" customWidth="1"/>
    <col min="15389" max="15389" width="16" style="13" customWidth="1"/>
    <col min="15390" max="15390" width="15" style="13" customWidth="1"/>
    <col min="15391" max="15391" width="9.42578125" style="13" customWidth="1"/>
    <col min="15392" max="15616" width="9.140625" style="13"/>
    <col min="15617" max="15617" width="12.28515625" style="13" customWidth="1"/>
    <col min="15618" max="15618" width="2.42578125" style="13" customWidth="1"/>
    <col min="15619" max="15619" width="3.42578125" style="13" customWidth="1"/>
    <col min="15620" max="15620" width="13.28515625" style="13" customWidth="1"/>
    <col min="15621" max="15621" width="3.140625" style="13" customWidth="1"/>
    <col min="15622" max="15622" width="5.140625" style="13" customWidth="1"/>
    <col min="15623" max="15623" width="16.42578125" style="13" customWidth="1"/>
    <col min="15624" max="15630" width="0" style="13" hidden="1" customWidth="1"/>
    <col min="15631" max="15631" width="4.140625" style="13" customWidth="1"/>
    <col min="15632" max="15632" width="5.7109375" style="13" customWidth="1"/>
    <col min="15633" max="15633" width="0" style="13" hidden="1" customWidth="1"/>
    <col min="15634" max="15634" width="15.7109375" style="13" customWidth="1"/>
    <col min="15635" max="15635" width="7.7109375" style="13" customWidth="1"/>
    <col min="15636" max="15636" width="9.140625" style="13"/>
    <col min="15637" max="15637" width="10.85546875" style="13" customWidth="1"/>
    <col min="15638" max="15638" width="9.7109375" style="13" customWidth="1"/>
    <col min="15639" max="15639" width="8.85546875" style="13" customWidth="1"/>
    <col min="15640" max="15640" width="10.7109375" style="13" customWidth="1"/>
    <col min="15641" max="15641" width="16" style="13" customWidth="1"/>
    <col min="15642" max="15642" width="8.7109375" style="13" customWidth="1"/>
    <col min="15643" max="15643" width="6.5703125" style="13" bestFit="1" customWidth="1"/>
    <col min="15644" max="15644" width="8.7109375" style="13" customWidth="1"/>
    <col min="15645" max="15645" width="16" style="13" customWidth="1"/>
    <col min="15646" max="15646" width="15" style="13" customWidth="1"/>
    <col min="15647" max="15647" width="9.42578125" style="13" customWidth="1"/>
    <col min="15648" max="15872" width="9.140625" style="13"/>
    <col min="15873" max="15873" width="12.28515625" style="13" customWidth="1"/>
    <col min="15874" max="15874" width="2.42578125" style="13" customWidth="1"/>
    <col min="15875" max="15875" width="3.42578125" style="13" customWidth="1"/>
    <col min="15876" max="15876" width="13.28515625" style="13" customWidth="1"/>
    <col min="15877" max="15877" width="3.140625" style="13" customWidth="1"/>
    <col min="15878" max="15878" width="5.140625" style="13" customWidth="1"/>
    <col min="15879" max="15879" width="16.42578125" style="13" customWidth="1"/>
    <col min="15880" max="15886" width="0" style="13" hidden="1" customWidth="1"/>
    <col min="15887" max="15887" width="4.140625" style="13" customWidth="1"/>
    <col min="15888" max="15888" width="5.7109375" style="13" customWidth="1"/>
    <col min="15889" max="15889" width="0" style="13" hidden="1" customWidth="1"/>
    <col min="15890" max="15890" width="15.7109375" style="13" customWidth="1"/>
    <col min="15891" max="15891" width="7.7109375" style="13" customWidth="1"/>
    <col min="15892" max="15892" width="9.140625" style="13"/>
    <col min="15893" max="15893" width="10.85546875" style="13" customWidth="1"/>
    <col min="15894" max="15894" width="9.7109375" style="13" customWidth="1"/>
    <col min="15895" max="15895" width="8.85546875" style="13" customWidth="1"/>
    <col min="15896" max="15896" width="10.7109375" style="13" customWidth="1"/>
    <col min="15897" max="15897" width="16" style="13" customWidth="1"/>
    <col min="15898" max="15898" width="8.7109375" style="13" customWidth="1"/>
    <col min="15899" max="15899" width="6.5703125" style="13" bestFit="1" customWidth="1"/>
    <col min="15900" max="15900" width="8.7109375" style="13" customWidth="1"/>
    <col min="15901" max="15901" width="16" style="13" customWidth="1"/>
    <col min="15902" max="15902" width="15" style="13" customWidth="1"/>
    <col min="15903" max="15903" width="9.42578125" style="13" customWidth="1"/>
    <col min="15904" max="16128" width="9.140625" style="13"/>
    <col min="16129" max="16129" width="12.28515625" style="13" customWidth="1"/>
    <col min="16130" max="16130" width="2.42578125" style="13" customWidth="1"/>
    <col min="16131" max="16131" width="3.42578125" style="13" customWidth="1"/>
    <col min="16132" max="16132" width="13.28515625" style="13" customWidth="1"/>
    <col min="16133" max="16133" width="3.140625" style="13" customWidth="1"/>
    <col min="16134" max="16134" width="5.140625" style="13" customWidth="1"/>
    <col min="16135" max="16135" width="16.42578125" style="13" customWidth="1"/>
    <col min="16136" max="16142" width="0" style="13" hidden="1" customWidth="1"/>
    <col min="16143" max="16143" width="4.140625" style="13" customWidth="1"/>
    <col min="16144" max="16144" width="5.7109375" style="13" customWidth="1"/>
    <col min="16145" max="16145" width="0" style="13" hidden="1" customWidth="1"/>
    <col min="16146" max="16146" width="15.7109375" style="13" customWidth="1"/>
    <col min="16147" max="16147" width="7.7109375" style="13" customWidth="1"/>
    <col min="16148" max="16148" width="9.140625" style="13"/>
    <col min="16149" max="16149" width="10.85546875" style="13" customWidth="1"/>
    <col min="16150" max="16150" width="9.7109375" style="13" customWidth="1"/>
    <col min="16151" max="16151" width="8.85546875" style="13" customWidth="1"/>
    <col min="16152" max="16152" width="10.7109375" style="13" customWidth="1"/>
    <col min="16153" max="16153" width="16" style="13" customWidth="1"/>
    <col min="16154" max="16154" width="8.7109375" style="13" customWidth="1"/>
    <col min="16155" max="16155" width="6.5703125" style="13" bestFit="1" customWidth="1"/>
    <col min="16156" max="16156" width="8.7109375" style="13" customWidth="1"/>
    <col min="16157" max="16157" width="16" style="13" customWidth="1"/>
    <col min="16158" max="16158" width="15" style="13" customWidth="1"/>
    <col min="16159" max="16159" width="9.42578125" style="13" customWidth="1"/>
    <col min="16160" max="16384" width="9.140625" style="13"/>
  </cols>
  <sheetData>
    <row r="1" spans="1:31" ht="12.95" customHeight="1" x14ac:dyDescent="0.35">
      <c r="A1" s="533"/>
      <c r="B1" s="533"/>
      <c r="C1" s="533"/>
      <c r="D1" s="533"/>
      <c r="E1" s="533"/>
      <c r="F1" s="533"/>
      <c r="G1" s="533"/>
      <c r="H1" s="533"/>
      <c r="I1" s="533"/>
      <c r="J1" s="533"/>
      <c r="K1" s="533"/>
      <c r="L1" s="533"/>
      <c r="M1" s="533"/>
      <c r="N1" s="533"/>
      <c r="O1" s="533"/>
      <c r="P1" s="533"/>
      <c r="Q1" s="533"/>
      <c r="R1" s="533"/>
      <c r="S1" s="533"/>
    </row>
    <row r="2" spans="1:31" s="14" customFormat="1" ht="15" customHeight="1" x14ac:dyDescent="0.35">
      <c r="A2" s="533" t="s">
        <v>31</v>
      </c>
      <c r="B2" s="533"/>
      <c r="C2" s="533"/>
      <c r="D2" s="533"/>
      <c r="E2" s="533"/>
      <c r="F2" s="533"/>
      <c r="G2" s="533"/>
      <c r="H2" s="533"/>
      <c r="I2" s="533"/>
      <c r="J2" s="533"/>
      <c r="K2" s="533"/>
      <c r="L2" s="533"/>
      <c r="M2" s="533"/>
      <c r="N2" s="533"/>
      <c r="O2" s="533"/>
      <c r="P2" s="533"/>
      <c r="Q2" s="533"/>
      <c r="R2" s="533"/>
      <c r="S2" s="533"/>
      <c r="T2" s="533"/>
      <c r="U2" s="533"/>
      <c r="V2" s="533"/>
      <c r="W2" s="533"/>
      <c r="X2" s="533"/>
      <c r="Y2" s="533"/>
      <c r="Z2" s="533"/>
      <c r="AA2" s="533"/>
      <c r="AB2" s="533"/>
      <c r="AC2" s="533"/>
      <c r="AD2" s="533"/>
      <c r="AE2" s="533"/>
    </row>
    <row r="3" spans="1:31" s="14" customFormat="1" ht="15" customHeight="1" x14ac:dyDescent="0.35">
      <c r="A3" s="534" t="s">
        <v>269</v>
      </c>
      <c r="B3" s="533"/>
      <c r="C3" s="533"/>
      <c r="D3" s="533"/>
      <c r="E3" s="533"/>
      <c r="F3" s="533"/>
      <c r="G3" s="533"/>
      <c r="H3" s="533"/>
      <c r="I3" s="533"/>
      <c r="J3" s="533"/>
      <c r="K3" s="533"/>
      <c r="L3" s="533"/>
      <c r="M3" s="533"/>
      <c r="N3" s="533"/>
      <c r="O3" s="533"/>
      <c r="P3" s="533"/>
      <c r="Q3" s="533"/>
      <c r="R3" s="533"/>
      <c r="S3" s="533"/>
      <c r="T3" s="533"/>
      <c r="U3" s="533"/>
      <c r="V3" s="533"/>
      <c r="W3" s="533"/>
      <c r="X3" s="533"/>
      <c r="Y3" s="533"/>
      <c r="Z3" s="533"/>
      <c r="AA3" s="533"/>
      <c r="AB3" s="533"/>
      <c r="AC3" s="533"/>
      <c r="AD3" s="533"/>
      <c r="AE3" s="533"/>
    </row>
    <row r="4" spans="1:31" s="14" customFormat="1" ht="12.95" customHeight="1" x14ac:dyDescent="0.35">
      <c r="A4" s="454"/>
      <c r="B4" s="454"/>
      <c r="C4" s="454"/>
      <c r="D4" s="454"/>
      <c r="E4" s="454"/>
      <c r="F4" s="454"/>
      <c r="G4" s="454"/>
      <c r="H4" s="454"/>
      <c r="I4" s="454"/>
      <c r="J4" s="454"/>
      <c r="K4" s="454"/>
      <c r="L4" s="454"/>
      <c r="M4" s="454"/>
      <c r="N4" s="454"/>
      <c r="O4" s="454"/>
      <c r="P4" s="454"/>
      <c r="Q4" s="454"/>
      <c r="R4" s="454"/>
      <c r="S4" s="454"/>
    </row>
    <row r="5" spans="1:31" s="14" customFormat="1" ht="12.95" customHeight="1" x14ac:dyDescent="0.35">
      <c r="A5" s="16" t="s">
        <v>32</v>
      </c>
      <c r="B5" s="454"/>
      <c r="C5" s="454"/>
      <c r="D5" s="454"/>
      <c r="E5" s="454" t="s">
        <v>33</v>
      </c>
      <c r="F5" s="16" t="s">
        <v>34</v>
      </c>
      <c r="G5" s="454"/>
      <c r="H5" s="454"/>
      <c r="I5" s="454"/>
      <c r="J5" s="454"/>
      <c r="K5" s="454"/>
      <c r="L5" s="454"/>
      <c r="M5" s="454"/>
      <c r="N5" s="454"/>
      <c r="O5" s="454"/>
      <c r="P5" s="454"/>
      <c r="Q5" s="454"/>
      <c r="R5" s="454"/>
      <c r="S5" s="454"/>
    </row>
    <row r="6" spans="1:31" s="14" customFormat="1" ht="12.95" customHeight="1" x14ac:dyDescent="0.35">
      <c r="A6" s="16" t="s">
        <v>35</v>
      </c>
      <c r="B6" s="454"/>
      <c r="C6" s="454"/>
      <c r="D6" s="454"/>
      <c r="E6" s="454" t="s">
        <v>33</v>
      </c>
      <c r="F6" s="16" t="s">
        <v>179</v>
      </c>
      <c r="G6" s="454"/>
      <c r="H6" s="454"/>
      <c r="I6" s="454"/>
      <c r="J6" s="454"/>
      <c r="K6" s="454"/>
      <c r="L6" s="454"/>
      <c r="M6" s="454"/>
      <c r="N6" s="454"/>
      <c r="O6" s="454"/>
      <c r="P6" s="454"/>
      <c r="Q6" s="454"/>
      <c r="R6" s="454"/>
      <c r="S6" s="454"/>
    </row>
    <row r="7" spans="1:31" s="14" customFormat="1" ht="12.95" customHeight="1" x14ac:dyDescent="0.35">
      <c r="A7" s="16" t="s">
        <v>36</v>
      </c>
      <c r="B7" s="454"/>
      <c r="C7" s="454"/>
      <c r="D7" s="454"/>
      <c r="E7" s="454" t="s">
        <v>33</v>
      </c>
      <c r="F7" s="535">
        <v>2239183000</v>
      </c>
      <c r="G7" s="535"/>
      <c r="H7" s="17"/>
      <c r="I7" s="17"/>
      <c r="J7" s="17"/>
      <c r="K7" s="17"/>
      <c r="L7" s="17"/>
      <c r="M7" s="17"/>
      <c r="N7" s="17"/>
      <c r="O7" s="17"/>
      <c r="P7" s="17"/>
      <c r="Q7" s="454"/>
      <c r="R7" s="454"/>
      <c r="S7" s="454"/>
    </row>
    <row r="8" spans="1:31" s="14" customFormat="1" ht="12.95" customHeight="1" x14ac:dyDescent="0.35">
      <c r="A8" s="16" t="s">
        <v>37</v>
      </c>
      <c r="B8" s="454"/>
      <c r="C8" s="454"/>
      <c r="D8" s="454"/>
      <c r="E8" s="454" t="s">
        <v>33</v>
      </c>
      <c r="F8" s="16" t="s">
        <v>38</v>
      </c>
      <c r="G8" s="454"/>
      <c r="H8" s="454"/>
      <c r="I8" s="454"/>
      <c r="J8" s="454"/>
      <c r="K8" s="454"/>
      <c r="L8" s="454"/>
      <c r="M8" s="454"/>
      <c r="N8" s="454"/>
      <c r="O8" s="454"/>
      <c r="P8" s="454"/>
      <c r="Q8" s="454"/>
      <c r="R8" s="454"/>
      <c r="S8" s="454"/>
    </row>
    <row r="9" spans="1:31" s="14" customFormat="1" ht="12.95" customHeight="1" x14ac:dyDescent="0.35">
      <c r="A9" s="16" t="s">
        <v>39</v>
      </c>
      <c r="B9" s="454"/>
      <c r="C9" s="454"/>
      <c r="D9" s="454"/>
      <c r="E9" s="454" t="s">
        <v>33</v>
      </c>
      <c r="F9" s="16" t="s">
        <v>40</v>
      </c>
      <c r="G9" s="454"/>
      <c r="H9" s="454"/>
      <c r="I9" s="454"/>
      <c r="J9" s="454"/>
      <c r="K9" s="454"/>
      <c r="L9" s="454"/>
      <c r="M9" s="454"/>
      <c r="N9" s="454"/>
      <c r="O9" s="454"/>
      <c r="P9" s="454"/>
      <c r="Q9" s="454"/>
      <c r="R9" s="454"/>
      <c r="S9" s="454"/>
    </row>
    <row r="10" spans="1:31" ht="12.95" customHeight="1" x14ac:dyDescent="0.35">
      <c r="A10" s="453"/>
      <c r="B10" s="453"/>
      <c r="C10" s="453"/>
      <c r="D10" s="453"/>
      <c r="E10" s="453"/>
      <c r="F10" s="453"/>
      <c r="G10" s="453"/>
      <c r="H10" s="453"/>
      <c r="I10" s="453"/>
      <c r="J10" s="453"/>
      <c r="K10" s="453"/>
      <c r="L10" s="453"/>
      <c r="M10" s="453"/>
      <c r="N10" s="453"/>
      <c r="O10" s="453"/>
      <c r="P10" s="453"/>
      <c r="Q10" s="453"/>
      <c r="R10" s="453"/>
      <c r="S10" s="453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</row>
    <row r="11" spans="1:31" ht="12.95" customHeight="1" x14ac:dyDescent="0.35">
      <c r="A11" s="19"/>
      <c r="B11" s="20"/>
      <c r="C11" s="21"/>
      <c r="D11" s="21"/>
      <c r="E11" s="21"/>
      <c r="F11" s="21"/>
      <c r="G11" s="22"/>
      <c r="H11" s="23"/>
      <c r="I11" s="23"/>
      <c r="J11" s="24"/>
      <c r="K11" s="25"/>
      <c r="L11" s="23"/>
      <c r="M11" s="23"/>
      <c r="N11" s="23"/>
      <c r="O11" s="20"/>
      <c r="P11" s="22"/>
      <c r="Q11" s="23"/>
      <c r="R11" s="23"/>
      <c r="S11" s="26"/>
      <c r="T11" s="21"/>
      <c r="U11" s="22"/>
      <c r="V11" s="22"/>
      <c r="W11" s="536" t="s">
        <v>41</v>
      </c>
      <c r="X11" s="537"/>
      <c r="Y11" s="540" t="s">
        <v>42</v>
      </c>
      <c r="Z11" s="541"/>
      <c r="AA11" s="542" t="s">
        <v>43</v>
      </c>
      <c r="AB11" s="543"/>
      <c r="AC11" s="536" t="s">
        <v>44</v>
      </c>
      <c r="AD11" s="544"/>
      <c r="AE11" s="546" t="s">
        <v>45</v>
      </c>
    </row>
    <row r="12" spans="1:31" s="28" customFormat="1" ht="12.95" customHeight="1" x14ac:dyDescent="0.35">
      <c r="A12" s="549" t="s">
        <v>46</v>
      </c>
      <c r="B12" s="551" t="s">
        <v>47</v>
      </c>
      <c r="C12" s="551"/>
      <c r="D12" s="551"/>
      <c r="E12" s="551"/>
      <c r="F12" s="551"/>
      <c r="G12" s="551"/>
      <c r="H12" s="518" t="s">
        <v>48</v>
      </c>
      <c r="I12" s="519"/>
      <c r="J12" s="519"/>
      <c r="K12" s="553"/>
      <c r="O12" s="554" t="s">
        <v>49</v>
      </c>
      <c r="P12" s="551"/>
      <c r="Q12" s="556" t="s">
        <v>50</v>
      </c>
      <c r="R12" s="558" t="s">
        <v>51</v>
      </c>
      <c r="S12" s="531" t="s">
        <v>52</v>
      </c>
      <c r="T12" s="518" t="s">
        <v>53</v>
      </c>
      <c r="U12" s="553"/>
      <c r="V12" s="29" t="s">
        <v>54</v>
      </c>
      <c r="W12" s="538"/>
      <c r="X12" s="539"/>
      <c r="Y12" s="518" t="s">
        <v>55</v>
      </c>
      <c r="Z12" s="519"/>
      <c r="AA12" s="520" t="s">
        <v>56</v>
      </c>
      <c r="AB12" s="521"/>
      <c r="AC12" s="538"/>
      <c r="AD12" s="545"/>
      <c r="AE12" s="547"/>
    </row>
    <row r="13" spans="1:31" s="30" customFormat="1" ht="12.95" customHeight="1" x14ac:dyDescent="0.35">
      <c r="A13" s="549"/>
      <c r="B13" s="551"/>
      <c r="C13" s="551"/>
      <c r="D13" s="551"/>
      <c r="E13" s="551"/>
      <c r="F13" s="551"/>
      <c r="G13" s="551"/>
      <c r="H13" s="522" t="s">
        <v>49</v>
      </c>
      <c r="I13" s="522"/>
      <c r="J13" s="525" t="s">
        <v>50</v>
      </c>
      <c r="K13" s="528" t="s">
        <v>57</v>
      </c>
      <c r="O13" s="554"/>
      <c r="P13" s="551"/>
      <c r="Q13" s="556"/>
      <c r="R13" s="558"/>
      <c r="S13" s="531"/>
      <c r="T13" s="31" t="s">
        <v>58</v>
      </c>
      <c r="U13" s="31" t="s">
        <v>59</v>
      </c>
      <c r="V13" s="32"/>
      <c r="W13" s="32"/>
      <c r="X13" s="32" t="s">
        <v>60</v>
      </c>
      <c r="Y13" s="32"/>
      <c r="Z13" s="32" t="s">
        <v>61</v>
      </c>
      <c r="AA13" s="32" t="s">
        <v>62</v>
      </c>
      <c r="AB13" s="32" t="s">
        <v>63</v>
      </c>
      <c r="AC13" s="32" t="s">
        <v>64</v>
      </c>
      <c r="AD13" s="33" t="s">
        <v>65</v>
      </c>
      <c r="AE13" s="547"/>
    </row>
    <row r="14" spans="1:31" s="30" customFormat="1" ht="12.95" customHeight="1" x14ac:dyDescent="0.35">
      <c r="A14" s="549"/>
      <c r="B14" s="551"/>
      <c r="C14" s="551"/>
      <c r="D14" s="551"/>
      <c r="E14" s="551"/>
      <c r="F14" s="551"/>
      <c r="G14" s="551"/>
      <c r="H14" s="523"/>
      <c r="I14" s="523"/>
      <c r="J14" s="526"/>
      <c r="K14" s="529"/>
      <c r="O14" s="554"/>
      <c r="P14" s="551"/>
      <c r="Q14" s="556"/>
      <c r="R14" s="558"/>
      <c r="S14" s="531"/>
      <c r="T14" s="31" t="s">
        <v>66</v>
      </c>
      <c r="U14" s="31" t="s">
        <v>67</v>
      </c>
      <c r="V14" s="31" t="s">
        <v>68</v>
      </c>
      <c r="W14" s="32" t="s">
        <v>69</v>
      </c>
      <c r="X14" s="32" t="s">
        <v>60</v>
      </c>
      <c r="Y14" s="32" t="s">
        <v>70</v>
      </c>
      <c r="Z14" s="32" t="s">
        <v>71</v>
      </c>
      <c r="AA14" s="32" t="s">
        <v>72</v>
      </c>
      <c r="AB14" s="32" t="s">
        <v>73</v>
      </c>
      <c r="AC14" s="32" t="s">
        <v>74</v>
      </c>
      <c r="AD14" s="33" t="s">
        <v>75</v>
      </c>
      <c r="AE14" s="547"/>
    </row>
    <row r="15" spans="1:31" s="30" customFormat="1" ht="12.95" customHeight="1" thickBot="1" x14ac:dyDescent="0.4">
      <c r="A15" s="550"/>
      <c r="B15" s="552"/>
      <c r="C15" s="552"/>
      <c r="D15" s="552"/>
      <c r="E15" s="552"/>
      <c r="F15" s="552"/>
      <c r="G15" s="552"/>
      <c r="H15" s="524"/>
      <c r="I15" s="524"/>
      <c r="J15" s="527"/>
      <c r="K15" s="530"/>
      <c r="O15" s="555"/>
      <c r="P15" s="552"/>
      <c r="Q15" s="557"/>
      <c r="R15" s="559"/>
      <c r="S15" s="532"/>
      <c r="T15" s="34" t="s">
        <v>76</v>
      </c>
      <c r="U15" s="34"/>
      <c r="V15" s="35"/>
      <c r="W15" s="35"/>
      <c r="X15" s="35"/>
      <c r="Y15" s="35"/>
      <c r="Z15" s="35"/>
      <c r="AA15" s="35"/>
      <c r="AB15" s="35"/>
      <c r="AC15" s="35" t="s">
        <v>77</v>
      </c>
      <c r="AD15" s="36" t="s">
        <v>78</v>
      </c>
      <c r="AE15" s="548"/>
    </row>
    <row r="16" spans="1:31" s="40" customFormat="1" ht="12.95" customHeight="1" thickTop="1" x14ac:dyDescent="0.35">
      <c r="A16" s="37">
        <v>1</v>
      </c>
      <c r="B16" s="503">
        <v>2</v>
      </c>
      <c r="C16" s="504"/>
      <c r="D16" s="504"/>
      <c r="E16" s="504"/>
      <c r="F16" s="504"/>
      <c r="G16" s="505"/>
      <c r="H16" s="503">
        <v>3</v>
      </c>
      <c r="I16" s="505"/>
      <c r="J16" s="445">
        <v>4</v>
      </c>
      <c r="K16" s="39">
        <v>5</v>
      </c>
      <c r="O16" s="503">
        <v>3</v>
      </c>
      <c r="P16" s="505"/>
      <c r="Q16" s="445">
        <v>4</v>
      </c>
      <c r="R16" s="41">
        <v>4</v>
      </c>
      <c r="S16" s="42">
        <v>5</v>
      </c>
      <c r="T16" s="43">
        <v>6</v>
      </c>
      <c r="U16" s="43">
        <v>7</v>
      </c>
      <c r="V16" s="43">
        <v>8</v>
      </c>
      <c r="W16" s="43">
        <v>9</v>
      </c>
      <c r="X16" s="43">
        <v>10</v>
      </c>
      <c r="Y16" s="43">
        <v>11</v>
      </c>
      <c r="Z16" s="43">
        <v>12</v>
      </c>
      <c r="AA16" s="43">
        <v>13</v>
      </c>
      <c r="AB16" s="43">
        <v>14</v>
      </c>
      <c r="AC16" s="43">
        <v>15</v>
      </c>
      <c r="AD16" s="43">
        <v>16</v>
      </c>
      <c r="AE16" s="43">
        <v>17</v>
      </c>
    </row>
    <row r="17" spans="1:37" ht="12" customHeight="1" x14ac:dyDescent="0.35">
      <c r="A17" s="44"/>
      <c r="B17" s="45"/>
      <c r="C17" s="45"/>
      <c r="D17" s="45"/>
      <c r="E17" s="45"/>
      <c r="F17" s="45"/>
      <c r="G17" s="46"/>
      <c r="H17" s="47"/>
      <c r="I17" s="46"/>
      <c r="J17" s="48"/>
      <c r="K17" s="49"/>
      <c r="L17" s="50"/>
      <c r="M17" s="50"/>
      <c r="N17" s="50"/>
      <c r="O17" s="51"/>
      <c r="P17" s="52"/>
      <c r="Q17" s="53"/>
      <c r="R17" s="54"/>
      <c r="S17" s="55"/>
      <c r="T17" s="56"/>
      <c r="U17" s="57"/>
      <c r="V17" s="57"/>
      <c r="W17" s="57"/>
      <c r="X17" s="57"/>
      <c r="Y17" s="58"/>
      <c r="Z17" s="56"/>
      <c r="AA17" s="56"/>
      <c r="AB17" s="56"/>
      <c r="AC17" s="58"/>
      <c r="AD17" s="58"/>
      <c r="AE17" s="56"/>
    </row>
    <row r="18" spans="1:37" ht="12" customHeight="1" x14ac:dyDescent="0.35">
      <c r="A18" s="59" t="s">
        <v>79</v>
      </c>
      <c r="B18" s="60" t="s">
        <v>80</v>
      </c>
      <c r="C18" s="60"/>
      <c r="D18" s="60"/>
      <c r="E18" s="60"/>
      <c r="F18" s="60"/>
      <c r="G18" s="61"/>
      <c r="H18" s="62"/>
      <c r="I18" s="63"/>
      <c r="J18" s="64"/>
      <c r="K18" s="65"/>
      <c r="L18" s="66"/>
      <c r="M18" s="66"/>
      <c r="N18" s="66"/>
      <c r="O18" s="67"/>
      <c r="P18" s="60"/>
      <c r="Q18" s="68"/>
      <c r="R18" s="69"/>
      <c r="S18" s="70"/>
      <c r="T18" s="71"/>
      <c r="U18" s="72"/>
      <c r="V18" s="72"/>
      <c r="W18" s="72"/>
      <c r="X18" s="72"/>
      <c r="Y18" s="73"/>
      <c r="Z18" s="71"/>
      <c r="AA18" s="71"/>
      <c r="AB18" s="71"/>
      <c r="AC18" s="73"/>
      <c r="AD18" s="73"/>
      <c r="AE18" s="71"/>
    </row>
    <row r="19" spans="1:37" ht="12" customHeight="1" x14ac:dyDescent="0.35">
      <c r="A19" s="74"/>
      <c r="B19" s="75"/>
      <c r="C19" s="75"/>
      <c r="D19" s="75"/>
      <c r="E19" s="75"/>
      <c r="F19" s="75"/>
      <c r="G19" s="76"/>
      <c r="H19" s="77"/>
      <c r="I19" s="78"/>
      <c r="J19" s="79"/>
      <c r="K19" s="80"/>
      <c r="L19" s="81"/>
      <c r="M19" s="81"/>
      <c r="N19" s="81"/>
      <c r="O19" s="82"/>
      <c r="P19" s="75"/>
      <c r="Q19" s="83"/>
      <c r="R19" s="84"/>
      <c r="S19" s="85"/>
      <c r="T19" s="86"/>
      <c r="U19" s="87"/>
      <c r="V19" s="87"/>
      <c r="W19" s="87"/>
      <c r="X19" s="87"/>
      <c r="Y19" s="88"/>
      <c r="Z19" s="86"/>
      <c r="AA19" s="86"/>
      <c r="AB19" s="86"/>
      <c r="AC19" s="88"/>
      <c r="AD19" s="88"/>
      <c r="AE19" s="86"/>
    </row>
    <row r="20" spans="1:37" ht="12" customHeight="1" x14ac:dyDescent="0.35">
      <c r="A20" s="89" t="s">
        <v>180</v>
      </c>
      <c r="B20" s="60" t="s">
        <v>181</v>
      </c>
      <c r="C20" s="60"/>
      <c r="D20" s="60"/>
      <c r="E20" s="60"/>
      <c r="F20" s="60"/>
      <c r="G20" s="61"/>
      <c r="H20" s="62"/>
      <c r="I20" s="63"/>
      <c r="J20" s="64"/>
      <c r="K20" s="65"/>
      <c r="L20" s="66"/>
      <c r="M20" s="66"/>
      <c r="N20" s="66"/>
      <c r="O20" s="67"/>
      <c r="P20" s="60"/>
      <c r="Q20" s="68"/>
      <c r="R20" s="69"/>
      <c r="S20" s="70"/>
      <c r="T20" s="71"/>
      <c r="U20" s="72"/>
      <c r="V20" s="72"/>
      <c r="W20" s="72"/>
      <c r="X20" s="72"/>
      <c r="Y20" s="73"/>
      <c r="Z20" s="71"/>
      <c r="AA20" s="71"/>
      <c r="AB20" s="71"/>
      <c r="AC20" s="73"/>
      <c r="AD20" s="73"/>
      <c r="AE20" s="71"/>
      <c r="AF20" s="90"/>
      <c r="AG20" s="90"/>
      <c r="AH20" s="90"/>
      <c r="AI20" s="90"/>
      <c r="AJ20" s="90"/>
      <c r="AK20" s="90"/>
    </row>
    <row r="21" spans="1:37" ht="12" customHeight="1" x14ac:dyDescent="0.35">
      <c r="A21" s="74"/>
      <c r="B21" s="75"/>
      <c r="C21" s="75"/>
      <c r="D21" s="75"/>
      <c r="E21" s="75"/>
      <c r="F21" s="75"/>
      <c r="G21" s="76"/>
      <c r="H21" s="77"/>
      <c r="I21" s="78"/>
      <c r="J21" s="79"/>
      <c r="K21" s="80"/>
      <c r="L21" s="81"/>
      <c r="M21" s="81"/>
      <c r="N21" s="81"/>
      <c r="O21" s="82"/>
      <c r="P21" s="75"/>
      <c r="Q21" s="83"/>
      <c r="R21" s="84"/>
      <c r="S21" s="85"/>
      <c r="T21" s="86"/>
      <c r="U21" s="87"/>
      <c r="V21" s="87"/>
      <c r="W21" s="87"/>
      <c r="X21" s="87"/>
      <c r="Y21" s="88"/>
      <c r="Z21" s="86"/>
      <c r="AA21" s="86"/>
      <c r="AB21" s="86"/>
      <c r="AC21" s="88"/>
      <c r="AD21" s="88"/>
      <c r="AE21" s="86"/>
    </row>
    <row r="22" spans="1:37" ht="12" customHeight="1" x14ac:dyDescent="0.35">
      <c r="A22" s="91" t="s">
        <v>182</v>
      </c>
      <c r="B22" s="75" t="s">
        <v>183</v>
      </c>
      <c r="C22" s="75"/>
      <c r="D22" s="75"/>
      <c r="E22" s="75"/>
      <c r="F22" s="75"/>
      <c r="G22" s="76"/>
      <c r="H22" s="77"/>
      <c r="I22" s="78"/>
      <c r="J22" s="79"/>
      <c r="K22" s="80"/>
      <c r="L22" s="81"/>
      <c r="M22" s="81"/>
      <c r="N22" s="81"/>
      <c r="O22" s="82"/>
      <c r="P22" s="75"/>
      <c r="Q22" s="83"/>
      <c r="R22" s="84"/>
      <c r="S22" s="85"/>
      <c r="T22" s="86"/>
      <c r="U22" s="87"/>
      <c r="V22" s="87"/>
      <c r="W22" s="87"/>
      <c r="X22" s="87"/>
      <c r="Y22" s="88"/>
      <c r="Z22" s="86"/>
      <c r="AA22" s="86"/>
      <c r="AB22" s="86"/>
      <c r="AC22" s="88"/>
      <c r="AD22" s="88"/>
      <c r="AE22" s="86"/>
    </row>
    <row r="23" spans="1:37" ht="12" customHeight="1" x14ac:dyDescent="0.35">
      <c r="A23" s="74"/>
      <c r="B23" s="75"/>
      <c r="C23" s="75"/>
      <c r="D23" s="75"/>
      <c r="E23" s="75"/>
      <c r="F23" s="75"/>
      <c r="G23" s="76"/>
      <c r="H23" s="77"/>
      <c r="I23" s="78"/>
      <c r="J23" s="79"/>
      <c r="K23" s="80"/>
      <c r="L23" s="81"/>
      <c r="M23" s="81"/>
      <c r="N23" s="81"/>
      <c r="O23" s="82"/>
      <c r="P23" s="75"/>
      <c r="Q23" s="83"/>
      <c r="R23" s="84"/>
      <c r="S23" s="85"/>
      <c r="T23" s="86"/>
      <c r="U23" s="87"/>
      <c r="V23" s="87"/>
      <c r="W23" s="87"/>
      <c r="X23" s="87"/>
      <c r="Y23" s="88"/>
      <c r="Z23" s="86"/>
      <c r="AA23" s="86"/>
      <c r="AB23" s="86"/>
      <c r="AC23" s="88"/>
      <c r="AD23" s="88"/>
      <c r="AE23" s="86"/>
    </row>
    <row r="24" spans="1:37" ht="12" customHeight="1" x14ac:dyDescent="0.35">
      <c r="A24" s="415" t="s">
        <v>184</v>
      </c>
      <c r="B24" s="416" t="s">
        <v>185</v>
      </c>
      <c r="C24" s="416"/>
      <c r="D24" s="416"/>
      <c r="E24" s="416"/>
      <c r="F24" s="416"/>
      <c r="G24" s="417"/>
      <c r="H24" s="408"/>
      <c r="I24" s="405"/>
      <c r="J24" s="404"/>
      <c r="K24" s="418"/>
      <c r="L24" s="402"/>
      <c r="M24" s="402"/>
      <c r="N24" s="402"/>
      <c r="O24" s="419"/>
      <c r="P24" s="416"/>
      <c r="Q24" s="420"/>
      <c r="R24" s="421"/>
      <c r="S24" s="409"/>
      <c r="T24" s="414"/>
      <c r="U24" s="411"/>
      <c r="V24" s="411"/>
      <c r="W24" s="411"/>
      <c r="X24" s="411"/>
      <c r="Y24" s="412"/>
      <c r="Z24" s="414"/>
      <c r="AA24" s="414"/>
      <c r="AB24" s="414"/>
      <c r="AC24" s="412"/>
      <c r="AD24" s="412"/>
      <c r="AE24" s="414"/>
    </row>
    <row r="25" spans="1:37" ht="12" customHeight="1" x14ac:dyDescent="0.35">
      <c r="A25" s="422">
        <v>521211</v>
      </c>
      <c r="B25" s="423" t="s">
        <v>186</v>
      </c>
      <c r="C25" s="407"/>
      <c r="D25" s="407"/>
      <c r="E25" s="407"/>
      <c r="F25" s="407"/>
      <c r="G25" s="424"/>
      <c r="H25" s="408"/>
      <c r="I25" s="405"/>
      <c r="J25" s="404"/>
      <c r="K25" s="418"/>
      <c r="L25" s="402"/>
      <c r="M25" s="402"/>
      <c r="N25" s="402"/>
      <c r="O25" s="419"/>
      <c r="P25" s="416"/>
      <c r="Q25" s="420"/>
      <c r="R25" s="421"/>
      <c r="S25" s="409"/>
      <c r="T25" s="414"/>
      <c r="U25" s="411"/>
      <c r="V25" s="411"/>
      <c r="W25" s="411"/>
      <c r="X25" s="411"/>
      <c r="Y25" s="412"/>
      <c r="Z25" s="414"/>
      <c r="AA25" s="414"/>
      <c r="AB25" s="414"/>
      <c r="AC25" s="412"/>
      <c r="AD25" s="412"/>
      <c r="AE25" s="414"/>
    </row>
    <row r="26" spans="1:37" ht="12" customHeight="1" x14ac:dyDescent="0.35">
      <c r="A26" s="425"/>
      <c r="B26" s="426" t="s">
        <v>82</v>
      </c>
      <c r="C26" s="407" t="s">
        <v>189</v>
      </c>
      <c r="D26" s="407"/>
      <c r="E26" s="407"/>
      <c r="F26" s="407"/>
      <c r="G26" s="424"/>
      <c r="H26" s="408"/>
      <c r="I26" s="405"/>
      <c r="J26" s="404"/>
      <c r="K26" s="418"/>
      <c r="L26" s="402"/>
      <c r="M26" s="402"/>
      <c r="N26" s="402"/>
      <c r="O26" s="427">
        <v>1</v>
      </c>
      <c r="P26" s="407" t="s">
        <v>83</v>
      </c>
      <c r="Q26" s="428"/>
      <c r="R26" s="429">
        <f>O26*2730000</f>
        <v>2730000</v>
      </c>
      <c r="S26" s="409">
        <f>+R26/$R$184*100</f>
        <v>0.12191946794880097</v>
      </c>
      <c r="T26" s="410">
        <v>0</v>
      </c>
      <c r="U26" s="411"/>
      <c r="V26" s="411"/>
      <c r="W26" s="411"/>
      <c r="X26" s="411"/>
      <c r="Y26" s="412">
        <v>0</v>
      </c>
      <c r="Z26" s="410">
        <f>+Y26/R26*100</f>
        <v>0</v>
      </c>
      <c r="AA26" s="413">
        <f>Z26</f>
        <v>0</v>
      </c>
      <c r="AB26" s="410">
        <f>AA26*S26/100</f>
        <v>0</v>
      </c>
      <c r="AC26" s="412"/>
      <c r="AD26" s="412">
        <f>+R26-Y26</f>
        <v>2730000</v>
      </c>
      <c r="AE26" s="414"/>
    </row>
    <row r="27" spans="1:37" ht="12" customHeight="1" x14ac:dyDescent="0.35">
      <c r="A27" s="425"/>
      <c r="B27" s="426" t="s">
        <v>82</v>
      </c>
      <c r="C27" s="407" t="s">
        <v>187</v>
      </c>
      <c r="D27" s="407"/>
      <c r="E27" s="407"/>
      <c r="F27" s="407"/>
      <c r="G27" s="424"/>
      <c r="H27" s="408"/>
      <c r="I27" s="405"/>
      <c r="J27" s="404"/>
      <c r="K27" s="418"/>
      <c r="L27" s="402"/>
      <c r="M27" s="402"/>
      <c r="N27" s="402"/>
      <c r="O27" s="427">
        <v>1</v>
      </c>
      <c r="P27" s="407" t="s">
        <v>83</v>
      </c>
      <c r="Q27" s="428"/>
      <c r="R27" s="429">
        <f>O27*2810000</f>
        <v>2810000</v>
      </c>
      <c r="S27" s="409">
        <f>+R27/$R$184*100</f>
        <v>0.12549219961030428</v>
      </c>
      <c r="T27" s="410"/>
      <c r="U27" s="411"/>
      <c r="V27" s="411"/>
      <c r="W27" s="411"/>
      <c r="X27" s="411"/>
      <c r="Y27" s="412">
        <v>0</v>
      </c>
      <c r="Z27" s="410">
        <f t="shared" ref="Z27:Z30" si="0">+Y27/R27*100</f>
        <v>0</v>
      </c>
      <c r="AA27" s="413">
        <f t="shared" ref="AA27:AA61" si="1">Z27</f>
        <v>0</v>
      </c>
      <c r="AB27" s="410">
        <f t="shared" ref="AB27:AB30" si="2">AA27*S27/100</f>
        <v>0</v>
      </c>
      <c r="AC27" s="412"/>
      <c r="AD27" s="412">
        <f t="shared" ref="AD27:AD34" si="3">+R27-Y27</f>
        <v>2810000</v>
      </c>
      <c r="AE27" s="414"/>
    </row>
    <row r="28" spans="1:37" ht="12" customHeight="1" x14ac:dyDescent="0.35">
      <c r="A28" s="425"/>
      <c r="B28" s="426" t="s">
        <v>82</v>
      </c>
      <c r="C28" s="407" t="s">
        <v>190</v>
      </c>
      <c r="D28" s="407"/>
      <c r="E28" s="407"/>
      <c r="F28" s="407"/>
      <c r="G28" s="424"/>
      <c r="H28" s="408"/>
      <c r="I28" s="405"/>
      <c r="J28" s="404"/>
      <c r="K28" s="418"/>
      <c r="L28" s="402"/>
      <c r="M28" s="402"/>
      <c r="N28" s="402"/>
      <c r="O28" s="427">
        <v>1</v>
      </c>
      <c r="P28" s="407" t="s">
        <v>83</v>
      </c>
      <c r="Q28" s="428"/>
      <c r="R28" s="429">
        <f>O28*8490000</f>
        <v>8490000</v>
      </c>
      <c r="S28" s="409">
        <f>+R28/$R$184*100</f>
        <v>0.37915614757704036</v>
      </c>
      <c r="T28" s="410"/>
      <c r="U28" s="411"/>
      <c r="V28" s="411"/>
      <c r="W28" s="411"/>
      <c r="X28" s="411"/>
      <c r="Y28" s="412">
        <v>0</v>
      </c>
      <c r="Z28" s="410">
        <f t="shared" si="0"/>
        <v>0</v>
      </c>
      <c r="AA28" s="413">
        <f t="shared" si="1"/>
        <v>0</v>
      </c>
      <c r="AB28" s="410">
        <f t="shared" si="2"/>
        <v>0</v>
      </c>
      <c r="AC28" s="412"/>
      <c r="AD28" s="412">
        <f t="shared" si="3"/>
        <v>8490000</v>
      </c>
      <c r="AE28" s="414"/>
    </row>
    <row r="29" spans="1:37" ht="12" customHeight="1" x14ac:dyDescent="0.35">
      <c r="A29" s="425"/>
      <c r="B29" s="426" t="s">
        <v>82</v>
      </c>
      <c r="C29" s="407" t="s">
        <v>188</v>
      </c>
      <c r="D29" s="407"/>
      <c r="E29" s="407"/>
      <c r="F29" s="407"/>
      <c r="G29" s="424"/>
      <c r="H29" s="408"/>
      <c r="I29" s="405"/>
      <c r="J29" s="404"/>
      <c r="K29" s="418"/>
      <c r="L29" s="402"/>
      <c r="M29" s="402"/>
      <c r="N29" s="402"/>
      <c r="O29" s="427">
        <v>1</v>
      </c>
      <c r="P29" s="407" t="s">
        <v>83</v>
      </c>
      <c r="Q29" s="428"/>
      <c r="R29" s="429">
        <f>O29*9990000</f>
        <v>9990000</v>
      </c>
      <c r="S29" s="409">
        <f>+R29/$R$184*100</f>
        <v>0.4461448662302277</v>
      </c>
      <c r="T29" s="410"/>
      <c r="U29" s="411"/>
      <c r="V29" s="411"/>
      <c r="W29" s="411"/>
      <c r="X29" s="411"/>
      <c r="Y29" s="412">
        <v>0</v>
      </c>
      <c r="Z29" s="410">
        <f t="shared" si="0"/>
        <v>0</v>
      </c>
      <c r="AA29" s="413">
        <f t="shared" si="1"/>
        <v>0</v>
      </c>
      <c r="AB29" s="410">
        <f t="shared" si="2"/>
        <v>0</v>
      </c>
      <c r="AC29" s="412"/>
      <c r="AD29" s="412">
        <f t="shared" si="3"/>
        <v>9990000</v>
      </c>
      <c r="AE29" s="414"/>
    </row>
    <row r="30" spans="1:37" ht="12" customHeight="1" x14ac:dyDescent="0.35">
      <c r="A30" s="425"/>
      <c r="B30" s="426" t="s">
        <v>191</v>
      </c>
      <c r="C30" s="407" t="s">
        <v>192</v>
      </c>
      <c r="D30" s="407"/>
      <c r="E30" s="407"/>
      <c r="F30" s="407"/>
      <c r="G30" s="424"/>
      <c r="H30" s="408"/>
      <c r="I30" s="405"/>
      <c r="J30" s="404"/>
      <c r="K30" s="418"/>
      <c r="L30" s="402"/>
      <c r="M30" s="402"/>
      <c r="N30" s="402"/>
      <c r="O30" s="427">
        <v>1</v>
      </c>
      <c r="P30" s="407" t="s">
        <v>83</v>
      </c>
      <c r="Q30" s="428"/>
      <c r="R30" s="429">
        <f>O30*2480000</f>
        <v>2480000</v>
      </c>
      <c r="S30" s="409">
        <f>+R30/$R$184*100</f>
        <v>0.11075468150660307</v>
      </c>
      <c r="T30" s="410"/>
      <c r="U30" s="411"/>
      <c r="V30" s="411"/>
      <c r="W30" s="411"/>
      <c r="X30" s="411"/>
      <c r="Y30" s="412">
        <v>0</v>
      </c>
      <c r="Z30" s="410">
        <f t="shared" si="0"/>
        <v>0</v>
      </c>
      <c r="AA30" s="413">
        <f t="shared" si="1"/>
        <v>0</v>
      </c>
      <c r="AB30" s="410">
        <f t="shared" si="2"/>
        <v>0</v>
      </c>
      <c r="AC30" s="412"/>
      <c r="AD30" s="412">
        <f t="shared" si="3"/>
        <v>2480000</v>
      </c>
      <c r="AE30" s="414"/>
    </row>
    <row r="31" spans="1:37" ht="12" customHeight="1" x14ac:dyDescent="0.35">
      <c r="A31" s="422">
        <v>521213</v>
      </c>
      <c r="B31" s="423" t="s">
        <v>193</v>
      </c>
      <c r="C31" s="407"/>
      <c r="D31" s="407"/>
      <c r="E31" s="407"/>
      <c r="F31" s="407"/>
      <c r="G31" s="424"/>
      <c r="H31" s="408"/>
      <c r="I31" s="405"/>
      <c r="J31" s="404"/>
      <c r="K31" s="418"/>
      <c r="L31" s="402"/>
      <c r="M31" s="402"/>
      <c r="N31" s="402"/>
      <c r="O31" s="427"/>
      <c r="P31" s="407"/>
      <c r="Q31" s="428"/>
      <c r="R31" s="429"/>
      <c r="S31" s="409"/>
      <c r="T31" s="410"/>
      <c r="U31" s="411"/>
      <c r="V31" s="411"/>
      <c r="W31" s="411"/>
      <c r="X31" s="411"/>
      <c r="Y31" s="412"/>
      <c r="Z31" s="410"/>
      <c r="AA31" s="413"/>
      <c r="AB31" s="410"/>
      <c r="AC31" s="412"/>
      <c r="AD31" s="412"/>
      <c r="AE31" s="414"/>
    </row>
    <row r="32" spans="1:37" ht="12" customHeight="1" x14ac:dyDescent="0.35">
      <c r="A32" s="425"/>
      <c r="B32" s="426" t="s">
        <v>82</v>
      </c>
      <c r="C32" s="407" t="s">
        <v>194</v>
      </c>
      <c r="D32" s="407"/>
      <c r="E32" s="407"/>
      <c r="F32" s="407"/>
      <c r="G32" s="424"/>
      <c r="H32" s="408"/>
      <c r="I32" s="405"/>
      <c r="J32" s="404"/>
      <c r="K32" s="418"/>
      <c r="L32" s="402"/>
      <c r="M32" s="402"/>
      <c r="N32" s="402"/>
      <c r="O32" s="427">
        <v>6</v>
      </c>
      <c r="P32" s="407" t="s">
        <v>147</v>
      </c>
      <c r="Q32" s="428"/>
      <c r="R32" s="429">
        <f>O32*300000</f>
        <v>1800000</v>
      </c>
      <c r="S32" s="409">
        <f>+R32/$R$184*100</f>
        <v>8.0386462383824811E-2</v>
      </c>
      <c r="T32" s="410"/>
      <c r="U32" s="411"/>
      <c r="V32" s="411"/>
      <c r="W32" s="411"/>
      <c r="X32" s="411"/>
      <c r="Y32" s="412">
        <v>0</v>
      </c>
      <c r="Z32" s="410">
        <f t="shared" ref="Z32:Z34" si="4">+Y32/R32*100</f>
        <v>0</v>
      </c>
      <c r="AA32" s="413">
        <f t="shared" si="1"/>
        <v>0</v>
      </c>
      <c r="AB32" s="410">
        <f t="shared" ref="AB32:AB34" si="5">AA32*S32/100</f>
        <v>0</v>
      </c>
      <c r="AC32" s="412"/>
      <c r="AD32" s="412">
        <f t="shared" si="3"/>
        <v>1800000</v>
      </c>
      <c r="AE32" s="414"/>
    </row>
    <row r="33" spans="1:32" ht="12" customHeight="1" x14ac:dyDescent="0.35">
      <c r="A33" s="425"/>
      <c r="B33" s="426" t="s">
        <v>82</v>
      </c>
      <c r="C33" s="407" t="s">
        <v>195</v>
      </c>
      <c r="D33" s="407"/>
      <c r="E33" s="407"/>
      <c r="F33" s="407"/>
      <c r="G33" s="424"/>
      <c r="H33" s="408"/>
      <c r="I33" s="405"/>
      <c r="J33" s="404"/>
      <c r="K33" s="418"/>
      <c r="L33" s="402"/>
      <c r="M33" s="402"/>
      <c r="N33" s="402"/>
      <c r="O33" s="427">
        <v>6</v>
      </c>
      <c r="P33" s="407" t="s">
        <v>147</v>
      </c>
      <c r="Q33" s="428"/>
      <c r="R33" s="429">
        <f>O33*250000</f>
        <v>1500000</v>
      </c>
      <c r="S33" s="409">
        <f>+R33/$R$184*100</f>
        <v>6.6988718653187354E-2</v>
      </c>
      <c r="T33" s="410"/>
      <c r="U33" s="411"/>
      <c r="V33" s="411"/>
      <c r="W33" s="411"/>
      <c r="X33" s="411"/>
      <c r="Y33" s="412">
        <v>0</v>
      </c>
      <c r="Z33" s="410">
        <f t="shared" si="4"/>
        <v>0</v>
      </c>
      <c r="AA33" s="413">
        <f t="shared" si="1"/>
        <v>0</v>
      </c>
      <c r="AB33" s="410">
        <f t="shared" si="5"/>
        <v>0</v>
      </c>
      <c r="AC33" s="412"/>
      <c r="AD33" s="412">
        <f t="shared" si="3"/>
        <v>1500000</v>
      </c>
      <c r="AE33" s="414"/>
    </row>
    <row r="34" spans="1:32" ht="12" customHeight="1" x14ac:dyDescent="0.35">
      <c r="A34" s="425"/>
      <c r="B34" s="426" t="s">
        <v>82</v>
      </c>
      <c r="C34" s="407" t="s">
        <v>196</v>
      </c>
      <c r="D34" s="407"/>
      <c r="E34" s="407"/>
      <c r="F34" s="407"/>
      <c r="G34" s="424"/>
      <c r="H34" s="408"/>
      <c r="I34" s="405"/>
      <c r="J34" s="404"/>
      <c r="K34" s="418"/>
      <c r="L34" s="402"/>
      <c r="M34" s="402"/>
      <c r="N34" s="402"/>
      <c r="O34" s="427">
        <v>30</v>
      </c>
      <c r="P34" s="407" t="s">
        <v>147</v>
      </c>
      <c r="Q34" s="428"/>
      <c r="R34" s="429">
        <f>O34*200000</f>
        <v>6000000</v>
      </c>
      <c r="S34" s="409">
        <f>+R34/$R$184*100</f>
        <v>0.26795487461274942</v>
      </c>
      <c r="T34" s="410"/>
      <c r="U34" s="411"/>
      <c r="V34" s="411"/>
      <c r="W34" s="411"/>
      <c r="X34" s="411"/>
      <c r="Y34" s="412">
        <v>0</v>
      </c>
      <c r="Z34" s="410">
        <f t="shared" si="4"/>
        <v>0</v>
      </c>
      <c r="AA34" s="413">
        <f t="shared" si="1"/>
        <v>0</v>
      </c>
      <c r="AB34" s="410">
        <f t="shared" si="5"/>
        <v>0</v>
      </c>
      <c r="AC34" s="412"/>
      <c r="AD34" s="412">
        <f t="shared" si="3"/>
        <v>6000000</v>
      </c>
      <c r="AE34" s="414"/>
    </row>
    <row r="35" spans="1:32" ht="12" customHeight="1" x14ac:dyDescent="0.35">
      <c r="A35" s="422">
        <v>521219</v>
      </c>
      <c r="B35" s="423" t="s">
        <v>197</v>
      </c>
      <c r="C35" s="407"/>
      <c r="D35" s="407"/>
      <c r="E35" s="407"/>
      <c r="F35" s="407"/>
      <c r="G35" s="424"/>
      <c r="H35" s="408"/>
      <c r="I35" s="405"/>
      <c r="J35" s="404"/>
      <c r="K35" s="418"/>
      <c r="L35" s="402"/>
      <c r="M35" s="402"/>
      <c r="N35" s="402"/>
      <c r="O35" s="427"/>
      <c r="P35" s="407"/>
      <c r="Q35" s="428"/>
      <c r="R35" s="429"/>
      <c r="S35" s="409"/>
      <c r="T35" s="410"/>
      <c r="U35" s="411"/>
      <c r="V35" s="411"/>
      <c r="W35" s="411"/>
      <c r="X35" s="411"/>
      <c r="Y35" s="412"/>
      <c r="Z35" s="410"/>
      <c r="AA35" s="413"/>
      <c r="AB35" s="410"/>
      <c r="AC35" s="412"/>
      <c r="AD35" s="412"/>
      <c r="AE35" s="414"/>
    </row>
    <row r="36" spans="1:32" ht="12" customHeight="1" x14ac:dyDescent="0.35">
      <c r="A36" s="425"/>
      <c r="B36" s="426" t="s">
        <v>82</v>
      </c>
      <c r="C36" s="407" t="s">
        <v>198</v>
      </c>
      <c r="D36" s="407"/>
      <c r="E36" s="407"/>
      <c r="F36" s="407"/>
      <c r="G36" s="424"/>
      <c r="H36" s="408"/>
      <c r="I36" s="405"/>
      <c r="J36" s="404"/>
      <c r="K36" s="418"/>
      <c r="L36" s="402"/>
      <c r="M36" s="402"/>
      <c r="N36" s="402"/>
      <c r="O36" s="427">
        <v>25</v>
      </c>
      <c r="P36" s="407" t="s">
        <v>200</v>
      </c>
      <c r="Q36" s="420"/>
      <c r="R36" s="429">
        <f>O36*50000</f>
        <v>1250000</v>
      </c>
      <c r="S36" s="409">
        <f>+R36/$R$184*100</f>
        <v>5.5823932210989448E-2</v>
      </c>
      <c r="T36" s="410"/>
      <c r="U36" s="411"/>
      <c r="V36" s="411"/>
      <c r="W36" s="411"/>
      <c r="X36" s="411"/>
      <c r="Y36" s="412">
        <v>0</v>
      </c>
      <c r="Z36" s="410">
        <f t="shared" ref="Z36:Z37" si="6">+Y36/R36*100</f>
        <v>0</v>
      </c>
      <c r="AA36" s="413">
        <f t="shared" si="1"/>
        <v>0</v>
      </c>
      <c r="AB36" s="410">
        <f t="shared" ref="AB36:AB37" si="7">AA36*S36/100</f>
        <v>0</v>
      </c>
      <c r="AC36" s="412"/>
      <c r="AD36" s="412">
        <f t="shared" ref="AD36:AD37" si="8">+R36-Y36</f>
        <v>1250000</v>
      </c>
      <c r="AE36" s="414"/>
    </row>
    <row r="37" spans="1:32" ht="12" customHeight="1" x14ac:dyDescent="0.35">
      <c r="A37" s="425"/>
      <c r="B37" s="426" t="s">
        <v>82</v>
      </c>
      <c r="C37" s="407" t="s">
        <v>199</v>
      </c>
      <c r="D37" s="407"/>
      <c r="E37" s="407"/>
      <c r="F37" s="407"/>
      <c r="G37" s="424"/>
      <c r="H37" s="408"/>
      <c r="I37" s="405"/>
      <c r="J37" s="404"/>
      <c r="K37" s="418"/>
      <c r="L37" s="402"/>
      <c r="M37" s="402"/>
      <c r="N37" s="402"/>
      <c r="O37" s="427">
        <v>30</v>
      </c>
      <c r="P37" s="407" t="s">
        <v>200</v>
      </c>
      <c r="Q37" s="428"/>
      <c r="R37" s="429">
        <f>O37*50000</f>
        <v>1500000</v>
      </c>
      <c r="S37" s="409">
        <f>+R37/$R$184*100</f>
        <v>6.6988718653187354E-2</v>
      </c>
      <c r="T37" s="410"/>
      <c r="U37" s="411"/>
      <c r="V37" s="411"/>
      <c r="W37" s="411"/>
      <c r="X37" s="411"/>
      <c r="Y37" s="412">
        <v>0</v>
      </c>
      <c r="Z37" s="410">
        <f t="shared" si="6"/>
        <v>0</v>
      </c>
      <c r="AA37" s="413">
        <f t="shared" si="1"/>
        <v>0</v>
      </c>
      <c r="AB37" s="410">
        <f t="shared" si="7"/>
        <v>0</v>
      </c>
      <c r="AC37" s="412"/>
      <c r="AD37" s="412">
        <f t="shared" si="8"/>
        <v>1500000</v>
      </c>
      <c r="AE37" s="414"/>
    </row>
    <row r="38" spans="1:32" ht="12" customHeight="1" x14ac:dyDescent="0.35">
      <c r="A38" s="422">
        <v>522141</v>
      </c>
      <c r="B38" s="423" t="s">
        <v>168</v>
      </c>
      <c r="C38" s="407"/>
      <c r="D38" s="407"/>
      <c r="E38" s="407"/>
      <c r="F38" s="407"/>
      <c r="G38" s="424"/>
      <c r="H38" s="408"/>
      <c r="I38" s="405"/>
      <c r="J38" s="404"/>
      <c r="K38" s="418"/>
      <c r="L38" s="402"/>
      <c r="M38" s="402"/>
      <c r="N38" s="402"/>
      <c r="O38" s="419"/>
      <c r="P38" s="416"/>
      <c r="Q38" s="420"/>
      <c r="R38" s="421"/>
      <c r="S38" s="409"/>
      <c r="T38" s="414"/>
      <c r="U38" s="411"/>
      <c r="V38" s="411"/>
      <c r="W38" s="411"/>
      <c r="X38" s="411"/>
      <c r="Y38" s="412"/>
      <c r="Z38" s="414"/>
      <c r="AA38" s="414"/>
      <c r="AB38" s="414"/>
      <c r="AC38" s="412"/>
      <c r="AD38" s="412"/>
      <c r="AE38" s="414"/>
    </row>
    <row r="39" spans="1:32" ht="12" customHeight="1" x14ac:dyDescent="0.35">
      <c r="A39" s="425"/>
      <c r="B39" s="426" t="s">
        <v>82</v>
      </c>
      <c r="C39" s="407" t="s">
        <v>201</v>
      </c>
      <c r="D39" s="407"/>
      <c r="E39" s="407"/>
      <c r="F39" s="407"/>
      <c r="G39" s="424"/>
      <c r="H39" s="408"/>
      <c r="I39" s="405"/>
      <c r="J39" s="404"/>
      <c r="K39" s="418"/>
      <c r="L39" s="402"/>
      <c r="M39" s="402"/>
      <c r="N39" s="402"/>
      <c r="O39" s="427">
        <v>1</v>
      </c>
      <c r="P39" s="407" t="s">
        <v>205</v>
      </c>
      <c r="Q39" s="428"/>
      <c r="R39" s="429">
        <f>O39*2000000</f>
        <v>2000000</v>
      </c>
      <c r="S39" s="409">
        <f>+R39/$R$184*100</f>
        <v>8.9318291537583125E-2</v>
      </c>
      <c r="T39" s="410"/>
      <c r="U39" s="411"/>
      <c r="V39" s="411"/>
      <c r="W39" s="411"/>
      <c r="X39" s="411"/>
      <c r="Y39" s="412">
        <v>0</v>
      </c>
      <c r="Z39" s="410">
        <f t="shared" ref="Z39:Z42" si="9">+Y39/R39*100</f>
        <v>0</v>
      </c>
      <c r="AA39" s="413">
        <f t="shared" si="1"/>
        <v>0</v>
      </c>
      <c r="AB39" s="410">
        <f t="shared" ref="AB39:AB42" si="10">AA39*S39/100</f>
        <v>0</v>
      </c>
      <c r="AC39" s="412"/>
      <c r="AD39" s="412">
        <f t="shared" ref="AD39:AD42" si="11">+R39-Y39</f>
        <v>2000000</v>
      </c>
      <c r="AE39" s="414"/>
    </row>
    <row r="40" spans="1:32" ht="12" customHeight="1" x14ac:dyDescent="0.35">
      <c r="A40" s="425"/>
      <c r="B40" s="426" t="s">
        <v>82</v>
      </c>
      <c r="C40" s="407" t="s">
        <v>202</v>
      </c>
      <c r="D40" s="407"/>
      <c r="E40" s="407"/>
      <c r="F40" s="407"/>
      <c r="G40" s="424"/>
      <c r="H40" s="408"/>
      <c r="I40" s="405"/>
      <c r="J40" s="404"/>
      <c r="K40" s="418"/>
      <c r="L40" s="402"/>
      <c r="M40" s="402"/>
      <c r="N40" s="402"/>
      <c r="O40" s="427">
        <v>6</v>
      </c>
      <c r="P40" s="407" t="s">
        <v>205</v>
      </c>
      <c r="Q40" s="428"/>
      <c r="R40" s="429">
        <f>O40*700000</f>
        <v>4200000</v>
      </c>
      <c r="S40" s="409">
        <f>+R40/$R$184*100</f>
        <v>0.18756841222892456</v>
      </c>
      <c r="T40" s="410"/>
      <c r="U40" s="411"/>
      <c r="V40" s="411"/>
      <c r="W40" s="411"/>
      <c r="X40" s="411"/>
      <c r="Y40" s="412">
        <v>0</v>
      </c>
      <c r="Z40" s="410">
        <f t="shared" si="9"/>
        <v>0</v>
      </c>
      <c r="AA40" s="413">
        <f t="shared" si="1"/>
        <v>0</v>
      </c>
      <c r="AB40" s="410">
        <f t="shared" si="10"/>
        <v>0</v>
      </c>
      <c r="AC40" s="412"/>
      <c r="AD40" s="412">
        <f t="shared" si="11"/>
        <v>4200000</v>
      </c>
      <c r="AE40" s="414"/>
      <c r="AF40" s="90"/>
    </row>
    <row r="41" spans="1:32" ht="12" customHeight="1" x14ac:dyDescent="0.35">
      <c r="A41" s="425"/>
      <c r="B41" s="426" t="s">
        <v>82</v>
      </c>
      <c r="C41" s="407" t="s">
        <v>203</v>
      </c>
      <c r="D41" s="407"/>
      <c r="E41" s="407"/>
      <c r="F41" s="407"/>
      <c r="G41" s="424"/>
      <c r="H41" s="408"/>
      <c r="I41" s="405"/>
      <c r="J41" s="404"/>
      <c r="K41" s="418"/>
      <c r="L41" s="402"/>
      <c r="M41" s="402"/>
      <c r="N41" s="402"/>
      <c r="O41" s="427">
        <v>1</v>
      </c>
      <c r="P41" s="407" t="s">
        <v>205</v>
      </c>
      <c r="Q41" s="428"/>
      <c r="R41" s="429">
        <f>O41*2000000</f>
        <v>2000000</v>
      </c>
      <c r="S41" s="409">
        <f>+R41/$R$184*100</f>
        <v>8.9318291537583125E-2</v>
      </c>
      <c r="T41" s="410"/>
      <c r="U41" s="411"/>
      <c r="V41" s="411"/>
      <c r="W41" s="411"/>
      <c r="X41" s="411"/>
      <c r="Y41" s="412">
        <v>0</v>
      </c>
      <c r="Z41" s="410">
        <f t="shared" si="9"/>
        <v>0</v>
      </c>
      <c r="AA41" s="413">
        <f t="shared" si="1"/>
        <v>0</v>
      </c>
      <c r="AB41" s="410">
        <f t="shared" si="10"/>
        <v>0</v>
      </c>
      <c r="AC41" s="412"/>
      <c r="AD41" s="412">
        <f t="shared" si="11"/>
        <v>2000000</v>
      </c>
      <c r="AE41" s="414"/>
      <c r="AF41" s="90"/>
    </row>
    <row r="42" spans="1:32" ht="12" customHeight="1" x14ac:dyDescent="0.35">
      <c r="A42" s="425"/>
      <c r="B42" s="426" t="s">
        <v>82</v>
      </c>
      <c r="C42" s="407" t="s">
        <v>204</v>
      </c>
      <c r="D42" s="407"/>
      <c r="E42" s="407"/>
      <c r="F42" s="407"/>
      <c r="G42" s="424"/>
      <c r="H42" s="408"/>
      <c r="I42" s="405"/>
      <c r="J42" s="404"/>
      <c r="K42" s="418"/>
      <c r="L42" s="402"/>
      <c r="M42" s="402"/>
      <c r="N42" s="402"/>
      <c r="O42" s="427">
        <v>6</v>
      </c>
      <c r="P42" s="407" t="s">
        <v>205</v>
      </c>
      <c r="Q42" s="428"/>
      <c r="R42" s="429">
        <f>O42*700000</f>
        <v>4200000</v>
      </c>
      <c r="S42" s="409">
        <f>+R42/$R$184*100</f>
        <v>0.18756841222892456</v>
      </c>
      <c r="T42" s="410"/>
      <c r="U42" s="411"/>
      <c r="V42" s="411"/>
      <c r="W42" s="411"/>
      <c r="X42" s="411"/>
      <c r="Y42" s="412">
        <v>0</v>
      </c>
      <c r="Z42" s="410">
        <f t="shared" si="9"/>
        <v>0</v>
      </c>
      <c r="AA42" s="413">
        <f t="shared" si="1"/>
        <v>0</v>
      </c>
      <c r="AB42" s="410">
        <f t="shared" si="10"/>
        <v>0</v>
      </c>
      <c r="AC42" s="412"/>
      <c r="AD42" s="412">
        <f t="shared" si="11"/>
        <v>4200000</v>
      </c>
      <c r="AE42" s="414"/>
      <c r="AF42" s="90"/>
    </row>
    <row r="43" spans="1:32" ht="12" customHeight="1" x14ac:dyDescent="0.35">
      <c r="A43" s="422">
        <v>522151</v>
      </c>
      <c r="B43" s="430" t="s">
        <v>84</v>
      </c>
      <c r="C43" s="407"/>
      <c r="D43" s="407"/>
      <c r="E43" s="407"/>
      <c r="F43" s="407"/>
      <c r="G43" s="424"/>
      <c r="H43" s="408"/>
      <c r="I43" s="405"/>
      <c r="J43" s="404"/>
      <c r="K43" s="418"/>
      <c r="L43" s="402"/>
      <c r="M43" s="402"/>
      <c r="N43" s="402"/>
      <c r="O43" s="427"/>
      <c r="P43" s="407"/>
      <c r="Q43" s="428"/>
      <c r="R43" s="429"/>
      <c r="S43" s="409"/>
      <c r="T43" s="414"/>
      <c r="U43" s="411"/>
      <c r="V43" s="411"/>
      <c r="W43" s="411"/>
      <c r="X43" s="411"/>
      <c r="Y43" s="412"/>
      <c r="Z43" s="414"/>
      <c r="AA43" s="414"/>
      <c r="AB43" s="414"/>
      <c r="AC43" s="412"/>
      <c r="AD43" s="412"/>
      <c r="AE43" s="414"/>
      <c r="AF43" s="90"/>
    </row>
    <row r="44" spans="1:32" ht="12" customHeight="1" x14ac:dyDescent="0.35">
      <c r="A44" s="425"/>
      <c r="B44" s="426" t="s">
        <v>82</v>
      </c>
      <c r="C44" s="407" t="s">
        <v>206</v>
      </c>
      <c r="D44" s="407"/>
      <c r="E44" s="407"/>
      <c r="F44" s="407"/>
      <c r="G44" s="424"/>
      <c r="H44" s="408"/>
      <c r="I44" s="405"/>
      <c r="J44" s="404"/>
      <c r="K44" s="418"/>
      <c r="L44" s="402"/>
      <c r="M44" s="402"/>
      <c r="N44" s="402"/>
      <c r="O44" s="427">
        <v>2</v>
      </c>
      <c r="P44" s="407" t="s">
        <v>210</v>
      </c>
      <c r="Q44" s="428"/>
      <c r="R44" s="429">
        <f>O44*1300000</f>
        <v>2600000</v>
      </c>
      <c r="S44" s="409">
        <f>+R44/$R$184*100</f>
        <v>0.11611377899885807</v>
      </c>
      <c r="T44" s="410"/>
      <c r="U44" s="411"/>
      <c r="V44" s="411"/>
      <c r="W44" s="411"/>
      <c r="X44" s="411"/>
      <c r="Y44" s="412">
        <v>0</v>
      </c>
      <c r="Z44" s="410">
        <f t="shared" ref="Z44:Z47" si="12">+Y44/R44*100</f>
        <v>0</v>
      </c>
      <c r="AA44" s="413">
        <f t="shared" si="1"/>
        <v>0</v>
      </c>
      <c r="AB44" s="410">
        <f t="shared" ref="AB44:AB47" si="13">AA44*S44/100</f>
        <v>0</v>
      </c>
      <c r="AC44" s="412"/>
      <c r="AD44" s="412">
        <f t="shared" ref="AD44:AD47" si="14">+R44-Y44</f>
        <v>2600000</v>
      </c>
      <c r="AE44" s="414"/>
      <c r="AF44" s="90"/>
    </row>
    <row r="45" spans="1:32" ht="12" customHeight="1" x14ac:dyDescent="0.35">
      <c r="A45" s="425"/>
      <c r="B45" s="426" t="s">
        <v>82</v>
      </c>
      <c r="C45" s="407" t="s">
        <v>207</v>
      </c>
      <c r="D45" s="407"/>
      <c r="E45" s="407"/>
      <c r="F45" s="407"/>
      <c r="G45" s="424"/>
      <c r="H45" s="408"/>
      <c r="I45" s="405"/>
      <c r="J45" s="404"/>
      <c r="K45" s="418"/>
      <c r="L45" s="402"/>
      <c r="M45" s="402"/>
      <c r="N45" s="402"/>
      <c r="O45" s="427">
        <v>10</v>
      </c>
      <c r="P45" s="407" t="s">
        <v>210</v>
      </c>
      <c r="Q45" s="428"/>
      <c r="R45" s="429">
        <f>O45*900000</f>
        <v>9000000</v>
      </c>
      <c r="S45" s="409">
        <f>+R45/$R$184*100</f>
        <v>0.4019323119191241</v>
      </c>
      <c r="T45" s="410"/>
      <c r="U45" s="411"/>
      <c r="V45" s="411"/>
      <c r="W45" s="411"/>
      <c r="X45" s="411"/>
      <c r="Y45" s="412">
        <v>0</v>
      </c>
      <c r="Z45" s="410">
        <f t="shared" si="12"/>
        <v>0</v>
      </c>
      <c r="AA45" s="413">
        <f t="shared" si="1"/>
        <v>0</v>
      </c>
      <c r="AB45" s="410">
        <f t="shared" si="13"/>
        <v>0</v>
      </c>
      <c r="AC45" s="412"/>
      <c r="AD45" s="412">
        <f t="shared" si="14"/>
        <v>9000000</v>
      </c>
      <c r="AE45" s="414"/>
      <c r="AF45" s="90"/>
    </row>
    <row r="46" spans="1:32" ht="12" customHeight="1" x14ac:dyDescent="0.35">
      <c r="A46" s="425"/>
      <c r="B46" s="426" t="s">
        <v>82</v>
      </c>
      <c r="C46" s="407" t="s">
        <v>208</v>
      </c>
      <c r="D46" s="407"/>
      <c r="E46" s="407"/>
      <c r="F46" s="407"/>
      <c r="G46" s="424"/>
      <c r="H46" s="408"/>
      <c r="I46" s="405"/>
      <c r="J46" s="404"/>
      <c r="K46" s="418"/>
      <c r="L46" s="402"/>
      <c r="M46" s="402"/>
      <c r="N46" s="402"/>
      <c r="O46" s="427">
        <v>2</v>
      </c>
      <c r="P46" s="407" t="s">
        <v>210</v>
      </c>
      <c r="Q46" s="428"/>
      <c r="R46" s="429">
        <f>O46*1300000</f>
        <v>2600000</v>
      </c>
      <c r="S46" s="409">
        <f>+R46/$R$184*100</f>
        <v>0.11611377899885807</v>
      </c>
      <c r="T46" s="410"/>
      <c r="U46" s="411"/>
      <c r="V46" s="411"/>
      <c r="W46" s="411"/>
      <c r="X46" s="411"/>
      <c r="Y46" s="412">
        <v>0</v>
      </c>
      <c r="Z46" s="410">
        <f t="shared" si="12"/>
        <v>0</v>
      </c>
      <c r="AA46" s="413">
        <f t="shared" si="1"/>
        <v>0</v>
      </c>
      <c r="AB46" s="410">
        <f t="shared" si="13"/>
        <v>0</v>
      </c>
      <c r="AC46" s="412"/>
      <c r="AD46" s="412">
        <f t="shared" si="14"/>
        <v>2600000</v>
      </c>
      <c r="AE46" s="414"/>
      <c r="AF46" s="90"/>
    </row>
    <row r="47" spans="1:32" ht="12" customHeight="1" x14ac:dyDescent="0.35">
      <c r="A47" s="425"/>
      <c r="B47" s="426" t="s">
        <v>82</v>
      </c>
      <c r="C47" s="407" t="s">
        <v>209</v>
      </c>
      <c r="D47" s="407"/>
      <c r="E47" s="407"/>
      <c r="F47" s="407"/>
      <c r="G47" s="424"/>
      <c r="H47" s="408"/>
      <c r="I47" s="405"/>
      <c r="J47" s="404"/>
      <c r="K47" s="418"/>
      <c r="L47" s="402"/>
      <c r="M47" s="402"/>
      <c r="N47" s="402"/>
      <c r="O47" s="427">
        <v>10</v>
      </c>
      <c r="P47" s="407" t="s">
        <v>210</v>
      </c>
      <c r="Q47" s="428"/>
      <c r="R47" s="429">
        <f>O47*900000</f>
        <v>9000000</v>
      </c>
      <c r="S47" s="409">
        <f>+R47/$R$184*100</f>
        <v>0.4019323119191241</v>
      </c>
      <c r="T47" s="410"/>
      <c r="U47" s="411"/>
      <c r="V47" s="411"/>
      <c r="W47" s="411"/>
      <c r="X47" s="411"/>
      <c r="Y47" s="412">
        <v>0</v>
      </c>
      <c r="Z47" s="410">
        <f t="shared" si="12"/>
        <v>0</v>
      </c>
      <c r="AA47" s="413">
        <f t="shared" si="1"/>
        <v>0</v>
      </c>
      <c r="AB47" s="410">
        <f t="shared" si="13"/>
        <v>0</v>
      </c>
      <c r="AC47" s="412"/>
      <c r="AD47" s="412">
        <f t="shared" si="14"/>
        <v>9000000</v>
      </c>
      <c r="AE47" s="414"/>
      <c r="AF47" s="90"/>
    </row>
    <row r="48" spans="1:32" ht="12" customHeight="1" x14ac:dyDescent="0.35">
      <c r="A48" s="422">
        <v>524111</v>
      </c>
      <c r="B48" s="430" t="s">
        <v>85</v>
      </c>
      <c r="C48" s="407"/>
      <c r="D48" s="407"/>
      <c r="E48" s="407"/>
      <c r="F48" s="407"/>
      <c r="G48" s="424"/>
      <c r="H48" s="408"/>
      <c r="I48" s="405"/>
      <c r="J48" s="404"/>
      <c r="K48" s="418"/>
      <c r="L48" s="402"/>
      <c r="M48" s="402"/>
      <c r="N48" s="402"/>
      <c r="O48" s="427"/>
      <c r="P48" s="407"/>
      <c r="Q48" s="428"/>
      <c r="R48" s="429"/>
      <c r="S48" s="409"/>
      <c r="T48" s="410"/>
      <c r="U48" s="411"/>
      <c r="V48" s="411"/>
      <c r="W48" s="411"/>
      <c r="X48" s="411"/>
      <c r="Y48" s="412"/>
      <c r="Z48" s="410"/>
      <c r="AA48" s="413"/>
      <c r="AB48" s="410"/>
      <c r="AC48" s="412"/>
      <c r="AD48" s="412"/>
      <c r="AE48" s="414"/>
      <c r="AF48" s="90"/>
    </row>
    <row r="49" spans="1:32" ht="12" customHeight="1" x14ac:dyDescent="0.35">
      <c r="A49" s="425"/>
      <c r="B49" s="426" t="s">
        <v>82</v>
      </c>
      <c r="C49" s="407" t="s">
        <v>211</v>
      </c>
      <c r="D49" s="407"/>
      <c r="E49" s="407"/>
      <c r="F49" s="407"/>
      <c r="G49" s="424"/>
      <c r="H49" s="408"/>
      <c r="I49" s="405"/>
      <c r="J49" s="404"/>
      <c r="K49" s="418"/>
      <c r="L49" s="402"/>
      <c r="M49" s="402"/>
      <c r="N49" s="402"/>
      <c r="O49" s="427">
        <v>6</v>
      </c>
      <c r="P49" s="407" t="s">
        <v>217</v>
      </c>
      <c r="Q49" s="428"/>
      <c r="R49" s="429">
        <f>O49*430000</f>
        <v>2580000</v>
      </c>
      <c r="S49" s="409">
        <f t="shared" ref="S49:S54" si="15">+R49/$R$184*100</f>
        <v>0.11522059608348224</v>
      </c>
      <c r="T49" s="410"/>
      <c r="U49" s="411"/>
      <c r="V49" s="411"/>
      <c r="W49" s="411"/>
      <c r="X49" s="411"/>
      <c r="Y49" s="412">
        <v>0</v>
      </c>
      <c r="Z49" s="410">
        <f t="shared" ref="Z49:Z54" si="16">+Y49/R49*100</f>
        <v>0</v>
      </c>
      <c r="AA49" s="413">
        <f t="shared" si="1"/>
        <v>0</v>
      </c>
      <c r="AB49" s="410">
        <f t="shared" ref="AB49:AB54" si="17">AA49*S49/100</f>
        <v>0</v>
      </c>
      <c r="AC49" s="412"/>
      <c r="AD49" s="412">
        <f t="shared" ref="AD49:AD54" si="18">+R49-Y49</f>
        <v>2580000</v>
      </c>
      <c r="AE49" s="414"/>
      <c r="AF49" s="90"/>
    </row>
    <row r="50" spans="1:32" ht="12" customHeight="1" x14ac:dyDescent="0.35">
      <c r="A50" s="425"/>
      <c r="B50" s="426" t="s">
        <v>82</v>
      </c>
      <c r="C50" s="407" t="s">
        <v>212</v>
      </c>
      <c r="D50" s="407"/>
      <c r="E50" s="407"/>
      <c r="F50" s="407"/>
      <c r="G50" s="424"/>
      <c r="H50" s="408"/>
      <c r="I50" s="405"/>
      <c r="J50" s="404"/>
      <c r="K50" s="418"/>
      <c r="L50" s="402"/>
      <c r="M50" s="402"/>
      <c r="N50" s="402"/>
      <c r="O50" s="427">
        <v>4</v>
      </c>
      <c r="P50" s="407" t="s">
        <v>217</v>
      </c>
      <c r="Q50" s="428"/>
      <c r="R50" s="429">
        <f>O50*580000</f>
        <v>2320000</v>
      </c>
      <c r="S50" s="409">
        <f t="shared" si="15"/>
        <v>0.10360921818359642</v>
      </c>
      <c r="T50" s="410"/>
      <c r="U50" s="411"/>
      <c r="V50" s="411"/>
      <c r="W50" s="411"/>
      <c r="X50" s="411"/>
      <c r="Y50" s="412">
        <v>0</v>
      </c>
      <c r="Z50" s="410">
        <f t="shared" si="16"/>
        <v>0</v>
      </c>
      <c r="AA50" s="413">
        <f t="shared" si="1"/>
        <v>0</v>
      </c>
      <c r="AB50" s="410">
        <f t="shared" si="17"/>
        <v>0</v>
      </c>
      <c r="AC50" s="412"/>
      <c r="AD50" s="412">
        <f t="shared" si="18"/>
        <v>2320000</v>
      </c>
      <c r="AE50" s="414"/>
      <c r="AF50" s="90"/>
    </row>
    <row r="51" spans="1:32" ht="12" customHeight="1" x14ac:dyDescent="0.35">
      <c r="A51" s="425"/>
      <c r="B51" s="426" t="s">
        <v>82</v>
      </c>
      <c r="C51" s="407" t="s">
        <v>213</v>
      </c>
      <c r="D51" s="407"/>
      <c r="E51" s="407"/>
      <c r="F51" s="407"/>
      <c r="G51" s="424"/>
      <c r="H51" s="408"/>
      <c r="I51" s="405"/>
      <c r="J51" s="404"/>
      <c r="K51" s="418"/>
      <c r="L51" s="402"/>
      <c r="M51" s="402"/>
      <c r="N51" s="402"/>
      <c r="O51" s="427">
        <v>2</v>
      </c>
      <c r="P51" s="407" t="s">
        <v>147</v>
      </c>
      <c r="Q51" s="428"/>
      <c r="R51" s="429">
        <f>O51*400000</f>
        <v>800000</v>
      </c>
      <c r="S51" s="409">
        <f t="shared" si="15"/>
        <v>3.5727316615033249E-2</v>
      </c>
      <c r="T51" s="410"/>
      <c r="U51" s="411"/>
      <c r="V51" s="411"/>
      <c r="W51" s="411"/>
      <c r="X51" s="411"/>
      <c r="Y51" s="412">
        <v>0</v>
      </c>
      <c r="Z51" s="410">
        <f t="shared" si="16"/>
        <v>0</v>
      </c>
      <c r="AA51" s="413">
        <f t="shared" si="1"/>
        <v>0</v>
      </c>
      <c r="AB51" s="410">
        <f t="shared" si="17"/>
        <v>0</v>
      </c>
      <c r="AC51" s="412"/>
      <c r="AD51" s="412">
        <f t="shared" si="18"/>
        <v>800000</v>
      </c>
      <c r="AE51" s="414"/>
      <c r="AF51" s="90"/>
    </row>
    <row r="52" spans="1:32" ht="12" customHeight="1" x14ac:dyDescent="0.35">
      <c r="A52" s="425"/>
      <c r="B52" s="426" t="s">
        <v>82</v>
      </c>
      <c r="C52" s="407" t="s">
        <v>214</v>
      </c>
      <c r="D52" s="407"/>
      <c r="E52" s="407"/>
      <c r="F52" s="407"/>
      <c r="G52" s="424"/>
      <c r="H52" s="408"/>
      <c r="I52" s="405"/>
      <c r="J52" s="404"/>
      <c r="K52" s="418"/>
      <c r="L52" s="402"/>
      <c r="M52" s="402"/>
      <c r="N52" s="402"/>
      <c r="O52" s="427">
        <v>5</v>
      </c>
      <c r="P52" s="407" t="s">
        <v>217</v>
      </c>
      <c r="Q52" s="428"/>
      <c r="R52" s="429">
        <f>O52*430000</f>
        <v>2150000</v>
      </c>
      <c r="S52" s="409">
        <f t="shared" si="15"/>
        <v>9.6017163402901867E-2</v>
      </c>
      <c r="T52" s="410"/>
      <c r="U52" s="411"/>
      <c r="V52" s="411"/>
      <c r="W52" s="411"/>
      <c r="X52" s="411"/>
      <c r="Y52" s="412">
        <v>0</v>
      </c>
      <c r="Z52" s="410">
        <f t="shared" si="16"/>
        <v>0</v>
      </c>
      <c r="AA52" s="413">
        <f t="shared" si="1"/>
        <v>0</v>
      </c>
      <c r="AB52" s="410">
        <f t="shared" si="17"/>
        <v>0</v>
      </c>
      <c r="AC52" s="412"/>
      <c r="AD52" s="412">
        <f t="shared" si="18"/>
        <v>2150000</v>
      </c>
      <c r="AE52" s="414"/>
      <c r="AF52" s="90"/>
    </row>
    <row r="53" spans="1:32" ht="12" customHeight="1" x14ac:dyDescent="0.35">
      <c r="A53" s="425"/>
      <c r="B53" s="426" t="s">
        <v>82</v>
      </c>
      <c r="C53" s="407" t="s">
        <v>215</v>
      </c>
      <c r="D53" s="407"/>
      <c r="E53" s="407"/>
      <c r="F53" s="407"/>
      <c r="G53" s="424"/>
      <c r="H53" s="408"/>
      <c r="I53" s="405"/>
      <c r="J53" s="404"/>
      <c r="K53" s="418"/>
      <c r="L53" s="402"/>
      <c r="M53" s="402"/>
      <c r="N53" s="402"/>
      <c r="O53" s="427">
        <v>2</v>
      </c>
      <c r="P53" s="407" t="s">
        <v>218</v>
      </c>
      <c r="Q53" s="428"/>
      <c r="R53" s="429">
        <f>O53*3000000</f>
        <v>6000000</v>
      </c>
      <c r="S53" s="409">
        <f t="shared" si="15"/>
        <v>0.26795487461274942</v>
      </c>
      <c r="T53" s="410"/>
      <c r="U53" s="411"/>
      <c r="V53" s="411"/>
      <c r="W53" s="411"/>
      <c r="X53" s="411"/>
      <c r="Y53" s="412">
        <v>0</v>
      </c>
      <c r="Z53" s="410">
        <f t="shared" si="16"/>
        <v>0</v>
      </c>
      <c r="AA53" s="413">
        <f t="shared" si="1"/>
        <v>0</v>
      </c>
      <c r="AB53" s="410">
        <f t="shared" si="17"/>
        <v>0</v>
      </c>
      <c r="AC53" s="412"/>
      <c r="AD53" s="412">
        <f t="shared" si="18"/>
        <v>6000000</v>
      </c>
      <c r="AE53" s="414"/>
      <c r="AF53" s="90"/>
    </row>
    <row r="54" spans="1:32" ht="12" customHeight="1" x14ac:dyDescent="0.35">
      <c r="A54" s="425"/>
      <c r="B54" s="426" t="s">
        <v>82</v>
      </c>
      <c r="C54" s="407" t="s">
        <v>216</v>
      </c>
      <c r="D54" s="407"/>
      <c r="E54" s="407"/>
      <c r="F54" s="407"/>
      <c r="G54" s="424"/>
      <c r="H54" s="408"/>
      <c r="I54" s="405"/>
      <c r="J54" s="404"/>
      <c r="K54" s="418"/>
      <c r="L54" s="402"/>
      <c r="M54" s="402"/>
      <c r="N54" s="402"/>
      <c r="O54" s="427">
        <v>5</v>
      </c>
      <c r="P54" s="407" t="s">
        <v>147</v>
      </c>
      <c r="Q54" s="428"/>
      <c r="R54" s="429">
        <f>O54*200000</f>
        <v>1000000</v>
      </c>
      <c r="S54" s="409">
        <f t="shared" si="15"/>
        <v>4.4659145768791562E-2</v>
      </c>
      <c r="T54" s="410"/>
      <c r="U54" s="411"/>
      <c r="V54" s="411"/>
      <c r="W54" s="411"/>
      <c r="X54" s="411"/>
      <c r="Y54" s="412">
        <v>0</v>
      </c>
      <c r="Z54" s="410">
        <f t="shared" si="16"/>
        <v>0</v>
      </c>
      <c r="AA54" s="413">
        <f t="shared" si="1"/>
        <v>0</v>
      </c>
      <c r="AB54" s="410">
        <f t="shared" si="17"/>
        <v>0</v>
      </c>
      <c r="AC54" s="412"/>
      <c r="AD54" s="412">
        <f t="shared" si="18"/>
        <v>1000000</v>
      </c>
      <c r="AE54" s="414"/>
      <c r="AF54" s="90"/>
    </row>
    <row r="55" spans="1:32" ht="12" customHeight="1" x14ac:dyDescent="0.35">
      <c r="A55" s="422">
        <v>524119</v>
      </c>
      <c r="B55" s="430" t="s">
        <v>219</v>
      </c>
      <c r="C55" s="407"/>
      <c r="D55" s="407"/>
      <c r="E55" s="407"/>
      <c r="F55" s="407"/>
      <c r="G55" s="424"/>
      <c r="H55" s="408"/>
      <c r="I55" s="405"/>
      <c r="J55" s="404"/>
      <c r="K55" s="418"/>
      <c r="L55" s="402"/>
      <c r="M55" s="402"/>
      <c r="N55" s="402"/>
      <c r="O55" s="427"/>
      <c r="P55" s="407"/>
      <c r="Q55" s="428"/>
      <c r="R55" s="429"/>
      <c r="S55" s="409"/>
      <c r="T55" s="410"/>
      <c r="U55" s="411"/>
      <c r="V55" s="411"/>
      <c r="W55" s="411"/>
      <c r="X55" s="411"/>
      <c r="Y55" s="412"/>
      <c r="Z55" s="410"/>
      <c r="AA55" s="413"/>
      <c r="AB55" s="410"/>
      <c r="AC55" s="412"/>
      <c r="AD55" s="412"/>
      <c r="AE55" s="414"/>
      <c r="AF55" s="90"/>
    </row>
    <row r="56" spans="1:32" ht="12" customHeight="1" x14ac:dyDescent="0.35">
      <c r="A56" s="425"/>
      <c r="B56" s="426" t="s">
        <v>82</v>
      </c>
      <c r="C56" s="407" t="s">
        <v>220</v>
      </c>
      <c r="D56" s="407"/>
      <c r="E56" s="407"/>
      <c r="F56" s="407"/>
      <c r="G56" s="424"/>
      <c r="H56" s="408"/>
      <c r="I56" s="405"/>
      <c r="J56" s="404"/>
      <c r="K56" s="418"/>
      <c r="L56" s="402"/>
      <c r="M56" s="402"/>
      <c r="N56" s="402"/>
      <c r="O56" s="427">
        <v>100</v>
      </c>
      <c r="P56" s="407" t="s">
        <v>217</v>
      </c>
      <c r="Q56" s="428"/>
      <c r="R56" s="429">
        <f>O56*700000</f>
        <v>70000000</v>
      </c>
      <c r="S56" s="409">
        <f t="shared" ref="S56:S61" si="19">+R56/$R$184*100</f>
        <v>3.1261402038154094</v>
      </c>
      <c r="T56" s="410"/>
      <c r="U56" s="411"/>
      <c r="V56" s="411"/>
      <c r="W56" s="411"/>
      <c r="X56" s="411"/>
      <c r="Y56" s="412">
        <v>0</v>
      </c>
      <c r="Z56" s="410">
        <f t="shared" ref="Z56:Z61" si="20">+Y56/R56*100</f>
        <v>0</v>
      </c>
      <c r="AA56" s="413">
        <f t="shared" si="1"/>
        <v>0</v>
      </c>
      <c r="AB56" s="410">
        <f t="shared" ref="AB56:AB61" si="21">AA56*S56/100</f>
        <v>0</v>
      </c>
      <c r="AC56" s="412"/>
      <c r="AD56" s="412">
        <f t="shared" ref="AD56:AD61" si="22">+R56-Y56</f>
        <v>70000000</v>
      </c>
      <c r="AE56" s="414"/>
      <c r="AF56" s="90"/>
    </row>
    <row r="57" spans="1:32" ht="12" customHeight="1" x14ac:dyDescent="0.35">
      <c r="A57" s="425"/>
      <c r="B57" s="426" t="s">
        <v>82</v>
      </c>
      <c r="C57" s="407" t="s">
        <v>221</v>
      </c>
      <c r="D57" s="407"/>
      <c r="E57" s="407"/>
      <c r="F57" s="407"/>
      <c r="G57" s="424"/>
      <c r="H57" s="408"/>
      <c r="I57" s="405"/>
      <c r="J57" s="404"/>
      <c r="K57" s="418"/>
      <c r="L57" s="402"/>
      <c r="M57" s="402"/>
      <c r="N57" s="402"/>
      <c r="O57" s="427">
        <v>80</v>
      </c>
      <c r="P57" s="407" t="s">
        <v>217</v>
      </c>
      <c r="Q57" s="428"/>
      <c r="R57" s="429">
        <f>O57*150000</f>
        <v>12000000</v>
      </c>
      <c r="S57" s="409">
        <f t="shared" si="19"/>
        <v>0.53590974922549883</v>
      </c>
      <c r="T57" s="410"/>
      <c r="U57" s="411"/>
      <c r="V57" s="411"/>
      <c r="W57" s="411"/>
      <c r="X57" s="411"/>
      <c r="Y57" s="412">
        <v>0</v>
      </c>
      <c r="Z57" s="410">
        <f t="shared" si="20"/>
        <v>0</v>
      </c>
      <c r="AA57" s="413">
        <f t="shared" si="1"/>
        <v>0</v>
      </c>
      <c r="AB57" s="410">
        <f t="shared" si="21"/>
        <v>0</v>
      </c>
      <c r="AC57" s="412"/>
      <c r="AD57" s="412">
        <f t="shared" si="22"/>
        <v>12000000</v>
      </c>
      <c r="AE57" s="414"/>
      <c r="AF57" s="90"/>
    </row>
    <row r="58" spans="1:32" ht="12" customHeight="1" x14ac:dyDescent="0.35">
      <c r="A58" s="425"/>
      <c r="B58" s="426" t="s">
        <v>82</v>
      </c>
      <c r="C58" s="407" t="s">
        <v>222</v>
      </c>
      <c r="D58" s="407"/>
      <c r="E58" s="407"/>
      <c r="F58" s="407"/>
      <c r="G58" s="424"/>
      <c r="H58" s="408"/>
      <c r="I58" s="405"/>
      <c r="J58" s="404"/>
      <c r="K58" s="418"/>
      <c r="L58" s="402"/>
      <c r="M58" s="402"/>
      <c r="N58" s="402"/>
      <c r="O58" s="427">
        <v>50</v>
      </c>
      <c r="P58" s="407" t="s">
        <v>147</v>
      </c>
      <c r="Q58" s="428"/>
      <c r="R58" s="429">
        <f>O58*500000</f>
        <v>25000000</v>
      </c>
      <c r="S58" s="409">
        <f t="shared" si="19"/>
        <v>1.1164786442197892</v>
      </c>
      <c r="T58" s="410"/>
      <c r="U58" s="411"/>
      <c r="V58" s="411"/>
      <c r="W58" s="411"/>
      <c r="X58" s="411"/>
      <c r="Y58" s="412">
        <v>0</v>
      </c>
      <c r="Z58" s="410">
        <f t="shared" si="20"/>
        <v>0</v>
      </c>
      <c r="AA58" s="413">
        <f t="shared" si="1"/>
        <v>0</v>
      </c>
      <c r="AB58" s="410">
        <f t="shared" si="21"/>
        <v>0</v>
      </c>
      <c r="AC58" s="412"/>
      <c r="AD58" s="412">
        <f t="shared" si="22"/>
        <v>25000000</v>
      </c>
      <c r="AE58" s="414"/>
      <c r="AF58" s="90"/>
    </row>
    <row r="59" spans="1:32" ht="12" customHeight="1" x14ac:dyDescent="0.35">
      <c r="A59" s="425"/>
      <c r="B59" s="426" t="s">
        <v>82</v>
      </c>
      <c r="C59" s="407" t="s">
        <v>223</v>
      </c>
      <c r="D59" s="407"/>
      <c r="E59" s="407"/>
      <c r="F59" s="407"/>
      <c r="G59" s="424"/>
      <c r="H59" s="408"/>
      <c r="I59" s="405"/>
      <c r="J59" s="404"/>
      <c r="K59" s="418"/>
      <c r="L59" s="402"/>
      <c r="M59" s="402"/>
      <c r="N59" s="402"/>
      <c r="O59" s="427">
        <v>100</v>
      </c>
      <c r="P59" s="407" t="s">
        <v>217</v>
      </c>
      <c r="Q59" s="428"/>
      <c r="R59" s="429">
        <f>O59*150000</f>
        <v>15000000</v>
      </c>
      <c r="S59" s="409">
        <f t="shared" si="19"/>
        <v>0.6698871865318734</v>
      </c>
      <c r="T59" s="410"/>
      <c r="U59" s="411"/>
      <c r="V59" s="411"/>
      <c r="W59" s="411"/>
      <c r="X59" s="411"/>
      <c r="Y59" s="412">
        <v>0</v>
      </c>
      <c r="Z59" s="410">
        <f t="shared" si="20"/>
        <v>0</v>
      </c>
      <c r="AA59" s="413">
        <f t="shared" si="1"/>
        <v>0</v>
      </c>
      <c r="AB59" s="410">
        <f t="shared" si="21"/>
        <v>0</v>
      </c>
      <c r="AC59" s="412"/>
      <c r="AD59" s="412">
        <f t="shared" si="22"/>
        <v>15000000</v>
      </c>
      <c r="AE59" s="414"/>
      <c r="AF59" s="90"/>
    </row>
    <row r="60" spans="1:32" ht="12" customHeight="1" x14ac:dyDescent="0.35">
      <c r="A60" s="425"/>
      <c r="B60" s="426" t="s">
        <v>82</v>
      </c>
      <c r="C60" s="407" t="s">
        <v>224</v>
      </c>
      <c r="D60" s="407"/>
      <c r="E60" s="407"/>
      <c r="F60" s="407"/>
      <c r="G60" s="424"/>
      <c r="H60" s="408"/>
      <c r="I60" s="405"/>
      <c r="J60" s="404"/>
      <c r="K60" s="418"/>
      <c r="L60" s="402"/>
      <c r="M60" s="402"/>
      <c r="N60" s="402"/>
      <c r="O60" s="427">
        <v>120</v>
      </c>
      <c r="P60" s="407" t="s">
        <v>217</v>
      </c>
      <c r="Q60" s="428"/>
      <c r="R60" s="429">
        <f>O60*700000</f>
        <v>84000000</v>
      </c>
      <c r="S60" s="409">
        <f t="shared" si="19"/>
        <v>3.7513682445784915</v>
      </c>
      <c r="T60" s="410"/>
      <c r="U60" s="411"/>
      <c r="V60" s="411"/>
      <c r="W60" s="411"/>
      <c r="X60" s="411"/>
      <c r="Y60" s="412">
        <v>0</v>
      </c>
      <c r="Z60" s="410">
        <f t="shared" si="20"/>
        <v>0</v>
      </c>
      <c r="AA60" s="413">
        <f t="shared" si="1"/>
        <v>0</v>
      </c>
      <c r="AB60" s="410">
        <f t="shared" si="21"/>
        <v>0</v>
      </c>
      <c r="AC60" s="412"/>
      <c r="AD60" s="412">
        <f t="shared" si="22"/>
        <v>84000000</v>
      </c>
      <c r="AE60" s="414"/>
      <c r="AF60" s="90"/>
    </row>
    <row r="61" spans="1:32" ht="12" customHeight="1" x14ac:dyDescent="0.35">
      <c r="A61" s="425"/>
      <c r="B61" s="426" t="s">
        <v>82</v>
      </c>
      <c r="C61" s="407" t="s">
        <v>225</v>
      </c>
      <c r="D61" s="407"/>
      <c r="E61" s="407"/>
      <c r="F61" s="407"/>
      <c r="G61" s="424"/>
      <c r="H61" s="408"/>
      <c r="I61" s="405"/>
      <c r="J61" s="404"/>
      <c r="K61" s="418"/>
      <c r="L61" s="402"/>
      <c r="M61" s="402"/>
      <c r="N61" s="402"/>
      <c r="O61" s="427">
        <v>60</v>
      </c>
      <c r="P61" s="407" t="s">
        <v>147</v>
      </c>
      <c r="Q61" s="428"/>
      <c r="R61" s="429">
        <f>O61*500000</f>
        <v>30000000</v>
      </c>
      <c r="S61" s="409">
        <f t="shared" si="19"/>
        <v>1.3397743730637468</v>
      </c>
      <c r="T61" s="410"/>
      <c r="U61" s="411"/>
      <c r="V61" s="411"/>
      <c r="W61" s="411"/>
      <c r="X61" s="411"/>
      <c r="Y61" s="412">
        <v>0</v>
      </c>
      <c r="Z61" s="410">
        <f t="shared" si="20"/>
        <v>0</v>
      </c>
      <c r="AA61" s="413">
        <f t="shared" si="1"/>
        <v>0</v>
      </c>
      <c r="AB61" s="410">
        <f t="shared" si="21"/>
        <v>0</v>
      </c>
      <c r="AC61" s="412"/>
      <c r="AD61" s="412">
        <f t="shared" si="22"/>
        <v>30000000</v>
      </c>
      <c r="AE61" s="414"/>
      <c r="AF61" s="90"/>
    </row>
    <row r="62" spans="1:32" ht="12" customHeight="1" x14ac:dyDescent="0.35">
      <c r="A62" s="93"/>
      <c r="B62" s="102"/>
      <c r="C62" s="94"/>
      <c r="D62" s="94"/>
      <c r="E62" s="94"/>
      <c r="F62" s="94"/>
      <c r="G62" s="95"/>
      <c r="H62" s="77"/>
      <c r="I62" s="78"/>
      <c r="J62" s="79"/>
      <c r="K62" s="80"/>
      <c r="L62" s="81"/>
      <c r="M62" s="81"/>
      <c r="N62" s="81"/>
      <c r="O62" s="96"/>
      <c r="P62" s="94"/>
      <c r="Q62" s="97"/>
      <c r="R62" s="98"/>
      <c r="S62" s="85"/>
      <c r="T62" s="86"/>
      <c r="U62" s="87"/>
      <c r="V62" s="87"/>
      <c r="W62" s="87"/>
      <c r="X62" s="87"/>
      <c r="Y62" s="88"/>
      <c r="Z62" s="86"/>
      <c r="AA62" s="86"/>
      <c r="AB62" s="86"/>
      <c r="AC62" s="88"/>
      <c r="AD62" s="88"/>
      <c r="AE62" s="86"/>
      <c r="AF62" s="90"/>
    </row>
    <row r="63" spans="1:32" ht="12.95" customHeight="1" x14ac:dyDescent="0.35">
      <c r="A63" s="117" t="s">
        <v>226</v>
      </c>
      <c r="B63" s="118" t="s">
        <v>227</v>
      </c>
      <c r="C63" s="119"/>
      <c r="D63" s="119"/>
      <c r="E63" s="119"/>
      <c r="F63" s="119"/>
      <c r="G63" s="119"/>
      <c r="H63" s="120"/>
      <c r="I63" s="121"/>
      <c r="J63" s="122"/>
      <c r="K63" s="123"/>
      <c r="L63" s="124"/>
      <c r="M63" s="124"/>
      <c r="N63" s="124"/>
      <c r="O63" s="125"/>
      <c r="P63" s="119"/>
      <c r="Q63" s="126"/>
      <c r="R63" s="127"/>
      <c r="S63" s="128"/>
      <c r="T63" s="129"/>
      <c r="U63" s="130"/>
      <c r="V63" s="130"/>
      <c r="W63" s="130"/>
      <c r="X63" s="130"/>
      <c r="Y63" s="131"/>
      <c r="Z63" s="129"/>
      <c r="AA63" s="129"/>
      <c r="AB63" s="129"/>
      <c r="AC63" s="131"/>
      <c r="AD63" s="131"/>
      <c r="AE63" s="129"/>
    </row>
    <row r="64" spans="1:32" ht="12.95" customHeight="1" x14ac:dyDescent="0.35">
      <c r="A64" s="132"/>
      <c r="B64" s="104"/>
      <c r="C64" s="105"/>
      <c r="D64" s="105"/>
      <c r="E64" s="111"/>
      <c r="F64" s="111"/>
      <c r="G64" s="111"/>
      <c r="H64" s="107"/>
      <c r="I64" s="108"/>
      <c r="J64" s="109"/>
      <c r="K64" s="110"/>
      <c r="L64" s="111"/>
      <c r="M64" s="111"/>
      <c r="N64" s="111"/>
      <c r="O64" s="133"/>
      <c r="P64" s="108"/>
      <c r="Q64" s="114"/>
      <c r="R64" s="133"/>
      <c r="S64" s="113"/>
      <c r="T64" s="114"/>
      <c r="U64" s="115"/>
      <c r="V64" s="115"/>
      <c r="W64" s="115"/>
      <c r="X64" s="115"/>
      <c r="Y64" s="116"/>
      <c r="Z64" s="114"/>
      <c r="AA64" s="114"/>
      <c r="AB64" s="114"/>
      <c r="AC64" s="116"/>
      <c r="AD64" s="116"/>
      <c r="AE64" s="114"/>
    </row>
    <row r="65" spans="1:41" ht="12.95" customHeight="1" x14ac:dyDescent="0.35">
      <c r="A65" s="132" t="s">
        <v>228</v>
      </c>
      <c r="B65" s="104" t="s">
        <v>229</v>
      </c>
      <c r="C65" s="105"/>
      <c r="D65" s="105"/>
      <c r="E65" s="105"/>
      <c r="F65" s="105"/>
      <c r="G65" s="106"/>
      <c r="H65" s="107"/>
      <c r="I65" s="108"/>
      <c r="J65" s="109"/>
      <c r="K65" s="110"/>
      <c r="L65" s="111"/>
      <c r="M65" s="111"/>
      <c r="N65" s="111"/>
      <c r="O65" s="134"/>
      <c r="P65" s="111"/>
      <c r="Q65" s="135"/>
      <c r="R65" s="136"/>
      <c r="S65" s="113"/>
      <c r="T65" s="114"/>
      <c r="U65" s="115"/>
      <c r="V65" s="115"/>
      <c r="W65" s="115"/>
      <c r="X65" s="115"/>
      <c r="Y65" s="116"/>
      <c r="Z65" s="114"/>
      <c r="AA65" s="114"/>
      <c r="AB65" s="114"/>
      <c r="AC65" s="116"/>
      <c r="AD65" s="116"/>
      <c r="AE65" s="114"/>
    </row>
    <row r="66" spans="1:41" s="164" customFormat="1" ht="12.95" hidden="1" customHeight="1" x14ac:dyDescent="0.35">
      <c r="A66" s="146"/>
      <c r="B66" s="147"/>
      <c r="C66" s="148" t="s">
        <v>89</v>
      </c>
      <c r="D66" s="149" t="s">
        <v>90</v>
      </c>
      <c r="E66" s="140"/>
      <c r="F66" s="140"/>
      <c r="G66" s="150"/>
      <c r="H66" s="151"/>
      <c r="I66" s="152"/>
      <c r="J66" s="153"/>
      <c r="K66" s="153"/>
      <c r="L66" s="154"/>
      <c r="M66" s="140"/>
      <c r="N66" s="140"/>
      <c r="O66" s="98"/>
      <c r="P66" s="155"/>
      <c r="Q66" s="156"/>
      <c r="R66" s="157"/>
      <c r="S66" s="158"/>
      <c r="T66" s="159"/>
      <c r="U66" s="160"/>
      <c r="V66" s="160"/>
      <c r="W66" s="160"/>
      <c r="X66" s="160"/>
      <c r="Y66" s="161"/>
      <c r="Z66" s="159"/>
      <c r="AA66" s="162"/>
      <c r="AB66" s="159"/>
      <c r="AC66" s="88"/>
      <c r="AD66" s="161"/>
      <c r="AE66" s="163"/>
    </row>
    <row r="67" spans="1:41" s="164" customFormat="1" ht="12.95" hidden="1" customHeight="1" x14ac:dyDescent="0.35">
      <c r="A67" s="146"/>
      <c r="B67" s="147"/>
      <c r="C67" s="148" t="s">
        <v>89</v>
      </c>
      <c r="D67" s="149" t="s">
        <v>91</v>
      </c>
      <c r="E67" s="140"/>
      <c r="F67" s="140"/>
      <c r="G67" s="150"/>
      <c r="H67" s="151"/>
      <c r="I67" s="152"/>
      <c r="J67" s="153"/>
      <c r="K67" s="153"/>
      <c r="L67" s="154"/>
      <c r="M67" s="140"/>
      <c r="N67" s="140"/>
      <c r="O67" s="98"/>
      <c r="P67" s="155"/>
      <c r="Q67" s="156"/>
      <c r="R67" s="157"/>
      <c r="S67" s="158"/>
      <c r="T67" s="159"/>
      <c r="U67" s="160"/>
      <c r="V67" s="160"/>
      <c r="W67" s="160"/>
      <c r="X67" s="160"/>
      <c r="Y67" s="161"/>
      <c r="Z67" s="159"/>
      <c r="AA67" s="162"/>
      <c r="AB67" s="159"/>
      <c r="AC67" s="88"/>
      <c r="AD67" s="161"/>
      <c r="AE67" s="163"/>
    </row>
    <row r="68" spans="1:41" s="169" customFormat="1" ht="12.95" hidden="1" customHeight="1" x14ac:dyDescent="0.35">
      <c r="A68" s="146"/>
      <c r="B68" s="147"/>
      <c r="C68" s="165" t="s">
        <v>89</v>
      </c>
      <c r="D68" s="506" t="s">
        <v>92</v>
      </c>
      <c r="E68" s="506"/>
      <c r="F68" s="506"/>
      <c r="G68" s="507"/>
      <c r="H68" s="151"/>
      <c r="I68" s="152"/>
      <c r="J68" s="153"/>
      <c r="K68" s="153"/>
      <c r="L68" s="154"/>
      <c r="M68" s="140"/>
      <c r="N68" s="140"/>
      <c r="O68" s="98"/>
      <c r="P68" s="155"/>
      <c r="Q68" s="156"/>
      <c r="R68" s="157"/>
      <c r="S68" s="158"/>
      <c r="T68" s="159"/>
      <c r="U68" s="160"/>
      <c r="V68" s="160"/>
      <c r="W68" s="160"/>
      <c r="X68" s="160"/>
      <c r="Y68" s="161"/>
      <c r="Z68" s="159"/>
      <c r="AA68" s="162"/>
      <c r="AB68" s="159"/>
      <c r="AC68" s="88"/>
      <c r="AD68" s="161"/>
      <c r="AE68" s="163"/>
      <c r="AF68" s="168"/>
      <c r="AG68" s="168"/>
      <c r="AH68" s="168"/>
      <c r="AI68" s="168"/>
      <c r="AJ68" s="168"/>
      <c r="AK68" s="168"/>
      <c r="AL68" s="168"/>
      <c r="AM68" s="168"/>
      <c r="AN68" s="168"/>
      <c r="AO68" s="168"/>
    </row>
    <row r="69" spans="1:41" s="169" customFormat="1" ht="12.95" customHeight="1" x14ac:dyDescent="0.35">
      <c r="A69" s="282">
        <v>521211</v>
      </c>
      <c r="B69" s="283" t="s">
        <v>186</v>
      </c>
      <c r="C69" s="165"/>
      <c r="D69" s="446"/>
      <c r="E69" s="446"/>
      <c r="F69" s="446"/>
      <c r="G69" s="447"/>
      <c r="H69" s="151"/>
      <c r="I69" s="152"/>
      <c r="J69" s="280"/>
      <c r="K69" s="153"/>
      <c r="L69" s="140"/>
      <c r="M69" s="140"/>
      <c r="N69" s="140"/>
      <c r="O69" s="98"/>
      <c r="P69" s="281"/>
      <c r="Q69" s="156"/>
      <c r="R69" s="157"/>
      <c r="S69" s="158"/>
      <c r="T69" s="159"/>
      <c r="U69" s="160"/>
      <c r="V69" s="160"/>
      <c r="W69" s="160"/>
      <c r="X69" s="160"/>
      <c r="Y69" s="161"/>
      <c r="Z69" s="159"/>
      <c r="AA69" s="162"/>
      <c r="AB69" s="159"/>
      <c r="AC69" s="88"/>
      <c r="AD69" s="161"/>
      <c r="AE69" s="163"/>
      <c r="AF69" s="168"/>
      <c r="AG69" s="168"/>
      <c r="AH69" s="168"/>
      <c r="AI69" s="168"/>
      <c r="AJ69" s="168"/>
      <c r="AK69" s="168"/>
      <c r="AL69" s="168"/>
      <c r="AM69" s="168"/>
      <c r="AN69" s="168"/>
      <c r="AO69" s="168"/>
    </row>
    <row r="70" spans="1:41" s="169" customFormat="1" ht="12.95" customHeight="1" x14ac:dyDescent="0.35">
      <c r="A70" s="138"/>
      <c r="B70" s="139" t="s">
        <v>82</v>
      </c>
      <c r="C70" s="140" t="s">
        <v>87</v>
      </c>
      <c r="D70" s="141"/>
      <c r="E70" s="141"/>
      <c r="F70" s="141"/>
      <c r="G70" s="142"/>
      <c r="H70" s="107"/>
      <c r="I70" s="108"/>
      <c r="J70" s="109"/>
      <c r="K70" s="110"/>
      <c r="L70" s="111"/>
      <c r="M70" s="111"/>
      <c r="N70" s="111"/>
      <c r="O70" s="143">
        <v>12</v>
      </c>
      <c r="P70" s="94" t="s">
        <v>88</v>
      </c>
      <c r="Q70" s="144">
        <v>1500000</v>
      </c>
      <c r="R70" s="77">
        <f>O70*6750000</f>
        <v>81000000</v>
      </c>
      <c r="S70" s="85">
        <f t="shared" ref="S70" si="23">+R70/$R$184*100</f>
        <v>3.6173908072721166</v>
      </c>
      <c r="T70" s="99"/>
      <c r="U70" s="87"/>
      <c r="V70" s="87"/>
      <c r="W70" s="87"/>
      <c r="X70" s="87"/>
      <c r="Y70" s="88">
        <f>844000+20000000</f>
        <v>20844000</v>
      </c>
      <c r="Z70" s="99">
        <f t="shared" ref="Z70" si="24">+Y70/R70*100</f>
        <v>25.733333333333334</v>
      </c>
      <c r="AA70" s="100">
        <f t="shared" ref="AA70" si="25">Z70</f>
        <v>25.733333333333334</v>
      </c>
      <c r="AB70" s="99">
        <f t="shared" ref="AB70" si="26">AA70*S70/100</f>
        <v>0.93087523440469144</v>
      </c>
      <c r="AC70" s="88"/>
      <c r="AD70" s="88">
        <f t="shared" ref="AD70" si="27">+R70-Y70</f>
        <v>60156000</v>
      </c>
      <c r="AE70" s="86"/>
      <c r="AF70" s="168"/>
      <c r="AG70" s="168"/>
      <c r="AH70" s="168"/>
      <c r="AI70" s="168"/>
      <c r="AJ70" s="168"/>
      <c r="AK70" s="168"/>
      <c r="AL70" s="168"/>
      <c r="AM70" s="168"/>
      <c r="AN70" s="168"/>
      <c r="AO70" s="168"/>
    </row>
    <row r="71" spans="1:41" s="181" customFormat="1" ht="12.95" customHeight="1" x14ac:dyDescent="0.35">
      <c r="A71" s="210">
        <v>521219</v>
      </c>
      <c r="B71" s="211" t="s">
        <v>93</v>
      </c>
      <c r="C71" s="105"/>
      <c r="D71" s="105"/>
      <c r="E71" s="105"/>
      <c r="F71" s="105"/>
      <c r="G71" s="106"/>
      <c r="H71" s="170"/>
      <c r="I71" s="171"/>
      <c r="J71" s="170"/>
      <c r="K71" s="172"/>
      <c r="L71" s="112"/>
      <c r="M71" s="105"/>
      <c r="N71" s="103"/>
      <c r="O71" s="173"/>
      <c r="P71" s="101"/>
      <c r="Q71" s="174"/>
      <c r="R71" s="173"/>
      <c r="S71" s="85"/>
      <c r="T71" s="175"/>
      <c r="U71" s="176"/>
      <c r="V71" s="176"/>
      <c r="W71" s="176"/>
      <c r="X71" s="176"/>
      <c r="Y71" s="177"/>
      <c r="Z71" s="175"/>
      <c r="AA71" s="178"/>
      <c r="AB71" s="175"/>
      <c r="AC71" s="88"/>
      <c r="AD71" s="177"/>
      <c r="AE71" s="179"/>
      <c r="AF71" s="180"/>
      <c r="AG71" s="28"/>
      <c r="AH71" s="28"/>
      <c r="AI71" s="28"/>
      <c r="AJ71" s="28"/>
      <c r="AK71" s="28"/>
      <c r="AL71" s="28"/>
      <c r="AM71" s="28"/>
      <c r="AN71" s="28"/>
      <c r="AO71" s="28"/>
    </row>
    <row r="72" spans="1:41" ht="12.95" customHeight="1" x14ac:dyDescent="0.35">
      <c r="A72" s="135"/>
      <c r="B72" s="139" t="s">
        <v>82</v>
      </c>
      <c r="C72" s="111" t="s">
        <v>94</v>
      </c>
      <c r="D72" s="105"/>
      <c r="E72" s="111"/>
      <c r="F72" s="111"/>
      <c r="G72" s="137"/>
      <c r="H72" s="109"/>
      <c r="I72" s="108"/>
      <c r="J72" s="109"/>
      <c r="K72" s="172"/>
      <c r="L72" s="182">
        <v>1095</v>
      </c>
      <c r="M72" s="140" t="s">
        <v>95</v>
      </c>
      <c r="N72" s="183">
        <v>53000</v>
      </c>
      <c r="O72" s="143">
        <v>12</v>
      </c>
      <c r="P72" s="94" t="s">
        <v>96</v>
      </c>
      <c r="Q72" s="144">
        <v>100000</v>
      </c>
      <c r="R72" s="77">
        <f>O72*3500000</f>
        <v>42000000</v>
      </c>
      <c r="S72" s="85">
        <f t="shared" ref="S72:S74" si="28">+R72/$R$184*100</f>
        <v>1.8756841222892457</v>
      </c>
      <c r="T72" s="99"/>
      <c r="U72" s="87"/>
      <c r="V72" s="87"/>
      <c r="W72" s="87"/>
      <c r="X72" s="87"/>
      <c r="Y72" s="88">
        <f>5820000+13876000</f>
        <v>19696000</v>
      </c>
      <c r="Z72" s="99">
        <f t="shared" ref="Z72:Z74" si="29">+Y72/R72*100</f>
        <v>46.895238095238092</v>
      </c>
      <c r="AA72" s="100">
        <f t="shared" ref="AA72:AA74" si="30">Z72</f>
        <v>46.895238095238092</v>
      </c>
      <c r="AB72" s="99">
        <f t="shared" ref="AB72:AB74" si="31">AA72*S72/100</f>
        <v>0.8796065350621185</v>
      </c>
      <c r="AC72" s="88"/>
      <c r="AD72" s="88">
        <f t="shared" ref="AD72:AD74" si="32">+R72-Y72</f>
        <v>22304000</v>
      </c>
      <c r="AE72" s="86"/>
    </row>
    <row r="73" spans="1:41" ht="12.95" customHeight="1" x14ac:dyDescent="0.35">
      <c r="A73" s="135"/>
      <c r="B73" s="139" t="s">
        <v>82</v>
      </c>
      <c r="C73" s="111" t="s">
        <v>97</v>
      </c>
      <c r="D73" s="105"/>
      <c r="E73" s="111"/>
      <c r="F73" s="111"/>
      <c r="G73" s="137"/>
      <c r="H73" s="109"/>
      <c r="I73" s="108"/>
      <c r="J73" s="109"/>
      <c r="K73" s="172"/>
      <c r="L73" s="182"/>
      <c r="M73" s="140"/>
      <c r="N73" s="183"/>
      <c r="O73" s="143">
        <v>12</v>
      </c>
      <c r="P73" s="94" t="s">
        <v>96</v>
      </c>
      <c r="Q73" s="144"/>
      <c r="R73" s="77">
        <f>O73*600000</f>
        <v>7200000</v>
      </c>
      <c r="S73" s="85">
        <f t="shared" si="28"/>
        <v>0.32154584953529924</v>
      </c>
      <c r="T73" s="99"/>
      <c r="U73" s="87"/>
      <c r="V73" s="87"/>
      <c r="W73" s="87"/>
      <c r="X73" s="87"/>
      <c r="Y73" s="88">
        <v>0</v>
      </c>
      <c r="Z73" s="99">
        <f t="shared" si="29"/>
        <v>0</v>
      </c>
      <c r="AA73" s="100">
        <f t="shared" si="30"/>
        <v>0</v>
      </c>
      <c r="AB73" s="99">
        <f t="shared" si="31"/>
        <v>0</v>
      </c>
      <c r="AC73" s="88"/>
      <c r="AD73" s="88">
        <f t="shared" si="32"/>
        <v>7200000</v>
      </c>
      <c r="AE73" s="114"/>
    </row>
    <row r="74" spans="1:41" ht="12.95" customHeight="1" x14ac:dyDescent="0.35">
      <c r="A74" s="400"/>
      <c r="B74" s="401" t="s">
        <v>82</v>
      </c>
      <c r="C74" s="403" t="s">
        <v>230</v>
      </c>
      <c r="D74" s="403"/>
      <c r="E74" s="403"/>
      <c r="F74" s="403"/>
      <c r="G74" s="431"/>
      <c r="H74" s="432"/>
      <c r="I74" s="433"/>
      <c r="J74" s="432"/>
      <c r="K74" s="406"/>
      <c r="L74" s="434"/>
      <c r="M74" s="416"/>
      <c r="N74" s="435"/>
      <c r="O74" s="434">
        <v>1</v>
      </c>
      <c r="P74" s="416" t="s">
        <v>231</v>
      </c>
      <c r="Q74" s="436"/>
      <c r="R74" s="437">
        <f>O74*50000000</f>
        <v>50000000</v>
      </c>
      <c r="S74" s="438">
        <f t="shared" si="28"/>
        <v>2.2329572884395783</v>
      </c>
      <c r="T74" s="439"/>
      <c r="U74" s="440"/>
      <c r="V74" s="440"/>
      <c r="W74" s="440"/>
      <c r="X74" s="440"/>
      <c r="Y74" s="441">
        <f>5000000</f>
        <v>5000000</v>
      </c>
      <c r="Z74" s="439">
        <f t="shared" si="29"/>
        <v>10</v>
      </c>
      <c r="AA74" s="442">
        <f t="shared" si="30"/>
        <v>10</v>
      </c>
      <c r="AB74" s="439">
        <f t="shared" si="31"/>
        <v>0.22329572884395785</v>
      </c>
      <c r="AC74" s="441"/>
      <c r="AD74" s="441">
        <f t="shared" si="32"/>
        <v>45000000</v>
      </c>
      <c r="AE74" s="443"/>
      <c r="AF74" s="28"/>
      <c r="AG74" s="28"/>
      <c r="AH74" s="28"/>
      <c r="AI74" s="28"/>
    </row>
    <row r="75" spans="1:41" ht="12.95" customHeight="1" x14ac:dyDescent="0.35">
      <c r="A75" s="210">
        <v>523121</v>
      </c>
      <c r="B75" s="211" t="s">
        <v>98</v>
      </c>
      <c r="C75" s="105"/>
      <c r="D75" s="105"/>
      <c r="E75" s="105"/>
      <c r="F75" s="105"/>
      <c r="G75" s="106"/>
      <c r="H75" s="170"/>
      <c r="I75" s="171"/>
      <c r="J75" s="170"/>
      <c r="K75" s="172"/>
      <c r="L75" s="112"/>
      <c r="M75" s="105"/>
      <c r="N75" s="103"/>
      <c r="O75" s="173"/>
      <c r="P75" s="101"/>
      <c r="Q75" s="174"/>
      <c r="R75" s="173"/>
      <c r="S75" s="85"/>
      <c r="T75" s="175"/>
      <c r="U75" s="176"/>
      <c r="V75" s="176"/>
      <c r="W75" s="176"/>
      <c r="X75" s="176"/>
      <c r="Y75" s="177"/>
      <c r="Z75" s="175"/>
      <c r="AA75" s="178"/>
      <c r="AB75" s="175"/>
      <c r="AC75" s="88"/>
      <c r="AD75" s="177"/>
      <c r="AE75" s="179"/>
    </row>
    <row r="76" spans="1:41" ht="12.95" customHeight="1" x14ac:dyDescent="0.35">
      <c r="A76" s="135"/>
      <c r="B76" s="139" t="s">
        <v>82</v>
      </c>
      <c r="C76" s="111" t="s">
        <v>99</v>
      </c>
      <c r="D76" s="105"/>
      <c r="E76" s="111"/>
      <c r="F76" s="111"/>
      <c r="G76" s="137"/>
      <c r="H76" s="109"/>
      <c r="I76" s="108"/>
      <c r="J76" s="109"/>
      <c r="K76" s="172"/>
      <c r="L76" s="182">
        <v>1095</v>
      </c>
      <c r="M76" s="140" t="s">
        <v>95</v>
      </c>
      <c r="N76" s="183">
        <v>53000</v>
      </c>
      <c r="O76" s="143">
        <v>1</v>
      </c>
      <c r="P76" s="94" t="s">
        <v>86</v>
      </c>
      <c r="Q76" s="144">
        <v>100000</v>
      </c>
      <c r="R76" s="77">
        <f>O76*600000</f>
        <v>600000</v>
      </c>
      <c r="S76" s="85">
        <f t="shared" ref="S76" si="33">+R76/$R$184*100</f>
        <v>2.6795487461274942E-2</v>
      </c>
      <c r="T76" s="99"/>
      <c r="U76" s="87"/>
      <c r="V76" s="87"/>
      <c r="W76" s="87"/>
      <c r="X76" s="87"/>
      <c r="Y76" s="88">
        <v>0</v>
      </c>
      <c r="Z76" s="99">
        <f t="shared" ref="Z76" si="34">+Y76/R76*100</f>
        <v>0</v>
      </c>
      <c r="AA76" s="100">
        <f t="shared" ref="AA76" si="35">Z76</f>
        <v>0</v>
      </c>
      <c r="AB76" s="99">
        <f t="shared" ref="AB76" si="36">AA76*S76/100</f>
        <v>0</v>
      </c>
      <c r="AC76" s="88"/>
      <c r="AD76" s="88">
        <f t="shared" ref="AD76" si="37">+R76-Y76</f>
        <v>600000</v>
      </c>
      <c r="AE76" s="86"/>
    </row>
    <row r="77" spans="1:41" ht="12.95" customHeight="1" x14ac:dyDescent="0.35">
      <c r="A77" s="132" t="s">
        <v>232</v>
      </c>
      <c r="B77" s="104" t="s">
        <v>233</v>
      </c>
      <c r="C77" s="105"/>
      <c r="D77" s="105"/>
      <c r="E77" s="111"/>
      <c r="F77" s="111"/>
      <c r="G77" s="137"/>
      <c r="H77" s="107"/>
      <c r="I77" s="108"/>
      <c r="J77" s="109"/>
      <c r="K77" s="110"/>
      <c r="L77" s="111"/>
      <c r="M77" s="111"/>
      <c r="N77" s="111"/>
      <c r="O77" s="185"/>
      <c r="P77" s="81"/>
      <c r="Q77" s="186"/>
      <c r="R77" s="187"/>
      <c r="S77" s="85"/>
      <c r="T77" s="99"/>
      <c r="U77" s="145"/>
      <c r="V77" s="145"/>
      <c r="W77" s="145"/>
      <c r="X77" s="145"/>
      <c r="Y77" s="88"/>
      <c r="Z77" s="99"/>
      <c r="AA77" s="100"/>
      <c r="AB77" s="184"/>
      <c r="AC77" s="88"/>
      <c r="AD77" s="88"/>
      <c r="AE77" s="114"/>
    </row>
    <row r="78" spans="1:41" s="28" customFormat="1" ht="12.95" customHeight="1" x14ac:dyDescent="0.35">
      <c r="A78" s="279">
        <v>521119</v>
      </c>
      <c r="B78" s="211" t="s">
        <v>100</v>
      </c>
      <c r="C78" s="105"/>
      <c r="D78" s="105"/>
      <c r="E78" s="105"/>
      <c r="F78" s="105"/>
      <c r="G78" s="106"/>
      <c r="H78" s="188"/>
      <c r="I78" s="171"/>
      <c r="J78" s="170"/>
      <c r="K78" s="189"/>
      <c r="L78" s="105"/>
      <c r="M78" s="105"/>
      <c r="N78" s="105"/>
      <c r="O78" s="112"/>
      <c r="P78" s="105"/>
      <c r="Q78" s="103"/>
      <c r="R78" s="188"/>
      <c r="S78" s="113"/>
      <c r="T78" s="190"/>
      <c r="U78" s="191"/>
      <c r="V78" s="191"/>
      <c r="W78" s="191"/>
      <c r="X78" s="191"/>
      <c r="Y78" s="192"/>
      <c r="Z78" s="190"/>
      <c r="AA78" s="178"/>
      <c r="AB78" s="193"/>
      <c r="AC78" s="192"/>
      <c r="AD78" s="192"/>
      <c r="AE78" s="179"/>
    </row>
    <row r="79" spans="1:41" s="28" customFormat="1" ht="12.95" customHeight="1" x14ac:dyDescent="0.35">
      <c r="A79" s="114"/>
      <c r="B79" s="194" t="s">
        <v>82</v>
      </c>
      <c r="C79" s="111" t="s">
        <v>101</v>
      </c>
      <c r="D79" s="105"/>
      <c r="E79" s="111"/>
      <c r="F79" s="111"/>
      <c r="G79" s="137"/>
      <c r="H79" s="107"/>
      <c r="I79" s="108"/>
      <c r="J79" s="109"/>
      <c r="K79" s="110"/>
      <c r="L79" s="111"/>
      <c r="M79" s="111"/>
      <c r="N79" s="111"/>
      <c r="O79" s="182">
        <v>12</v>
      </c>
      <c r="P79" s="140" t="s">
        <v>96</v>
      </c>
      <c r="Q79" s="183">
        <v>125000</v>
      </c>
      <c r="R79" s="151">
        <f>O79*600000</f>
        <v>7200000</v>
      </c>
      <c r="S79" s="85">
        <f t="shared" ref="S79" si="38">+R79/$R$184*100</f>
        <v>0.32154584953529924</v>
      </c>
      <c r="T79" s="99"/>
      <c r="U79" s="87"/>
      <c r="V79" s="87"/>
      <c r="W79" s="87"/>
      <c r="X79" s="87"/>
      <c r="Y79" s="88">
        <v>0</v>
      </c>
      <c r="Z79" s="99">
        <f t="shared" ref="Z79" si="39">+Y79/R79*100</f>
        <v>0</v>
      </c>
      <c r="AA79" s="100">
        <f t="shared" ref="AA79" si="40">Z79</f>
        <v>0</v>
      </c>
      <c r="AB79" s="99">
        <f t="shared" ref="AB79" si="41">AA79*S79/100</f>
        <v>0</v>
      </c>
      <c r="AC79" s="88"/>
      <c r="AD79" s="88">
        <f t="shared" ref="AD79" si="42">+R79-Y79</f>
        <v>7200000</v>
      </c>
      <c r="AE79" s="86"/>
    </row>
    <row r="80" spans="1:41" ht="12.95" customHeight="1" x14ac:dyDescent="0.35">
      <c r="A80" s="132" t="s">
        <v>184</v>
      </c>
      <c r="B80" s="104" t="s">
        <v>234</v>
      </c>
      <c r="C80" s="105"/>
      <c r="D80" s="105"/>
      <c r="E80" s="111"/>
      <c r="F80" s="111"/>
      <c r="G80" s="137"/>
      <c r="H80" s="107"/>
      <c r="I80" s="108"/>
      <c r="J80" s="109"/>
      <c r="K80" s="110"/>
      <c r="L80" s="111"/>
      <c r="M80" s="111"/>
      <c r="N80" s="111"/>
      <c r="O80" s="134"/>
      <c r="P80" s="111"/>
      <c r="Q80" s="135"/>
      <c r="R80" s="136"/>
      <c r="S80" s="113"/>
      <c r="T80" s="195"/>
      <c r="U80" s="198"/>
      <c r="V80" s="198"/>
      <c r="W80" s="198"/>
      <c r="X80" s="198"/>
      <c r="Y80" s="116"/>
      <c r="Z80" s="195"/>
      <c r="AA80" s="100"/>
      <c r="AB80" s="197"/>
      <c r="AC80" s="116"/>
      <c r="AD80" s="116"/>
      <c r="AE80" s="114"/>
    </row>
    <row r="81" spans="1:32" ht="12.95" customHeight="1" x14ac:dyDescent="0.35">
      <c r="A81" s="219">
        <v>523119</v>
      </c>
      <c r="B81" s="211" t="s">
        <v>103</v>
      </c>
      <c r="C81" s="105"/>
      <c r="D81" s="105"/>
      <c r="E81" s="111"/>
      <c r="F81" s="111"/>
      <c r="G81" s="137"/>
      <c r="H81" s="107"/>
      <c r="I81" s="108"/>
      <c r="J81" s="109"/>
      <c r="K81" s="110"/>
      <c r="L81" s="111"/>
      <c r="M81" s="111"/>
      <c r="N81" s="111"/>
      <c r="O81" s="111"/>
      <c r="P81" s="111"/>
      <c r="Q81" s="135"/>
      <c r="R81" s="188"/>
      <c r="S81" s="113"/>
      <c r="T81" s="195"/>
      <c r="U81" s="198"/>
      <c r="V81" s="198"/>
      <c r="W81" s="198"/>
      <c r="X81" s="198"/>
      <c r="Y81" s="116"/>
      <c r="Z81" s="195"/>
      <c r="AA81" s="100"/>
      <c r="AB81" s="197"/>
      <c r="AC81" s="116"/>
      <c r="AD81" s="116"/>
      <c r="AE81" s="114"/>
    </row>
    <row r="82" spans="1:32" ht="12.95" customHeight="1" x14ac:dyDescent="0.35">
      <c r="A82" s="132"/>
      <c r="B82" s="194" t="s">
        <v>82</v>
      </c>
      <c r="C82" s="111" t="s">
        <v>104</v>
      </c>
      <c r="D82" s="105"/>
      <c r="E82" s="111"/>
      <c r="F82" s="111"/>
      <c r="G82" s="137"/>
      <c r="H82" s="107"/>
      <c r="I82" s="108"/>
      <c r="J82" s="109"/>
      <c r="K82" s="110"/>
      <c r="L82" s="111"/>
      <c r="M82" s="111"/>
      <c r="N82" s="111"/>
      <c r="O82" s="134">
        <v>70</v>
      </c>
      <c r="P82" s="111" t="s">
        <v>105</v>
      </c>
      <c r="Q82" s="200">
        <v>10000</v>
      </c>
      <c r="R82" s="151">
        <f>O82*15000</f>
        <v>1050000</v>
      </c>
      <c r="S82" s="85">
        <f t="shared" ref="S82" si="43">+R82/$R$184*100</f>
        <v>4.6892103057231141E-2</v>
      </c>
      <c r="T82" s="99"/>
      <c r="U82" s="87"/>
      <c r="V82" s="87"/>
      <c r="W82" s="87"/>
      <c r="X82" s="87"/>
      <c r="Y82" s="88">
        <v>0</v>
      </c>
      <c r="Z82" s="99">
        <f t="shared" ref="Z82" si="44">+Y82/R82*100</f>
        <v>0</v>
      </c>
      <c r="AA82" s="100">
        <f t="shared" ref="AA82" si="45">Z82</f>
        <v>0</v>
      </c>
      <c r="AB82" s="99">
        <f t="shared" ref="AB82" si="46">AA82*S82/100</f>
        <v>0</v>
      </c>
      <c r="AC82" s="88"/>
      <c r="AD82" s="88">
        <f t="shared" ref="AD82" si="47">+R82-Y82</f>
        <v>1050000</v>
      </c>
      <c r="AE82" s="86"/>
    </row>
    <row r="83" spans="1:32" ht="12.95" customHeight="1" x14ac:dyDescent="0.35">
      <c r="A83" s="219">
        <v>523121</v>
      </c>
      <c r="B83" s="211" t="s">
        <v>106</v>
      </c>
      <c r="C83" s="105"/>
      <c r="D83" s="105"/>
      <c r="E83" s="111"/>
      <c r="F83" s="111"/>
      <c r="G83" s="137"/>
      <c r="H83" s="107"/>
      <c r="I83" s="108"/>
      <c r="J83" s="109"/>
      <c r="K83" s="110"/>
      <c r="L83" s="111"/>
      <c r="M83" s="111"/>
      <c r="N83" s="111"/>
      <c r="O83" s="182"/>
      <c r="P83" s="140"/>
      <c r="Q83" s="183"/>
      <c r="R83" s="201"/>
      <c r="S83" s="113"/>
      <c r="T83" s="195"/>
      <c r="U83" s="198"/>
      <c r="V83" s="198"/>
      <c r="W83" s="198"/>
      <c r="X83" s="198"/>
      <c r="Y83" s="116"/>
      <c r="Z83" s="195"/>
      <c r="AA83" s="100"/>
      <c r="AB83" s="197"/>
      <c r="AC83" s="116"/>
      <c r="AD83" s="116"/>
      <c r="AE83" s="114"/>
    </row>
    <row r="84" spans="1:32" ht="12.95" customHeight="1" x14ac:dyDescent="0.35">
      <c r="A84" s="132"/>
      <c r="B84" s="194" t="s">
        <v>82</v>
      </c>
      <c r="C84" s="111" t="s">
        <v>107</v>
      </c>
      <c r="D84" s="105"/>
      <c r="E84" s="111"/>
      <c r="F84" s="111"/>
      <c r="G84" s="137"/>
      <c r="H84" s="107"/>
      <c r="I84" s="108"/>
      <c r="J84" s="109"/>
      <c r="K84" s="110"/>
      <c r="L84" s="111"/>
      <c r="M84" s="111"/>
      <c r="N84" s="111"/>
      <c r="O84" s="182">
        <v>12</v>
      </c>
      <c r="P84" s="111" t="s">
        <v>88</v>
      </c>
      <c r="Q84" s="183">
        <v>600000</v>
      </c>
      <c r="R84" s="151">
        <f>O84*1500000</f>
        <v>18000000</v>
      </c>
      <c r="S84" s="85">
        <f t="shared" ref="S84:S85" si="48">+R84/$R$184*100</f>
        <v>0.80386462383824819</v>
      </c>
      <c r="T84" s="99"/>
      <c r="U84" s="87"/>
      <c r="V84" s="87"/>
      <c r="W84" s="87"/>
      <c r="X84" s="87"/>
      <c r="Y84" s="88">
        <v>0</v>
      </c>
      <c r="Z84" s="99">
        <f t="shared" ref="Z84:Z85" si="49">+Y84/R84*100</f>
        <v>0</v>
      </c>
      <c r="AA84" s="100">
        <f t="shared" ref="AA84:AA85" si="50">Z84</f>
        <v>0</v>
      </c>
      <c r="AB84" s="99">
        <f t="shared" ref="AB84:AB85" si="51">AA84*S84/100</f>
        <v>0</v>
      </c>
      <c r="AC84" s="88"/>
      <c r="AD84" s="88">
        <f t="shared" ref="AD84:AD85" si="52">+R84-Y84</f>
        <v>18000000</v>
      </c>
      <c r="AE84" s="86"/>
    </row>
    <row r="85" spans="1:32" ht="12.95" customHeight="1" x14ac:dyDescent="0.35">
      <c r="A85" s="132"/>
      <c r="B85" s="194" t="s">
        <v>82</v>
      </c>
      <c r="C85" s="111" t="s">
        <v>108</v>
      </c>
      <c r="D85" s="105"/>
      <c r="E85" s="111"/>
      <c r="F85" s="111"/>
      <c r="G85" s="137"/>
      <c r="H85" s="107"/>
      <c r="I85" s="108"/>
      <c r="J85" s="109"/>
      <c r="K85" s="110"/>
      <c r="L85" s="111"/>
      <c r="M85" s="111"/>
      <c r="N85" s="111"/>
      <c r="O85" s="182">
        <v>12</v>
      </c>
      <c r="P85" s="111" t="s">
        <v>88</v>
      </c>
      <c r="Q85" s="183">
        <v>1000000</v>
      </c>
      <c r="R85" s="151">
        <f>O85*500000</f>
        <v>6000000</v>
      </c>
      <c r="S85" s="85">
        <f t="shared" si="48"/>
        <v>0.26795487461274942</v>
      </c>
      <c r="T85" s="99"/>
      <c r="U85" s="87"/>
      <c r="V85" s="87"/>
      <c r="W85" s="87"/>
      <c r="X85" s="87"/>
      <c r="Y85" s="88">
        <v>0</v>
      </c>
      <c r="Z85" s="99">
        <f t="shared" si="49"/>
        <v>0</v>
      </c>
      <c r="AA85" s="100">
        <f t="shared" si="50"/>
        <v>0</v>
      </c>
      <c r="AB85" s="99">
        <f t="shared" si="51"/>
        <v>0</v>
      </c>
      <c r="AC85" s="88"/>
      <c r="AD85" s="88">
        <f t="shared" si="52"/>
        <v>6000000</v>
      </c>
      <c r="AE85" s="114"/>
    </row>
    <row r="86" spans="1:32" ht="12.95" customHeight="1" x14ac:dyDescent="0.35">
      <c r="A86" s="333">
        <v>532111</v>
      </c>
      <c r="B86" s="334" t="s">
        <v>170</v>
      </c>
      <c r="C86" s="335"/>
      <c r="D86" s="336"/>
      <c r="E86" s="337"/>
      <c r="F86" s="337"/>
      <c r="G86" s="338"/>
      <c r="H86" s="339"/>
      <c r="I86" s="340"/>
      <c r="J86" s="341"/>
      <c r="K86" s="342"/>
      <c r="L86" s="337"/>
      <c r="M86" s="337"/>
      <c r="N86" s="337"/>
      <c r="O86" s="343"/>
      <c r="P86" s="337"/>
      <c r="Q86" s="344"/>
      <c r="R86" s="345"/>
      <c r="S86" s="346"/>
      <c r="T86" s="347"/>
      <c r="U86" s="348"/>
      <c r="V86" s="348"/>
      <c r="W86" s="348"/>
      <c r="X86" s="348"/>
      <c r="Y86" s="349"/>
      <c r="Z86" s="347"/>
      <c r="AA86" s="350"/>
      <c r="AB86" s="351"/>
      <c r="AC86" s="349"/>
      <c r="AD86" s="349"/>
      <c r="AE86" s="352"/>
    </row>
    <row r="87" spans="1:32" ht="12.95" customHeight="1" x14ac:dyDescent="0.35">
      <c r="A87" s="333"/>
      <c r="B87" s="353" t="s">
        <v>82</v>
      </c>
      <c r="C87" s="335" t="s">
        <v>235</v>
      </c>
      <c r="D87" s="336"/>
      <c r="E87" s="337"/>
      <c r="F87" s="337"/>
      <c r="G87" s="338"/>
      <c r="H87" s="339"/>
      <c r="I87" s="340"/>
      <c r="J87" s="341"/>
      <c r="K87" s="342"/>
      <c r="L87" s="337"/>
      <c r="M87" s="337"/>
      <c r="N87" s="337"/>
      <c r="O87" s="343">
        <v>1</v>
      </c>
      <c r="P87" s="337" t="s">
        <v>127</v>
      </c>
      <c r="Q87" s="344"/>
      <c r="R87" s="345">
        <f>O87*12000000</f>
        <v>12000000</v>
      </c>
      <c r="S87" s="346">
        <f t="shared" ref="S87:S91" si="53">+R87/$R$184*100</f>
        <v>0.53590974922549883</v>
      </c>
      <c r="T87" s="347"/>
      <c r="U87" s="354"/>
      <c r="V87" s="354"/>
      <c r="W87" s="354"/>
      <c r="X87" s="354"/>
      <c r="Y87" s="349">
        <v>0</v>
      </c>
      <c r="Z87" s="347">
        <f t="shared" ref="Z87:Z91" si="54">+Y87/R87*100</f>
        <v>0</v>
      </c>
      <c r="AA87" s="350">
        <f t="shared" ref="AA87:AA91" si="55">Z87</f>
        <v>0</v>
      </c>
      <c r="AB87" s="347">
        <f t="shared" ref="AB87:AB91" si="56">AA87*S87/100</f>
        <v>0</v>
      </c>
      <c r="AC87" s="349"/>
      <c r="AD87" s="349">
        <f t="shared" ref="AD87:AD91" si="57">+R87-Y87</f>
        <v>12000000</v>
      </c>
      <c r="AE87" s="352"/>
    </row>
    <row r="88" spans="1:32" ht="12.95" customHeight="1" x14ac:dyDescent="0.35">
      <c r="A88" s="333"/>
      <c r="B88" s="353" t="s">
        <v>82</v>
      </c>
      <c r="C88" s="335" t="s">
        <v>236</v>
      </c>
      <c r="D88" s="336"/>
      <c r="E88" s="337"/>
      <c r="F88" s="337"/>
      <c r="G88" s="338"/>
      <c r="H88" s="339"/>
      <c r="I88" s="340"/>
      <c r="J88" s="341"/>
      <c r="K88" s="342"/>
      <c r="L88" s="337"/>
      <c r="M88" s="337"/>
      <c r="N88" s="337"/>
      <c r="O88" s="343">
        <v>1</v>
      </c>
      <c r="P88" s="337" t="s">
        <v>127</v>
      </c>
      <c r="Q88" s="344"/>
      <c r="R88" s="345">
        <f>O88*3300000</f>
        <v>3300000</v>
      </c>
      <c r="S88" s="346">
        <f t="shared" si="53"/>
        <v>0.14737518103701217</v>
      </c>
      <c r="T88" s="347"/>
      <c r="U88" s="354"/>
      <c r="V88" s="354"/>
      <c r="W88" s="354"/>
      <c r="X88" s="354"/>
      <c r="Y88" s="349">
        <v>0</v>
      </c>
      <c r="Z88" s="347">
        <f t="shared" si="54"/>
        <v>0</v>
      </c>
      <c r="AA88" s="350">
        <f t="shared" si="55"/>
        <v>0</v>
      </c>
      <c r="AB88" s="347">
        <f t="shared" si="56"/>
        <v>0</v>
      </c>
      <c r="AC88" s="349"/>
      <c r="AD88" s="349">
        <f t="shared" si="57"/>
        <v>3300000</v>
      </c>
      <c r="AE88" s="352"/>
    </row>
    <row r="89" spans="1:32" ht="12.95" customHeight="1" x14ac:dyDescent="0.35">
      <c r="A89" s="333"/>
      <c r="B89" s="353" t="s">
        <v>82</v>
      </c>
      <c r="C89" s="335" t="s">
        <v>237</v>
      </c>
      <c r="D89" s="336"/>
      <c r="E89" s="337"/>
      <c r="F89" s="337"/>
      <c r="G89" s="338"/>
      <c r="H89" s="339"/>
      <c r="I89" s="340"/>
      <c r="J89" s="341"/>
      <c r="K89" s="342"/>
      <c r="L89" s="337"/>
      <c r="M89" s="337"/>
      <c r="N89" s="337"/>
      <c r="O89" s="343">
        <v>1</v>
      </c>
      <c r="P89" s="337" t="s">
        <v>127</v>
      </c>
      <c r="Q89" s="344"/>
      <c r="R89" s="345">
        <f>O89*8700000</f>
        <v>8700000</v>
      </c>
      <c r="S89" s="346">
        <f t="shared" si="53"/>
        <v>0.38853456818848658</v>
      </c>
      <c r="T89" s="347"/>
      <c r="U89" s="354"/>
      <c r="V89" s="354"/>
      <c r="W89" s="354"/>
      <c r="X89" s="354"/>
      <c r="Y89" s="349">
        <v>0</v>
      </c>
      <c r="Z89" s="347">
        <f t="shared" si="54"/>
        <v>0</v>
      </c>
      <c r="AA89" s="350">
        <f t="shared" si="55"/>
        <v>0</v>
      </c>
      <c r="AB89" s="347">
        <f t="shared" si="56"/>
        <v>0</v>
      </c>
      <c r="AC89" s="349"/>
      <c r="AD89" s="349">
        <f t="shared" si="57"/>
        <v>8700000</v>
      </c>
      <c r="AE89" s="352"/>
    </row>
    <row r="90" spans="1:32" ht="12.95" customHeight="1" x14ac:dyDescent="0.35">
      <c r="A90" s="333"/>
      <c r="B90" s="353" t="s">
        <v>82</v>
      </c>
      <c r="C90" s="335" t="s">
        <v>238</v>
      </c>
      <c r="D90" s="336"/>
      <c r="E90" s="337"/>
      <c r="F90" s="337"/>
      <c r="G90" s="338"/>
      <c r="H90" s="339"/>
      <c r="I90" s="340"/>
      <c r="J90" s="341"/>
      <c r="K90" s="342"/>
      <c r="L90" s="337"/>
      <c r="M90" s="337"/>
      <c r="N90" s="337"/>
      <c r="O90" s="343">
        <v>10</v>
      </c>
      <c r="P90" s="337" t="s">
        <v>127</v>
      </c>
      <c r="Q90" s="344"/>
      <c r="R90" s="345">
        <f>O90*600000</f>
        <v>6000000</v>
      </c>
      <c r="S90" s="346">
        <f t="shared" si="53"/>
        <v>0.26795487461274942</v>
      </c>
      <c r="T90" s="347"/>
      <c r="U90" s="354"/>
      <c r="V90" s="354"/>
      <c r="W90" s="354"/>
      <c r="X90" s="354"/>
      <c r="Y90" s="349">
        <v>0</v>
      </c>
      <c r="Z90" s="347">
        <f t="shared" si="54"/>
        <v>0</v>
      </c>
      <c r="AA90" s="350">
        <f t="shared" si="55"/>
        <v>0</v>
      </c>
      <c r="AB90" s="347">
        <f t="shared" si="56"/>
        <v>0</v>
      </c>
      <c r="AC90" s="349"/>
      <c r="AD90" s="349">
        <f t="shared" si="57"/>
        <v>6000000</v>
      </c>
      <c r="AE90" s="352"/>
    </row>
    <row r="91" spans="1:32" ht="12.95" customHeight="1" x14ac:dyDescent="0.35">
      <c r="A91" s="333"/>
      <c r="B91" s="353" t="s">
        <v>82</v>
      </c>
      <c r="C91" s="335" t="s">
        <v>239</v>
      </c>
      <c r="D91" s="336"/>
      <c r="E91" s="337"/>
      <c r="F91" s="337"/>
      <c r="G91" s="338"/>
      <c r="H91" s="339"/>
      <c r="I91" s="340"/>
      <c r="J91" s="341"/>
      <c r="K91" s="342"/>
      <c r="L91" s="337"/>
      <c r="M91" s="337"/>
      <c r="N91" s="337"/>
      <c r="O91" s="343">
        <v>1</v>
      </c>
      <c r="P91" s="337" t="s">
        <v>127</v>
      </c>
      <c r="Q91" s="344"/>
      <c r="R91" s="345">
        <f>O91*2000000</f>
        <v>2000000</v>
      </c>
      <c r="S91" s="346">
        <f t="shared" si="53"/>
        <v>8.9318291537583125E-2</v>
      </c>
      <c r="T91" s="347"/>
      <c r="U91" s="354"/>
      <c r="V91" s="354"/>
      <c r="W91" s="354"/>
      <c r="X91" s="354"/>
      <c r="Y91" s="349">
        <v>0</v>
      </c>
      <c r="Z91" s="347">
        <f t="shared" si="54"/>
        <v>0</v>
      </c>
      <c r="AA91" s="350">
        <f t="shared" si="55"/>
        <v>0</v>
      </c>
      <c r="AB91" s="347">
        <f t="shared" si="56"/>
        <v>0</v>
      </c>
      <c r="AC91" s="349"/>
      <c r="AD91" s="349">
        <f t="shared" si="57"/>
        <v>2000000</v>
      </c>
      <c r="AE91" s="352"/>
    </row>
    <row r="92" spans="1:32" ht="12.95" customHeight="1" x14ac:dyDescent="0.35">
      <c r="A92" s="132"/>
      <c r="B92" s="194"/>
      <c r="C92" s="111"/>
      <c r="D92" s="105"/>
      <c r="E92" s="111"/>
      <c r="F92" s="111"/>
      <c r="G92" s="137"/>
      <c r="H92" s="107"/>
      <c r="I92" s="108"/>
      <c r="J92" s="109"/>
      <c r="K92" s="110"/>
      <c r="L92" s="111"/>
      <c r="M92" s="111"/>
      <c r="N92" s="111"/>
      <c r="O92" s="182"/>
      <c r="P92" s="111"/>
      <c r="Q92" s="183"/>
      <c r="R92" s="151"/>
      <c r="S92" s="113"/>
      <c r="T92" s="195"/>
      <c r="U92" s="196"/>
      <c r="V92" s="196"/>
      <c r="W92" s="196"/>
      <c r="X92" s="196"/>
      <c r="Y92" s="116"/>
      <c r="Z92" s="195"/>
      <c r="AA92" s="202"/>
      <c r="AB92" s="197"/>
      <c r="AC92" s="116"/>
      <c r="AD92" s="116"/>
      <c r="AE92" s="114"/>
    </row>
    <row r="93" spans="1:32" ht="12.95" customHeight="1" x14ac:dyDescent="0.35">
      <c r="A93" s="287" t="s">
        <v>240</v>
      </c>
      <c r="B93" s="288" t="s">
        <v>109</v>
      </c>
      <c r="C93" s="278"/>
      <c r="D93" s="278"/>
      <c r="E93" s="81"/>
      <c r="F93" s="81"/>
      <c r="G93" s="289"/>
      <c r="H93" s="77"/>
      <c r="I93" s="78"/>
      <c r="J93" s="79"/>
      <c r="K93" s="80"/>
      <c r="L93" s="81"/>
      <c r="M93" s="81"/>
      <c r="N93" s="81"/>
      <c r="O93" s="185"/>
      <c r="P93" s="81"/>
      <c r="Q93" s="186"/>
      <c r="R93" s="173"/>
      <c r="S93" s="85"/>
      <c r="T93" s="99"/>
      <c r="U93" s="145"/>
      <c r="V93" s="145"/>
      <c r="W93" s="145"/>
      <c r="X93" s="145"/>
      <c r="Y93" s="88"/>
      <c r="Z93" s="99"/>
      <c r="AA93" s="100"/>
      <c r="AB93" s="184">
        <f t="shared" ref="AB93:AB112" si="58">AA93*S93/100</f>
        <v>0</v>
      </c>
      <c r="AC93" s="88"/>
      <c r="AD93" s="88"/>
      <c r="AE93" s="86"/>
      <c r="AF93" s="90"/>
    </row>
    <row r="94" spans="1:32" ht="12.95" customHeight="1" x14ac:dyDescent="0.35">
      <c r="A94" s="132"/>
      <c r="B94" s="104"/>
      <c r="C94" s="105"/>
      <c r="D94" s="105"/>
      <c r="E94" s="111"/>
      <c r="F94" s="111"/>
      <c r="G94" s="137"/>
      <c r="H94" s="107"/>
      <c r="I94" s="108"/>
      <c r="J94" s="109"/>
      <c r="K94" s="110"/>
      <c r="L94" s="111"/>
      <c r="M94" s="111"/>
      <c r="N94" s="111"/>
      <c r="O94" s="134"/>
      <c r="P94" s="111"/>
      <c r="Q94" s="135"/>
      <c r="R94" s="133"/>
      <c r="S94" s="113"/>
      <c r="T94" s="195"/>
      <c r="U94" s="198"/>
      <c r="V94" s="198"/>
      <c r="W94" s="198"/>
      <c r="X94" s="198"/>
      <c r="Y94" s="116"/>
      <c r="Z94" s="195"/>
      <c r="AA94" s="202"/>
      <c r="AB94" s="197">
        <f t="shared" si="58"/>
        <v>0</v>
      </c>
      <c r="AC94" s="116"/>
      <c r="AD94" s="116"/>
      <c r="AE94" s="114"/>
    </row>
    <row r="95" spans="1:32" ht="12.95" customHeight="1" x14ac:dyDescent="0.35">
      <c r="A95" s="132" t="s">
        <v>110</v>
      </c>
      <c r="B95" s="104" t="s">
        <v>241</v>
      </c>
      <c r="C95" s="105"/>
      <c r="D95" s="105"/>
      <c r="E95" s="111"/>
      <c r="F95" s="111"/>
      <c r="G95" s="137"/>
      <c r="H95" s="107"/>
      <c r="I95" s="108"/>
      <c r="J95" s="109"/>
      <c r="K95" s="110"/>
      <c r="L95" s="111"/>
      <c r="M95" s="111"/>
      <c r="N95" s="111"/>
      <c r="O95" s="134"/>
      <c r="P95" s="111"/>
      <c r="Q95" s="135"/>
      <c r="R95" s="203"/>
      <c r="S95" s="113"/>
      <c r="T95" s="195"/>
      <c r="U95" s="196"/>
      <c r="V95" s="196"/>
      <c r="W95" s="196"/>
      <c r="X95" s="196"/>
      <c r="Y95" s="116"/>
      <c r="Z95" s="195"/>
      <c r="AA95" s="202"/>
      <c r="AB95" s="197"/>
      <c r="AC95" s="88"/>
      <c r="AD95" s="116"/>
      <c r="AE95" s="114"/>
    </row>
    <row r="96" spans="1:32" ht="12.95" customHeight="1" x14ac:dyDescent="0.35">
      <c r="A96" s="219">
        <v>511111</v>
      </c>
      <c r="B96" s="211" t="s">
        <v>242</v>
      </c>
      <c r="C96" s="232"/>
      <c r="D96" s="105"/>
      <c r="E96" s="111"/>
      <c r="F96" s="111"/>
      <c r="G96" s="111"/>
      <c r="H96" s="107"/>
      <c r="I96" s="108"/>
      <c r="J96" s="109"/>
      <c r="K96" s="110"/>
      <c r="L96" s="111"/>
      <c r="M96" s="111"/>
      <c r="N96" s="111"/>
      <c r="O96" s="134">
        <v>1</v>
      </c>
      <c r="P96" s="111" t="s">
        <v>111</v>
      </c>
      <c r="Q96" s="135"/>
      <c r="R96" s="203">
        <f>O96*806705000</f>
        <v>806705000</v>
      </c>
      <c r="S96" s="85">
        <f t="shared" ref="S96:S106" si="59">+R96/$R$184*100</f>
        <v>36.026756187413</v>
      </c>
      <c r="T96" s="99"/>
      <c r="U96" s="87"/>
      <c r="V96" s="87"/>
      <c r="W96" s="87"/>
      <c r="X96" s="87"/>
      <c r="Y96" s="88">
        <v>175241040</v>
      </c>
      <c r="Z96" s="99">
        <f t="shared" ref="Z96:Z106" si="60">+Y96/R96*100</f>
        <v>21.723063573425229</v>
      </c>
      <c r="AA96" s="100">
        <f>2/14*Z96</f>
        <v>3.1032947962036039</v>
      </c>
      <c r="AB96" s="99">
        <f t="shared" ref="AB96:AB106" si="61">AA96*S96/100</f>
        <v>1.1180164500049476</v>
      </c>
      <c r="AC96" s="88"/>
      <c r="AD96" s="88">
        <f t="shared" ref="AD96:AD106" si="62">+R96-Y96</f>
        <v>631463960</v>
      </c>
      <c r="AE96" s="86"/>
    </row>
    <row r="97" spans="1:31" ht="12.95" customHeight="1" x14ac:dyDescent="0.35">
      <c r="A97" s="219">
        <v>511121</v>
      </c>
      <c r="B97" s="211" t="s">
        <v>243</v>
      </c>
      <c r="C97" s="232"/>
      <c r="D97" s="105"/>
      <c r="E97" s="111"/>
      <c r="F97" s="111"/>
      <c r="G97" s="111"/>
      <c r="H97" s="107"/>
      <c r="I97" s="108"/>
      <c r="J97" s="109"/>
      <c r="K97" s="110"/>
      <c r="L97" s="111"/>
      <c r="M97" s="111"/>
      <c r="N97" s="111"/>
      <c r="O97" s="134">
        <v>1</v>
      </c>
      <c r="P97" s="111" t="s">
        <v>111</v>
      </c>
      <c r="Q97" s="135"/>
      <c r="R97" s="107">
        <f>O97*47273000</f>
        <v>47273000</v>
      </c>
      <c r="S97" s="85">
        <f t="shared" si="59"/>
        <v>2.1111717979280837</v>
      </c>
      <c r="T97" s="99"/>
      <c r="U97" s="87"/>
      <c r="V97" s="87"/>
      <c r="W97" s="87"/>
      <c r="X97" s="87"/>
      <c r="Y97" s="88">
        <v>11351700</v>
      </c>
      <c r="Z97" s="99">
        <f t="shared" si="60"/>
        <v>24.013073001501915</v>
      </c>
      <c r="AA97" s="100">
        <f>2/14*Z97</f>
        <v>3.4304390002145593</v>
      </c>
      <c r="AB97" s="99">
        <f t="shared" si="61"/>
        <v>7.2422460717655887E-2</v>
      </c>
      <c r="AC97" s="88"/>
      <c r="AD97" s="88">
        <f t="shared" si="62"/>
        <v>35921300</v>
      </c>
      <c r="AE97" s="114"/>
    </row>
    <row r="98" spans="1:31" ht="12.95" customHeight="1" x14ac:dyDescent="0.35">
      <c r="A98" s="219">
        <v>511122</v>
      </c>
      <c r="B98" s="211" t="s">
        <v>244</v>
      </c>
      <c r="C98" s="232"/>
      <c r="D98" s="105"/>
      <c r="E98" s="111"/>
      <c r="F98" s="111"/>
      <c r="G98" s="111"/>
      <c r="H98" s="107"/>
      <c r="I98" s="108"/>
      <c r="J98" s="109"/>
      <c r="K98" s="110"/>
      <c r="L98" s="111"/>
      <c r="M98" s="111"/>
      <c r="N98" s="111"/>
      <c r="O98" s="134">
        <v>1</v>
      </c>
      <c r="P98" s="111" t="s">
        <v>111</v>
      </c>
      <c r="Q98" s="135"/>
      <c r="R98" s="107">
        <f>O98*16142000</f>
        <v>16142000</v>
      </c>
      <c r="S98" s="85">
        <f t="shared" si="59"/>
        <v>0.72088793099983339</v>
      </c>
      <c r="T98" s="99"/>
      <c r="U98" s="87"/>
      <c r="V98" s="87"/>
      <c r="W98" s="87"/>
      <c r="X98" s="87"/>
      <c r="Y98" s="88">
        <v>3797374</v>
      </c>
      <c r="Z98" s="99">
        <f t="shared" si="60"/>
        <v>23.524804856895056</v>
      </c>
      <c r="AA98" s="100">
        <f>2/14*Z98</f>
        <v>3.3606864081278651</v>
      </c>
      <c r="AB98" s="99">
        <f t="shared" si="61"/>
        <v>2.4226782714945584E-2</v>
      </c>
      <c r="AC98" s="88"/>
      <c r="AD98" s="88">
        <f t="shared" si="62"/>
        <v>12344626</v>
      </c>
      <c r="AE98" s="114"/>
    </row>
    <row r="99" spans="1:31" ht="12.95" customHeight="1" x14ac:dyDescent="0.35">
      <c r="A99" s="219">
        <v>511123</v>
      </c>
      <c r="B99" s="211" t="s">
        <v>245</v>
      </c>
      <c r="C99" s="232"/>
      <c r="D99" s="105"/>
      <c r="E99" s="111"/>
      <c r="F99" s="111"/>
      <c r="G99" s="111"/>
      <c r="H99" s="107"/>
      <c r="I99" s="108"/>
      <c r="J99" s="109"/>
      <c r="K99" s="110"/>
      <c r="L99" s="111"/>
      <c r="M99" s="111"/>
      <c r="N99" s="111"/>
      <c r="O99" s="134">
        <v>1</v>
      </c>
      <c r="P99" s="111" t="s">
        <v>111</v>
      </c>
      <c r="Q99" s="135"/>
      <c r="R99" s="107">
        <f>O99*27440000</f>
        <v>27440000</v>
      </c>
      <c r="S99" s="85">
        <f t="shared" si="59"/>
        <v>1.2254469598956406</v>
      </c>
      <c r="T99" s="99"/>
      <c r="U99" s="87"/>
      <c r="V99" s="87"/>
      <c r="W99" s="87"/>
      <c r="X99" s="87"/>
      <c r="Y99" s="88">
        <v>5880000</v>
      </c>
      <c r="Z99" s="99">
        <f t="shared" si="60"/>
        <v>21.428571428571427</v>
      </c>
      <c r="AA99" s="100">
        <f>2/14*Z99</f>
        <v>3.0612244897959178</v>
      </c>
      <c r="AB99" s="99">
        <f t="shared" si="61"/>
        <v>3.7513682445784909E-2</v>
      </c>
      <c r="AC99" s="88"/>
      <c r="AD99" s="88">
        <f t="shared" si="62"/>
        <v>21560000</v>
      </c>
      <c r="AE99" s="114"/>
    </row>
    <row r="100" spans="1:31" ht="12.95" customHeight="1" x14ac:dyDescent="0.35">
      <c r="A100" s="219">
        <v>511124</v>
      </c>
      <c r="B100" s="211" t="s">
        <v>246</v>
      </c>
      <c r="C100" s="232"/>
      <c r="D100" s="105"/>
      <c r="E100" s="111"/>
      <c r="F100" s="111"/>
      <c r="G100" s="111"/>
      <c r="H100" s="107"/>
      <c r="I100" s="108"/>
      <c r="J100" s="109"/>
      <c r="K100" s="110"/>
      <c r="L100" s="111"/>
      <c r="M100" s="111"/>
      <c r="N100" s="111"/>
      <c r="O100" s="134">
        <v>1</v>
      </c>
      <c r="P100" s="111" t="s">
        <v>111</v>
      </c>
      <c r="Q100" s="135"/>
      <c r="R100" s="107">
        <f>O100*27860000</f>
        <v>27860000</v>
      </c>
      <c r="S100" s="85">
        <f t="shared" si="59"/>
        <v>1.244203801118533</v>
      </c>
      <c r="T100" s="99"/>
      <c r="U100" s="87"/>
      <c r="V100" s="87"/>
      <c r="W100" s="87"/>
      <c r="X100" s="87"/>
      <c r="Y100" s="88">
        <v>5550000</v>
      </c>
      <c r="Z100" s="99">
        <f t="shared" si="60"/>
        <v>19.921033740129218</v>
      </c>
      <c r="AA100" s="100">
        <f>2/14*Z100</f>
        <v>2.8458619628756026</v>
      </c>
      <c r="AB100" s="99">
        <f t="shared" si="61"/>
        <v>3.5408322716684745E-2</v>
      </c>
      <c r="AC100" s="88"/>
      <c r="AD100" s="88">
        <f t="shared" si="62"/>
        <v>22310000</v>
      </c>
      <c r="AE100" s="114"/>
    </row>
    <row r="101" spans="1:31" ht="12.95" customHeight="1" x14ac:dyDescent="0.35">
      <c r="A101" s="219">
        <v>511125</v>
      </c>
      <c r="B101" s="211" t="s">
        <v>247</v>
      </c>
      <c r="C101" s="232"/>
      <c r="D101" s="105"/>
      <c r="E101" s="111"/>
      <c r="F101" s="111"/>
      <c r="G101" s="111"/>
      <c r="H101" s="107"/>
      <c r="I101" s="108"/>
      <c r="J101" s="109"/>
      <c r="K101" s="110"/>
      <c r="L101" s="111"/>
      <c r="M101" s="111"/>
      <c r="N101" s="111"/>
      <c r="O101" s="134">
        <v>1</v>
      </c>
      <c r="P101" s="111" t="s">
        <v>111</v>
      </c>
      <c r="Q101" s="135"/>
      <c r="R101" s="107">
        <f>O101*4525000</f>
        <v>4525000</v>
      </c>
      <c r="S101" s="85">
        <f t="shared" si="59"/>
        <v>0.20208263460378181</v>
      </c>
      <c r="T101" s="99"/>
      <c r="U101" s="87"/>
      <c r="V101" s="87"/>
      <c r="W101" s="87"/>
      <c r="X101" s="87"/>
      <c r="Y101" s="88">
        <v>0</v>
      </c>
      <c r="Z101" s="99">
        <f t="shared" si="60"/>
        <v>0</v>
      </c>
      <c r="AA101" s="100">
        <f t="shared" ref="AA101" si="63">1/14*Z101</f>
        <v>0</v>
      </c>
      <c r="AB101" s="99">
        <f t="shared" si="61"/>
        <v>0</v>
      </c>
      <c r="AC101" s="88"/>
      <c r="AD101" s="88">
        <f t="shared" si="62"/>
        <v>4525000</v>
      </c>
      <c r="AE101" s="114"/>
    </row>
    <row r="102" spans="1:31" ht="12.95" customHeight="1" x14ac:dyDescent="0.35">
      <c r="A102" s="219">
        <v>511126</v>
      </c>
      <c r="B102" s="211" t="s">
        <v>248</v>
      </c>
      <c r="C102" s="232"/>
      <c r="D102" s="105"/>
      <c r="E102" s="111"/>
      <c r="F102" s="111"/>
      <c r="G102" s="111"/>
      <c r="H102" s="107"/>
      <c r="I102" s="108"/>
      <c r="J102" s="109"/>
      <c r="K102" s="110"/>
      <c r="L102" s="111"/>
      <c r="M102" s="111"/>
      <c r="N102" s="111"/>
      <c r="O102" s="134">
        <v>1</v>
      </c>
      <c r="P102" s="111" t="s">
        <v>111</v>
      </c>
      <c r="Q102" s="135"/>
      <c r="R102" s="107">
        <f>O102*42792000</f>
        <v>42792000</v>
      </c>
      <c r="S102" s="85">
        <f t="shared" si="59"/>
        <v>1.9110541657381286</v>
      </c>
      <c r="T102" s="99"/>
      <c r="U102" s="87"/>
      <c r="V102" s="87"/>
      <c r="W102" s="87"/>
      <c r="X102" s="87"/>
      <c r="Y102" s="88">
        <v>10645740</v>
      </c>
      <c r="Z102" s="99">
        <f t="shared" si="60"/>
        <v>24.877874369040942</v>
      </c>
      <c r="AA102" s="100">
        <f>2/14*Z102</f>
        <v>3.5539820527201345</v>
      </c>
      <c r="AB102" s="99">
        <f t="shared" si="61"/>
        <v>6.7918522068093581E-2</v>
      </c>
      <c r="AC102" s="88"/>
      <c r="AD102" s="88">
        <f t="shared" si="62"/>
        <v>32146260</v>
      </c>
      <c r="AE102" s="114"/>
    </row>
    <row r="103" spans="1:31" ht="12.95" customHeight="1" x14ac:dyDescent="0.35">
      <c r="A103" s="307">
        <v>511129</v>
      </c>
      <c r="B103" s="308" t="s">
        <v>249</v>
      </c>
      <c r="C103" s="309"/>
      <c r="D103" s="310"/>
      <c r="E103" s="310"/>
      <c r="F103" s="310"/>
      <c r="G103" s="310"/>
      <c r="H103" s="311"/>
      <c r="I103" s="312"/>
      <c r="J103" s="313"/>
      <c r="K103" s="314"/>
      <c r="L103" s="310"/>
      <c r="M103" s="310"/>
      <c r="N103" s="310"/>
      <c r="O103" s="315">
        <v>1</v>
      </c>
      <c r="P103" s="310" t="s">
        <v>111</v>
      </c>
      <c r="Q103" s="316"/>
      <c r="R103" s="311">
        <f>O103*146160000</f>
        <v>146160000</v>
      </c>
      <c r="S103" s="317">
        <f t="shared" si="59"/>
        <v>6.5273807455665747</v>
      </c>
      <c r="T103" s="318"/>
      <c r="U103" s="319"/>
      <c r="V103" s="319"/>
      <c r="W103" s="319"/>
      <c r="X103" s="319"/>
      <c r="Y103" s="320">
        <v>20322000</v>
      </c>
      <c r="Z103" s="318">
        <f t="shared" si="60"/>
        <v>13.903940886699505</v>
      </c>
      <c r="AA103" s="100">
        <f>2/14*Z103</f>
        <v>1.9862772695285007</v>
      </c>
      <c r="AB103" s="318">
        <f t="shared" si="61"/>
        <v>0.12965188004476885</v>
      </c>
      <c r="AC103" s="320"/>
      <c r="AD103" s="320">
        <f t="shared" si="62"/>
        <v>125838000</v>
      </c>
      <c r="AE103" s="321"/>
    </row>
    <row r="104" spans="1:31" ht="12.95" customHeight="1" x14ac:dyDescent="0.35">
      <c r="A104" s="219">
        <v>511151</v>
      </c>
      <c r="B104" s="211" t="s">
        <v>250</v>
      </c>
      <c r="C104" s="232"/>
      <c r="D104" s="105"/>
      <c r="E104" s="111"/>
      <c r="F104" s="111"/>
      <c r="G104" s="111"/>
      <c r="H104" s="107"/>
      <c r="I104" s="108"/>
      <c r="J104" s="109"/>
      <c r="K104" s="110"/>
      <c r="L104" s="111"/>
      <c r="M104" s="111"/>
      <c r="N104" s="111"/>
      <c r="O104" s="134">
        <v>1</v>
      </c>
      <c r="P104" s="111" t="s">
        <v>111</v>
      </c>
      <c r="Q104" s="135"/>
      <c r="R104" s="107">
        <f>O104*35736000</f>
        <v>35736000</v>
      </c>
      <c r="S104" s="85">
        <f t="shared" si="59"/>
        <v>1.5959392331935354</v>
      </c>
      <c r="T104" s="99"/>
      <c r="U104" s="87"/>
      <c r="V104" s="87"/>
      <c r="W104" s="87"/>
      <c r="X104" s="87"/>
      <c r="Y104" s="88">
        <v>5640000</v>
      </c>
      <c r="Z104" s="99">
        <f t="shared" si="60"/>
        <v>15.782404298186703</v>
      </c>
      <c r="AA104" s="100">
        <f>2/14*Z104</f>
        <v>2.2546291854552432</v>
      </c>
      <c r="AB104" s="99">
        <f t="shared" si="61"/>
        <v>3.5982511733712058E-2</v>
      </c>
      <c r="AC104" s="88"/>
      <c r="AD104" s="88">
        <f t="shared" si="62"/>
        <v>30096000</v>
      </c>
      <c r="AE104" s="114"/>
    </row>
    <row r="105" spans="1:31" ht="12.95" customHeight="1" x14ac:dyDescent="0.35">
      <c r="A105" s="307">
        <v>512211</v>
      </c>
      <c r="B105" s="308" t="s">
        <v>251</v>
      </c>
      <c r="C105" s="309"/>
      <c r="D105" s="309"/>
      <c r="E105" s="309"/>
      <c r="F105" s="309"/>
      <c r="G105" s="309"/>
      <c r="H105" s="322"/>
      <c r="I105" s="323"/>
      <c r="J105" s="324"/>
      <c r="K105" s="325"/>
      <c r="L105" s="309"/>
      <c r="M105" s="309"/>
      <c r="N105" s="309"/>
      <c r="O105" s="326">
        <v>1</v>
      </c>
      <c r="P105" s="309" t="s">
        <v>111</v>
      </c>
      <c r="Q105" s="327"/>
      <c r="R105" s="322">
        <f>O105*4320000</f>
        <v>4320000</v>
      </c>
      <c r="S105" s="328">
        <f t="shared" si="59"/>
        <v>0.19292750972117956</v>
      </c>
      <c r="T105" s="329"/>
      <c r="U105" s="330"/>
      <c r="V105" s="330"/>
      <c r="W105" s="330"/>
      <c r="X105" s="330"/>
      <c r="Y105" s="331">
        <v>0</v>
      </c>
      <c r="Z105" s="329">
        <f t="shared" si="60"/>
        <v>0</v>
      </c>
      <c r="AA105" s="100">
        <f>1/14*Z105</f>
        <v>0</v>
      </c>
      <c r="AB105" s="329">
        <f t="shared" si="61"/>
        <v>0</v>
      </c>
      <c r="AC105" s="331"/>
      <c r="AD105" s="331">
        <f t="shared" si="62"/>
        <v>4320000</v>
      </c>
      <c r="AE105" s="332"/>
    </row>
    <row r="106" spans="1:31" ht="12.95" customHeight="1" x14ac:dyDescent="0.35">
      <c r="A106" s="219">
        <v>511119</v>
      </c>
      <c r="B106" s="211" t="s">
        <v>262</v>
      </c>
      <c r="C106" s="232"/>
      <c r="D106" s="105"/>
      <c r="E106" s="111"/>
      <c r="F106" s="111"/>
      <c r="G106" s="111"/>
      <c r="H106" s="107"/>
      <c r="I106" s="108"/>
      <c r="J106" s="109"/>
      <c r="K106" s="110"/>
      <c r="L106" s="111"/>
      <c r="M106" s="111"/>
      <c r="N106" s="111"/>
      <c r="O106" s="134">
        <v>1</v>
      </c>
      <c r="P106" s="111" t="s">
        <v>111</v>
      </c>
      <c r="Q106" s="135"/>
      <c r="R106" s="107">
        <f>O106*17000</f>
        <v>17000</v>
      </c>
      <c r="S106" s="85">
        <f t="shared" si="59"/>
        <v>7.5920547806945663E-4</v>
      </c>
      <c r="T106" s="99"/>
      <c r="U106" s="87"/>
      <c r="V106" s="87"/>
      <c r="W106" s="87"/>
      <c r="X106" s="87"/>
      <c r="Y106" s="88">
        <v>2533</v>
      </c>
      <c r="Z106" s="99">
        <f t="shared" si="60"/>
        <v>14.899999999999999</v>
      </c>
      <c r="AA106" s="100">
        <f>2/14*Z106</f>
        <v>2.1285714285714281</v>
      </c>
      <c r="AB106" s="99">
        <f t="shared" si="61"/>
        <v>1.6160230890335572E-5</v>
      </c>
      <c r="AC106" s="88"/>
      <c r="AD106" s="88">
        <f t="shared" si="62"/>
        <v>14467</v>
      </c>
      <c r="AE106" s="114"/>
    </row>
    <row r="107" spans="1:31" ht="12.95" customHeight="1" x14ac:dyDescent="0.35">
      <c r="A107" s="204"/>
      <c r="B107" s="205"/>
      <c r="C107" s="206"/>
      <c r="D107" s="111"/>
      <c r="E107" s="111"/>
      <c r="F107" s="111"/>
      <c r="G107" s="111"/>
      <c r="H107" s="107"/>
      <c r="I107" s="108"/>
      <c r="J107" s="109"/>
      <c r="K107" s="110"/>
      <c r="L107" s="111"/>
      <c r="M107" s="111"/>
      <c r="N107" s="111"/>
      <c r="O107" s="133"/>
      <c r="P107" s="108"/>
      <c r="Q107" s="114"/>
      <c r="R107" s="133"/>
      <c r="S107" s="113"/>
      <c r="T107" s="195"/>
      <c r="U107" s="198"/>
      <c r="V107" s="198"/>
      <c r="W107" s="198"/>
      <c r="X107" s="198"/>
      <c r="Y107" s="116"/>
      <c r="Z107" s="195"/>
      <c r="AA107" s="202"/>
      <c r="AB107" s="197">
        <f t="shared" si="58"/>
        <v>0</v>
      </c>
      <c r="AC107" s="88"/>
      <c r="AD107" s="116"/>
      <c r="AE107" s="114"/>
    </row>
    <row r="108" spans="1:31" ht="12.95" hidden="1" customHeight="1" x14ac:dyDescent="0.35">
      <c r="A108" s="135"/>
      <c r="B108" s="133"/>
      <c r="C108" s="111"/>
      <c r="D108" s="111"/>
      <c r="E108" s="111"/>
      <c r="F108" s="111"/>
      <c r="G108" s="111"/>
      <c r="H108" s="107"/>
      <c r="I108" s="108"/>
      <c r="J108" s="109"/>
      <c r="K108" s="110"/>
      <c r="L108" s="111"/>
      <c r="M108" s="111"/>
      <c r="N108" s="111"/>
      <c r="O108" s="133"/>
      <c r="P108" s="108"/>
      <c r="Q108" s="114"/>
      <c r="R108" s="133"/>
      <c r="S108" s="113"/>
      <c r="T108" s="195"/>
      <c r="U108" s="198"/>
      <c r="V108" s="198"/>
      <c r="W108" s="198"/>
      <c r="X108" s="198"/>
      <c r="Y108" s="116"/>
      <c r="Z108" s="195"/>
      <c r="AA108" s="202"/>
      <c r="AB108" s="197">
        <f t="shared" si="58"/>
        <v>0</v>
      </c>
      <c r="AC108" s="88"/>
      <c r="AD108" s="116"/>
      <c r="AE108" s="114"/>
    </row>
    <row r="109" spans="1:31" ht="12.95" customHeight="1" x14ac:dyDescent="0.35">
      <c r="A109" s="132" t="s">
        <v>112</v>
      </c>
      <c r="B109" s="104" t="s">
        <v>252</v>
      </c>
      <c r="C109" s="111"/>
      <c r="D109" s="111"/>
      <c r="E109" s="111"/>
      <c r="F109" s="111"/>
      <c r="G109" s="111"/>
      <c r="H109" s="107"/>
      <c r="I109" s="108"/>
      <c r="J109" s="109"/>
      <c r="K109" s="110"/>
      <c r="L109" s="111"/>
      <c r="M109" s="111"/>
      <c r="N109" s="111"/>
      <c r="O109" s="134"/>
      <c r="P109" s="111"/>
      <c r="Q109" s="207"/>
      <c r="R109" s="136"/>
      <c r="S109" s="113"/>
      <c r="T109" s="195"/>
      <c r="U109" s="198"/>
      <c r="V109" s="198"/>
      <c r="W109" s="198"/>
      <c r="X109" s="198"/>
      <c r="Y109" s="116"/>
      <c r="Z109" s="195"/>
      <c r="AA109" s="202"/>
      <c r="AB109" s="197">
        <f t="shared" si="58"/>
        <v>0</v>
      </c>
      <c r="AC109" s="88"/>
      <c r="AD109" s="116"/>
      <c r="AE109" s="114"/>
    </row>
    <row r="110" spans="1:31" ht="12.95" customHeight="1" x14ac:dyDescent="0.35">
      <c r="A110" s="208" t="s">
        <v>14</v>
      </c>
      <c r="B110" s="104" t="s">
        <v>253</v>
      </c>
      <c r="C110" s="105"/>
      <c r="D110" s="105"/>
      <c r="E110" s="111"/>
      <c r="F110" s="111"/>
      <c r="G110" s="111"/>
      <c r="H110" s="107"/>
      <c r="I110" s="108"/>
      <c r="J110" s="109"/>
      <c r="K110" s="110"/>
      <c r="L110" s="111"/>
      <c r="M110" s="111"/>
      <c r="N110" s="111"/>
      <c r="O110" s="134"/>
      <c r="P110" s="111"/>
      <c r="Q110" s="207"/>
      <c r="R110" s="209"/>
      <c r="S110" s="113"/>
      <c r="T110" s="195"/>
      <c r="U110" s="198"/>
      <c r="V110" s="198"/>
      <c r="W110" s="198"/>
      <c r="X110" s="198"/>
      <c r="Y110" s="116"/>
      <c r="Z110" s="195"/>
      <c r="AA110" s="202"/>
      <c r="AB110" s="197">
        <f t="shared" si="58"/>
        <v>0</v>
      </c>
      <c r="AC110" s="88"/>
      <c r="AD110" s="116"/>
      <c r="AE110" s="114"/>
    </row>
    <row r="111" spans="1:31" s="28" customFormat="1" ht="12.95" customHeight="1" x14ac:dyDescent="0.35">
      <c r="A111" s="210">
        <v>521113</v>
      </c>
      <c r="B111" s="211" t="s">
        <v>113</v>
      </c>
      <c r="C111" s="105"/>
      <c r="D111" s="105"/>
      <c r="E111" s="105"/>
      <c r="F111" s="105"/>
      <c r="G111" s="106"/>
      <c r="H111" s="188"/>
      <c r="I111" s="171"/>
      <c r="J111" s="170"/>
      <c r="K111" s="189"/>
      <c r="L111" s="105"/>
      <c r="M111" s="105"/>
      <c r="N111" s="105"/>
      <c r="O111" s="112"/>
      <c r="P111" s="105"/>
      <c r="Q111" s="212"/>
      <c r="R111" s="213"/>
      <c r="S111" s="113"/>
      <c r="T111" s="190"/>
      <c r="U111" s="191"/>
      <c r="V111" s="191"/>
      <c r="W111" s="191"/>
      <c r="X111" s="191"/>
      <c r="Y111" s="192"/>
      <c r="Z111" s="190"/>
      <c r="AA111" s="214"/>
      <c r="AB111" s="193">
        <f t="shared" si="58"/>
        <v>0</v>
      </c>
      <c r="AC111" s="177"/>
      <c r="AD111" s="192"/>
      <c r="AE111" s="179"/>
    </row>
    <row r="112" spans="1:31" ht="12.95" customHeight="1" x14ac:dyDescent="0.35">
      <c r="A112" s="135"/>
      <c r="B112" s="215" t="s">
        <v>82</v>
      </c>
      <c r="C112" s="216" t="s">
        <v>114</v>
      </c>
      <c r="D112" s="111"/>
      <c r="E112" s="217"/>
      <c r="F112" s="217"/>
      <c r="G112" s="218"/>
      <c r="H112" s="107"/>
      <c r="I112" s="108"/>
      <c r="J112" s="109"/>
      <c r="K112" s="110"/>
      <c r="L112" s="111"/>
      <c r="M112" s="111"/>
      <c r="N112" s="111"/>
      <c r="O112" s="134">
        <v>22</v>
      </c>
      <c r="P112" s="111" t="s">
        <v>115</v>
      </c>
      <c r="Q112" s="207">
        <v>210000</v>
      </c>
      <c r="R112" s="107">
        <f>O112*264000</f>
        <v>5808000</v>
      </c>
      <c r="S112" s="85">
        <f t="shared" ref="S112" si="64">+R112/$R$184*100</f>
        <v>0.25938031862514138</v>
      </c>
      <c r="T112" s="99"/>
      <c r="U112" s="87"/>
      <c r="V112" s="87"/>
      <c r="W112" s="87"/>
      <c r="X112" s="87"/>
      <c r="Y112" s="88">
        <v>0</v>
      </c>
      <c r="Z112" s="99">
        <f t="shared" ref="Z112" si="65">+Y112/R112*100</f>
        <v>0</v>
      </c>
      <c r="AA112" s="100">
        <f t="shared" ref="AA112" si="66">Z112</f>
        <v>0</v>
      </c>
      <c r="AB112" s="99">
        <f t="shared" si="58"/>
        <v>0</v>
      </c>
      <c r="AC112" s="88"/>
      <c r="AD112" s="88">
        <f t="shared" ref="AD112" si="67">+R112-Y112</f>
        <v>5808000</v>
      </c>
      <c r="AE112" s="86"/>
    </row>
    <row r="113" spans="1:31" ht="12.95" customHeight="1" x14ac:dyDescent="0.35">
      <c r="A113" s="135"/>
      <c r="B113" s="215"/>
      <c r="C113" s="216"/>
      <c r="D113" s="111"/>
      <c r="E113" s="217"/>
      <c r="F113" s="217"/>
      <c r="G113" s="218"/>
      <c r="H113" s="107"/>
      <c r="I113" s="108"/>
      <c r="J113" s="109"/>
      <c r="K113" s="110"/>
      <c r="L113" s="111"/>
      <c r="M113" s="111"/>
      <c r="N113" s="111"/>
      <c r="O113" s="134"/>
      <c r="P113" s="111"/>
      <c r="Q113" s="207"/>
      <c r="R113" s="107"/>
      <c r="S113" s="113"/>
      <c r="T113" s="195"/>
      <c r="U113" s="198"/>
      <c r="V113" s="198"/>
      <c r="W113" s="198"/>
      <c r="X113" s="198"/>
      <c r="Y113" s="116"/>
      <c r="Z113" s="195"/>
      <c r="AA113" s="202"/>
      <c r="AB113" s="197"/>
      <c r="AC113" s="116"/>
      <c r="AD113" s="116"/>
      <c r="AE113" s="114"/>
    </row>
    <row r="114" spans="1:31" ht="12.95" customHeight="1" x14ac:dyDescent="0.35">
      <c r="A114" s="103" t="s">
        <v>116</v>
      </c>
      <c r="B114" s="104" t="s">
        <v>254</v>
      </c>
      <c r="C114" s="105"/>
      <c r="D114" s="105"/>
      <c r="E114" s="111"/>
      <c r="F114" s="111"/>
      <c r="G114" s="137"/>
      <c r="H114" s="107"/>
      <c r="I114" s="108"/>
      <c r="J114" s="109"/>
      <c r="K114" s="110"/>
      <c r="L114" s="111"/>
      <c r="M114" s="111"/>
      <c r="N114" s="111"/>
      <c r="O114" s="134"/>
      <c r="P114" s="111"/>
      <c r="Q114" s="207"/>
      <c r="R114" s="170"/>
      <c r="S114" s="113"/>
      <c r="T114" s="195"/>
      <c r="U114" s="198"/>
      <c r="V114" s="198"/>
      <c r="W114" s="198"/>
      <c r="X114" s="198"/>
      <c r="Y114" s="116"/>
      <c r="Z114" s="195"/>
      <c r="AA114" s="202"/>
      <c r="AB114" s="197"/>
      <c r="AC114" s="116"/>
      <c r="AD114" s="116"/>
      <c r="AE114" s="114"/>
    </row>
    <row r="115" spans="1:31" s="28" customFormat="1" ht="12.95" customHeight="1" x14ac:dyDescent="0.35">
      <c r="A115" s="219">
        <v>521119</v>
      </c>
      <c r="B115" s="211" t="s">
        <v>117</v>
      </c>
      <c r="C115" s="105"/>
      <c r="D115" s="105"/>
      <c r="E115" s="105"/>
      <c r="F115" s="105"/>
      <c r="G115" s="106"/>
      <c r="H115" s="188"/>
      <c r="I115" s="171"/>
      <c r="J115" s="170"/>
      <c r="K115" s="189"/>
      <c r="L115" s="105"/>
      <c r="M115" s="105"/>
      <c r="N115" s="105"/>
      <c r="O115" s="112"/>
      <c r="P115" s="105"/>
      <c r="Q115" s="212"/>
      <c r="R115" s="213"/>
      <c r="S115" s="113"/>
      <c r="T115" s="190"/>
      <c r="U115" s="191"/>
      <c r="V115" s="191"/>
      <c r="W115" s="191"/>
      <c r="X115" s="191"/>
      <c r="Y115" s="192"/>
      <c r="Z115" s="190"/>
      <c r="AA115" s="214"/>
      <c r="AB115" s="193"/>
      <c r="AC115" s="192"/>
      <c r="AD115" s="192"/>
      <c r="AE115" s="179"/>
    </row>
    <row r="116" spans="1:31" ht="12.95" customHeight="1" x14ac:dyDescent="0.35">
      <c r="A116" s="135"/>
      <c r="B116" s="215" t="s">
        <v>82</v>
      </c>
      <c r="C116" s="140" t="s">
        <v>118</v>
      </c>
      <c r="D116" s="111"/>
      <c r="E116" s="217"/>
      <c r="F116" s="217"/>
      <c r="G116" s="218"/>
      <c r="H116" s="107"/>
      <c r="I116" s="108"/>
      <c r="J116" s="109"/>
      <c r="K116" s="110"/>
      <c r="L116" s="111"/>
      <c r="M116" s="111"/>
      <c r="N116" s="111"/>
      <c r="O116" s="220">
        <v>22</v>
      </c>
      <c r="P116" s="221" t="s">
        <v>115</v>
      </c>
      <c r="Q116" s="222"/>
      <c r="R116" s="107">
        <f>O116*400000</f>
        <v>8800000</v>
      </c>
      <c r="S116" s="85">
        <f t="shared" ref="S116:S117" si="68">+R116/$R$184*100</f>
        <v>0.39300048276536576</v>
      </c>
      <c r="T116" s="99"/>
      <c r="U116" s="87"/>
      <c r="V116" s="87"/>
      <c r="W116" s="87"/>
      <c r="X116" s="87"/>
      <c r="Y116" s="88">
        <v>0</v>
      </c>
      <c r="Z116" s="99">
        <f t="shared" ref="Z116:Z117" si="69">+Y116/R116*100</f>
        <v>0</v>
      </c>
      <c r="AA116" s="100">
        <f t="shared" ref="AA116:AA117" si="70">Z116</f>
        <v>0</v>
      </c>
      <c r="AB116" s="99">
        <f t="shared" ref="AB116:AB117" si="71">AA116*S116/100</f>
        <v>0</v>
      </c>
      <c r="AC116" s="88"/>
      <c r="AD116" s="88">
        <f t="shared" ref="AD116:AD117" si="72">+R116-Y116</f>
        <v>8800000</v>
      </c>
      <c r="AE116" s="86"/>
    </row>
    <row r="117" spans="1:31" ht="12.95" customHeight="1" x14ac:dyDescent="0.35">
      <c r="A117" s="135"/>
      <c r="B117" s="215" t="s">
        <v>82</v>
      </c>
      <c r="C117" s="111" t="s">
        <v>119</v>
      </c>
      <c r="D117" s="111"/>
      <c r="E117" s="217"/>
      <c r="F117" s="217"/>
      <c r="G117" s="218"/>
      <c r="H117" s="107"/>
      <c r="I117" s="108"/>
      <c r="J117" s="109"/>
      <c r="K117" s="110"/>
      <c r="L117" s="111"/>
      <c r="M117" s="111"/>
      <c r="N117" s="111"/>
      <c r="O117" s="220">
        <v>3</v>
      </c>
      <c r="P117" s="221" t="s">
        <v>115</v>
      </c>
      <c r="Q117" s="222"/>
      <c r="R117" s="107">
        <f>O117*450000</f>
        <v>1350000</v>
      </c>
      <c r="S117" s="85">
        <f t="shared" si="68"/>
        <v>6.0289846787868612E-2</v>
      </c>
      <c r="T117" s="99"/>
      <c r="U117" s="87"/>
      <c r="V117" s="87"/>
      <c r="W117" s="87"/>
      <c r="X117" s="87"/>
      <c r="Y117" s="88">
        <v>0</v>
      </c>
      <c r="Z117" s="99">
        <f t="shared" si="69"/>
        <v>0</v>
      </c>
      <c r="AA117" s="100">
        <f t="shared" si="70"/>
        <v>0</v>
      </c>
      <c r="AB117" s="99">
        <f t="shared" si="71"/>
        <v>0</v>
      </c>
      <c r="AC117" s="88"/>
      <c r="AD117" s="88">
        <f t="shared" si="72"/>
        <v>1350000</v>
      </c>
      <c r="AE117" s="114"/>
    </row>
    <row r="118" spans="1:31" s="28" customFormat="1" ht="12.95" customHeight="1" x14ac:dyDescent="0.35">
      <c r="A118" s="219"/>
      <c r="B118" s="211"/>
      <c r="C118" s="105"/>
      <c r="D118" s="105"/>
      <c r="E118" s="105"/>
      <c r="F118" s="105"/>
      <c r="G118" s="106"/>
      <c r="H118" s="188"/>
      <c r="I118" s="171"/>
      <c r="J118" s="170"/>
      <c r="K118" s="189"/>
      <c r="L118" s="105"/>
      <c r="M118" s="105"/>
      <c r="N118" s="105"/>
      <c r="O118" s="112"/>
      <c r="P118" s="105"/>
      <c r="Q118" s="212"/>
      <c r="R118" s="213"/>
      <c r="S118" s="113"/>
      <c r="T118" s="190"/>
      <c r="U118" s="191"/>
      <c r="V118" s="191"/>
      <c r="W118" s="191"/>
      <c r="X118" s="191"/>
      <c r="Y118" s="192"/>
      <c r="Z118" s="190"/>
      <c r="AA118" s="214"/>
      <c r="AB118" s="193"/>
      <c r="AC118" s="192"/>
      <c r="AD118" s="192"/>
      <c r="AE118" s="179"/>
    </row>
    <row r="119" spans="1:31" ht="12.95" customHeight="1" x14ac:dyDescent="0.35">
      <c r="A119" s="103" t="s">
        <v>120</v>
      </c>
      <c r="B119" s="104" t="s">
        <v>255</v>
      </c>
      <c r="C119" s="105"/>
      <c r="D119" s="105"/>
      <c r="E119" s="105"/>
      <c r="F119" s="105"/>
      <c r="G119" s="106"/>
      <c r="H119" s="107"/>
      <c r="I119" s="108"/>
      <c r="J119" s="109"/>
      <c r="K119" s="110"/>
      <c r="L119" s="111"/>
      <c r="M119" s="111"/>
      <c r="N119" s="111"/>
      <c r="O119" s="134"/>
      <c r="P119" s="111"/>
      <c r="Q119" s="207"/>
      <c r="R119" s="170"/>
      <c r="S119" s="113"/>
      <c r="T119" s="195"/>
      <c r="U119" s="198"/>
      <c r="V119" s="198"/>
      <c r="W119" s="198"/>
      <c r="X119" s="198"/>
      <c r="Y119" s="116"/>
      <c r="Z119" s="195"/>
      <c r="AA119" s="202"/>
      <c r="AB119" s="197"/>
      <c r="AC119" s="116"/>
      <c r="AD119" s="116"/>
      <c r="AE119" s="114"/>
    </row>
    <row r="120" spans="1:31" s="28" customFormat="1" ht="12.95" customHeight="1" x14ac:dyDescent="0.35">
      <c r="A120" s="210">
        <v>523111</v>
      </c>
      <c r="B120" s="211" t="s">
        <v>121</v>
      </c>
      <c r="C120" s="105"/>
      <c r="D120" s="105"/>
      <c r="E120" s="105"/>
      <c r="F120" s="105"/>
      <c r="G120" s="106"/>
      <c r="H120" s="188"/>
      <c r="I120" s="171"/>
      <c r="J120" s="170"/>
      <c r="K120" s="189"/>
      <c r="L120" s="105"/>
      <c r="M120" s="105"/>
      <c r="N120" s="105"/>
      <c r="O120" s="112"/>
      <c r="P120" s="105"/>
      <c r="Q120" s="212"/>
      <c r="R120" s="170"/>
      <c r="S120" s="113"/>
      <c r="T120" s="190"/>
      <c r="U120" s="191"/>
      <c r="V120" s="191"/>
      <c r="W120" s="191"/>
      <c r="X120" s="191"/>
      <c r="Y120" s="192"/>
      <c r="Z120" s="190"/>
      <c r="AA120" s="214"/>
      <c r="AB120" s="193"/>
      <c r="AC120" s="192"/>
      <c r="AD120" s="192"/>
      <c r="AE120" s="179"/>
    </row>
    <row r="121" spans="1:31" ht="12.95" customHeight="1" x14ac:dyDescent="0.35">
      <c r="A121" s="135"/>
      <c r="B121" s="223" t="s">
        <v>82</v>
      </c>
      <c r="C121" s="111" t="s">
        <v>122</v>
      </c>
      <c r="D121" s="111"/>
      <c r="E121" s="111"/>
      <c r="F121" s="111"/>
      <c r="G121" s="137"/>
      <c r="H121" s="107"/>
      <c r="I121" s="108"/>
      <c r="J121" s="109"/>
      <c r="K121" s="110"/>
      <c r="L121" s="111"/>
      <c r="M121" s="111"/>
      <c r="N121" s="111"/>
      <c r="O121" s="107">
        <v>229</v>
      </c>
      <c r="P121" s="108" t="s">
        <v>105</v>
      </c>
      <c r="Q121" s="207"/>
      <c r="R121" s="107">
        <f>O121*119000</f>
        <v>27251000</v>
      </c>
      <c r="S121" s="85">
        <f t="shared" ref="S121:S122" si="73">+R121/$R$184*100</f>
        <v>1.2170063813453389</v>
      </c>
      <c r="T121" s="99"/>
      <c r="U121" s="87"/>
      <c r="V121" s="87"/>
      <c r="W121" s="87"/>
      <c r="X121" s="87"/>
      <c r="Y121" s="88">
        <v>0</v>
      </c>
      <c r="Z121" s="99">
        <f t="shared" ref="Z121:Z122" si="74">+Y121/R121*100</f>
        <v>0</v>
      </c>
      <c r="AA121" s="100">
        <f t="shared" ref="AA121:AA122" si="75">Z121</f>
        <v>0</v>
      </c>
      <c r="AB121" s="99">
        <f t="shared" ref="AB121:AB122" si="76">AA121*S121/100</f>
        <v>0</v>
      </c>
      <c r="AC121" s="88"/>
      <c r="AD121" s="88">
        <f t="shared" ref="AD121:AD122" si="77">+R121-Y121</f>
        <v>27251000</v>
      </c>
      <c r="AE121" s="86"/>
    </row>
    <row r="122" spans="1:31" ht="12.95" customHeight="1" x14ac:dyDescent="0.35">
      <c r="A122" s="135"/>
      <c r="B122" s="223" t="s">
        <v>82</v>
      </c>
      <c r="C122" s="140" t="s">
        <v>123</v>
      </c>
      <c r="D122" s="111"/>
      <c r="E122" s="111"/>
      <c r="F122" s="111"/>
      <c r="G122" s="137"/>
      <c r="H122" s="107"/>
      <c r="I122" s="108"/>
      <c r="J122" s="109"/>
      <c r="K122" s="110"/>
      <c r="L122" s="111"/>
      <c r="M122" s="111"/>
      <c r="N122" s="111"/>
      <c r="O122" s="107">
        <v>680</v>
      </c>
      <c r="P122" s="108" t="s">
        <v>105</v>
      </c>
      <c r="Q122" s="207"/>
      <c r="R122" s="107">
        <f>O122*13000</f>
        <v>8840000</v>
      </c>
      <c r="S122" s="85">
        <f t="shared" si="73"/>
        <v>0.39478684859611746</v>
      </c>
      <c r="T122" s="99"/>
      <c r="U122" s="87"/>
      <c r="V122" s="87"/>
      <c r="W122" s="87"/>
      <c r="X122" s="87"/>
      <c r="Y122" s="88">
        <v>0</v>
      </c>
      <c r="Z122" s="99">
        <f t="shared" si="74"/>
        <v>0</v>
      </c>
      <c r="AA122" s="100">
        <f t="shared" si="75"/>
        <v>0</v>
      </c>
      <c r="AB122" s="99">
        <f t="shared" si="76"/>
        <v>0</v>
      </c>
      <c r="AC122" s="88"/>
      <c r="AD122" s="88">
        <f t="shared" si="77"/>
        <v>8840000</v>
      </c>
      <c r="AE122" s="114"/>
    </row>
    <row r="123" spans="1:31" ht="12.95" customHeight="1" x14ac:dyDescent="0.35">
      <c r="A123" s="135"/>
      <c r="B123" s="223"/>
      <c r="C123" s="111"/>
      <c r="D123" s="111"/>
      <c r="E123" s="111"/>
      <c r="F123" s="111"/>
      <c r="G123" s="137"/>
      <c r="H123" s="107"/>
      <c r="I123" s="108"/>
      <c r="J123" s="109"/>
      <c r="K123" s="110"/>
      <c r="L123" s="111"/>
      <c r="M123" s="111"/>
      <c r="N123" s="111"/>
      <c r="O123" s="134"/>
      <c r="P123" s="111"/>
      <c r="Q123" s="207"/>
      <c r="R123" s="107"/>
      <c r="S123" s="113"/>
      <c r="T123" s="195"/>
      <c r="U123" s="198"/>
      <c r="V123" s="198"/>
      <c r="W123" s="198"/>
      <c r="X123" s="198"/>
      <c r="Y123" s="116"/>
      <c r="Z123" s="195"/>
      <c r="AA123" s="202"/>
      <c r="AB123" s="197"/>
      <c r="AC123" s="116"/>
      <c r="AD123" s="116"/>
      <c r="AE123" s="114"/>
    </row>
    <row r="124" spans="1:31" ht="12.95" customHeight="1" x14ac:dyDescent="0.35">
      <c r="A124" s="103" t="s">
        <v>124</v>
      </c>
      <c r="B124" s="104" t="s">
        <v>256</v>
      </c>
      <c r="C124" s="105"/>
      <c r="D124" s="105"/>
      <c r="E124" s="105"/>
      <c r="F124" s="105"/>
      <c r="G124" s="106"/>
      <c r="H124" s="107"/>
      <c r="I124" s="108"/>
      <c r="J124" s="109"/>
      <c r="K124" s="110"/>
      <c r="L124" s="111"/>
      <c r="M124" s="111"/>
      <c r="N124" s="111"/>
      <c r="O124" s="134"/>
      <c r="P124" s="111"/>
      <c r="Q124" s="207"/>
      <c r="R124" s="170"/>
      <c r="S124" s="113"/>
      <c r="T124" s="195"/>
      <c r="U124" s="198"/>
      <c r="V124" s="198"/>
      <c r="W124" s="198"/>
      <c r="X124" s="198"/>
      <c r="Y124" s="116"/>
      <c r="Z124" s="195"/>
      <c r="AA124" s="202"/>
      <c r="AB124" s="197"/>
      <c r="AC124" s="116"/>
      <c r="AD124" s="116"/>
      <c r="AE124" s="114"/>
    </row>
    <row r="125" spans="1:31" s="28" customFormat="1" ht="12.95" customHeight="1" x14ac:dyDescent="0.35">
      <c r="A125" s="210">
        <v>523121</v>
      </c>
      <c r="B125" s="211" t="s">
        <v>125</v>
      </c>
      <c r="C125" s="105"/>
      <c r="D125" s="105"/>
      <c r="E125" s="105"/>
      <c r="F125" s="105"/>
      <c r="G125" s="106"/>
      <c r="H125" s="188"/>
      <c r="I125" s="171"/>
      <c r="J125" s="170"/>
      <c r="K125" s="189"/>
      <c r="L125" s="105"/>
      <c r="M125" s="105"/>
      <c r="N125" s="105"/>
      <c r="O125" s="112"/>
      <c r="P125" s="105"/>
      <c r="Q125" s="212"/>
      <c r="R125" s="170"/>
      <c r="S125" s="113"/>
      <c r="T125" s="190"/>
      <c r="U125" s="191"/>
      <c r="V125" s="191"/>
      <c r="W125" s="191"/>
      <c r="X125" s="191"/>
      <c r="Y125" s="192"/>
      <c r="Z125" s="190"/>
      <c r="AA125" s="214"/>
      <c r="AB125" s="193"/>
      <c r="AC125" s="192"/>
      <c r="AD125" s="192"/>
      <c r="AE125" s="179"/>
    </row>
    <row r="126" spans="1:31" ht="12.95" customHeight="1" x14ac:dyDescent="0.35">
      <c r="A126" s="135"/>
      <c r="B126" s="215" t="s">
        <v>82</v>
      </c>
      <c r="C126" s="111" t="s">
        <v>126</v>
      </c>
      <c r="D126" s="111"/>
      <c r="E126" s="111"/>
      <c r="F126" s="111"/>
      <c r="G126" s="137"/>
      <c r="H126" s="107"/>
      <c r="I126" s="108"/>
      <c r="J126" s="109"/>
      <c r="K126" s="110"/>
      <c r="L126" s="111"/>
      <c r="M126" s="111"/>
      <c r="N126" s="111"/>
      <c r="O126" s="134">
        <v>8</v>
      </c>
      <c r="P126" s="111" t="s">
        <v>127</v>
      </c>
      <c r="Q126" s="207"/>
      <c r="R126" s="107">
        <f>O126*420000</f>
        <v>3360000</v>
      </c>
      <c r="S126" s="85">
        <f t="shared" ref="S126:S137" si="78">+R126/$R$184*100</f>
        <v>0.15005472978313966</v>
      </c>
      <c r="T126" s="99"/>
      <c r="U126" s="87"/>
      <c r="V126" s="87"/>
      <c r="W126" s="87"/>
      <c r="X126" s="87"/>
      <c r="Y126" s="88">
        <v>0</v>
      </c>
      <c r="Z126" s="99">
        <f t="shared" ref="Z126:Z137" si="79">+Y126/R126*100</f>
        <v>0</v>
      </c>
      <c r="AA126" s="100">
        <f t="shared" ref="AA126:AA135" si="80">Z126</f>
        <v>0</v>
      </c>
      <c r="AB126" s="99">
        <f t="shared" ref="AB126:AB137" si="81">AA126*S126/100</f>
        <v>0</v>
      </c>
      <c r="AC126" s="88"/>
      <c r="AD126" s="88">
        <f t="shared" ref="AD126:AD137" si="82">+R126-Y126</f>
        <v>3360000</v>
      </c>
      <c r="AE126" s="86"/>
    </row>
    <row r="127" spans="1:31" ht="12.95" customHeight="1" x14ac:dyDescent="0.35">
      <c r="A127" s="135"/>
      <c r="B127" s="215" t="s">
        <v>82</v>
      </c>
      <c r="C127" s="111" t="s">
        <v>128</v>
      </c>
      <c r="D127" s="111"/>
      <c r="E127" s="111"/>
      <c r="F127" s="111"/>
      <c r="G127" s="137"/>
      <c r="H127" s="107"/>
      <c r="I127" s="108"/>
      <c r="J127" s="109"/>
      <c r="K127" s="110"/>
      <c r="L127" s="111"/>
      <c r="M127" s="111"/>
      <c r="N127" s="111"/>
      <c r="O127" s="134">
        <v>3</v>
      </c>
      <c r="P127" s="111" t="s">
        <v>127</v>
      </c>
      <c r="Q127" s="207"/>
      <c r="R127" s="107">
        <f>O127*500000</f>
        <v>1500000</v>
      </c>
      <c r="S127" s="85">
        <f t="shared" si="78"/>
        <v>6.6988718653187354E-2</v>
      </c>
      <c r="T127" s="99"/>
      <c r="U127" s="87"/>
      <c r="V127" s="87"/>
      <c r="W127" s="87"/>
      <c r="X127" s="87"/>
      <c r="Y127" s="88">
        <v>0</v>
      </c>
      <c r="Z127" s="99">
        <f t="shared" si="79"/>
        <v>0</v>
      </c>
      <c r="AA127" s="100">
        <f t="shared" si="80"/>
        <v>0</v>
      </c>
      <c r="AB127" s="99">
        <f t="shared" si="81"/>
        <v>0</v>
      </c>
      <c r="AC127" s="88"/>
      <c r="AD127" s="88">
        <f t="shared" si="82"/>
        <v>1500000</v>
      </c>
      <c r="AE127" s="114"/>
    </row>
    <row r="128" spans="1:31" ht="12.95" customHeight="1" x14ac:dyDescent="0.35">
      <c r="A128" s="135"/>
      <c r="B128" s="215" t="s">
        <v>82</v>
      </c>
      <c r="C128" s="111" t="s">
        <v>129</v>
      </c>
      <c r="D128" s="111"/>
      <c r="E128" s="111"/>
      <c r="F128" s="111"/>
      <c r="G128" s="137"/>
      <c r="H128" s="107"/>
      <c r="I128" s="108"/>
      <c r="J128" s="109"/>
      <c r="K128" s="110"/>
      <c r="L128" s="111"/>
      <c r="M128" s="111"/>
      <c r="N128" s="111"/>
      <c r="O128" s="134">
        <v>12</v>
      </c>
      <c r="P128" s="111" t="s">
        <v>127</v>
      </c>
      <c r="Q128" s="207"/>
      <c r="R128" s="107">
        <f>O128*550000</f>
        <v>6600000</v>
      </c>
      <c r="S128" s="85">
        <f t="shared" si="78"/>
        <v>0.29475036207402433</v>
      </c>
      <c r="T128" s="99"/>
      <c r="U128" s="87"/>
      <c r="V128" s="87"/>
      <c r="W128" s="87"/>
      <c r="X128" s="87"/>
      <c r="Y128" s="88">
        <v>0</v>
      </c>
      <c r="Z128" s="99">
        <f t="shared" si="79"/>
        <v>0</v>
      </c>
      <c r="AA128" s="100">
        <f t="shared" si="80"/>
        <v>0</v>
      </c>
      <c r="AB128" s="99">
        <f t="shared" si="81"/>
        <v>0</v>
      </c>
      <c r="AC128" s="88"/>
      <c r="AD128" s="88">
        <f t="shared" si="82"/>
        <v>6600000</v>
      </c>
      <c r="AE128" s="114"/>
    </row>
    <row r="129" spans="1:31" ht="12.95" customHeight="1" x14ac:dyDescent="0.35">
      <c r="A129" s="135"/>
      <c r="B129" s="215" t="s">
        <v>82</v>
      </c>
      <c r="C129" s="111" t="s">
        <v>130</v>
      </c>
      <c r="D129" s="111"/>
      <c r="E129" s="111"/>
      <c r="F129" s="111"/>
      <c r="G129" s="137"/>
      <c r="H129" s="107"/>
      <c r="I129" s="108"/>
      <c r="J129" s="109"/>
      <c r="K129" s="110"/>
      <c r="L129" s="111"/>
      <c r="M129" s="111"/>
      <c r="N129" s="111"/>
      <c r="O129" s="134">
        <v>1</v>
      </c>
      <c r="P129" s="111" t="s">
        <v>127</v>
      </c>
      <c r="Q129" s="207"/>
      <c r="R129" s="107">
        <f>O129*500000</f>
        <v>500000</v>
      </c>
      <c r="S129" s="85">
        <f t="shared" si="78"/>
        <v>2.2329572884395781E-2</v>
      </c>
      <c r="T129" s="99"/>
      <c r="U129" s="87"/>
      <c r="V129" s="87"/>
      <c r="W129" s="87"/>
      <c r="X129" s="87"/>
      <c r="Y129" s="88">
        <v>0</v>
      </c>
      <c r="Z129" s="99">
        <f t="shared" si="79"/>
        <v>0</v>
      </c>
      <c r="AA129" s="100">
        <f t="shared" si="80"/>
        <v>0</v>
      </c>
      <c r="AB129" s="99">
        <f t="shared" si="81"/>
        <v>0</v>
      </c>
      <c r="AC129" s="88"/>
      <c r="AD129" s="88">
        <f t="shared" si="82"/>
        <v>500000</v>
      </c>
      <c r="AE129" s="114"/>
    </row>
    <row r="130" spans="1:31" ht="12.95" customHeight="1" x14ac:dyDescent="0.35">
      <c r="A130" s="135"/>
      <c r="B130" s="215" t="s">
        <v>82</v>
      </c>
      <c r="C130" s="111" t="s">
        <v>131</v>
      </c>
      <c r="D130" s="111"/>
      <c r="E130" s="111"/>
      <c r="F130" s="111"/>
      <c r="G130" s="137"/>
      <c r="H130" s="107"/>
      <c r="I130" s="108"/>
      <c r="J130" s="109"/>
      <c r="K130" s="110"/>
      <c r="L130" s="111"/>
      <c r="M130" s="111"/>
      <c r="N130" s="111"/>
      <c r="O130" s="134">
        <v>2</v>
      </c>
      <c r="P130" s="111" t="s">
        <v>127</v>
      </c>
      <c r="Q130" s="207"/>
      <c r="R130" s="107">
        <f>O130*800000</f>
        <v>1600000</v>
      </c>
      <c r="S130" s="85">
        <f t="shared" si="78"/>
        <v>7.1454633230066497E-2</v>
      </c>
      <c r="T130" s="99"/>
      <c r="U130" s="87"/>
      <c r="V130" s="87"/>
      <c r="W130" s="87"/>
      <c r="X130" s="87"/>
      <c r="Y130" s="88">
        <v>0</v>
      </c>
      <c r="Z130" s="99">
        <f t="shared" si="79"/>
        <v>0</v>
      </c>
      <c r="AA130" s="100">
        <f t="shared" si="80"/>
        <v>0</v>
      </c>
      <c r="AB130" s="99">
        <f t="shared" si="81"/>
        <v>0</v>
      </c>
      <c r="AC130" s="88"/>
      <c r="AD130" s="88">
        <f t="shared" si="82"/>
        <v>1600000</v>
      </c>
      <c r="AE130" s="114"/>
    </row>
    <row r="131" spans="1:31" ht="12.95" customHeight="1" x14ac:dyDescent="0.35">
      <c r="A131" s="135"/>
      <c r="B131" s="215" t="s">
        <v>82</v>
      </c>
      <c r="C131" s="111" t="s">
        <v>132</v>
      </c>
      <c r="D131" s="111"/>
      <c r="E131" s="111"/>
      <c r="F131" s="111"/>
      <c r="G131" s="137"/>
      <c r="H131" s="107"/>
      <c r="I131" s="108"/>
      <c r="J131" s="109"/>
      <c r="K131" s="110"/>
      <c r="L131" s="111"/>
      <c r="M131" s="111"/>
      <c r="N131" s="111"/>
      <c r="O131" s="134">
        <v>2</v>
      </c>
      <c r="P131" s="111" t="s">
        <v>127</v>
      </c>
      <c r="Q131" s="207"/>
      <c r="R131" s="107">
        <f>O131*5346000</f>
        <v>10692000</v>
      </c>
      <c r="S131" s="85">
        <f t="shared" si="78"/>
        <v>0.47749558655991942</v>
      </c>
      <c r="T131" s="99"/>
      <c r="U131" s="87"/>
      <c r="V131" s="87"/>
      <c r="W131" s="87"/>
      <c r="X131" s="87"/>
      <c r="Y131" s="88">
        <v>875000</v>
      </c>
      <c r="Z131" s="99">
        <f t="shared" si="79"/>
        <v>8.1836887392442943</v>
      </c>
      <c r="AA131" s="100">
        <f t="shared" si="80"/>
        <v>8.1836887392442943</v>
      </c>
      <c r="AB131" s="99">
        <f t="shared" si="81"/>
        <v>3.907675254769262E-2</v>
      </c>
      <c r="AC131" s="88"/>
      <c r="AD131" s="88">
        <f t="shared" si="82"/>
        <v>9817000</v>
      </c>
      <c r="AE131" s="114"/>
    </row>
    <row r="132" spans="1:31" ht="12.95" customHeight="1" x14ac:dyDescent="0.35">
      <c r="A132" s="135"/>
      <c r="B132" s="223" t="s">
        <v>82</v>
      </c>
      <c r="C132" s="111" t="s">
        <v>133</v>
      </c>
      <c r="D132" s="111"/>
      <c r="E132" s="111"/>
      <c r="F132" s="111"/>
      <c r="G132" s="137"/>
      <c r="H132" s="107"/>
      <c r="I132" s="108"/>
      <c r="J132" s="109"/>
      <c r="K132" s="110"/>
      <c r="L132" s="111"/>
      <c r="M132" s="111"/>
      <c r="N132" s="111"/>
      <c r="O132" s="134">
        <v>6</v>
      </c>
      <c r="P132" s="111" t="s">
        <v>127</v>
      </c>
      <c r="Q132" s="207"/>
      <c r="R132" s="107">
        <f>O132*500000</f>
        <v>3000000</v>
      </c>
      <c r="S132" s="85">
        <f t="shared" si="78"/>
        <v>0.13397743730637471</v>
      </c>
      <c r="T132" s="99"/>
      <c r="U132" s="87"/>
      <c r="V132" s="87"/>
      <c r="W132" s="87"/>
      <c r="X132" s="87"/>
      <c r="Y132" s="88">
        <v>0</v>
      </c>
      <c r="Z132" s="99">
        <f t="shared" si="79"/>
        <v>0</v>
      </c>
      <c r="AA132" s="100">
        <f t="shared" si="80"/>
        <v>0</v>
      </c>
      <c r="AB132" s="99">
        <f t="shared" si="81"/>
        <v>0</v>
      </c>
      <c r="AC132" s="88"/>
      <c r="AD132" s="88">
        <f t="shared" si="82"/>
        <v>3000000</v>
      </c>
      <c r="AE132" s="114"/>
    </row>
    <row r="133" spans="1:31" ht="12.95" customHeight="1" x14ac:dyDescent="0.35">
      <c r="A133" s="135"/>
      <c r="B133" s="215" t="s">
        <v>82</v>
      </c>
      <c r="C133" s="111" t="s">
        <v>134</v>
      </c>
      <c r="D133" s="111"/>
      <c r="E133" s="111"/>
      <c r="F133" s="111"/>
      <c r="G133" s="137"/>
      <c r="H133" s="107"/>
      <c r="I133" s="108"/>
      <c r="J133" s="109"/>
      <c r="K133" s="110"/>
      <c r="L133" s="111"/>
      <c r="M133" s="111"/>
      <c r="N133" s="111"/>
      <c r="O133" s="134">
        <v>1</v>
      </c>
      <c r="P133" s="111" t="s">
        <v>127</v>
      </c>
      <c r="Q133" s="207"/>
      <c r="R133" s="107">
        <f>O133*1200000</f>
        <v>1200000</v>
      </c>
      <c r="S133" s="85">
        <f t="shared" si="78"/>
        <v>5.3590974922549883E-2</v>
      </c>
      <c r="T133" s="99"/>
      <c r="U133" s="87"/>
      <c r="V133" s="87"/>
      <c r="W133" s="87"/>
      <c r="X133" s="87"/>
      <c r="Y133" s="88">
        <v>0</v>
      </c>
      <c r="Z133" s="99">
        <f t="shared" si="79"/>
        <v>0</v>
      </c>
      <c r="AA133" s="100">
        <f t="shared" si="80"/>
        <v>0</v>
      </c>
      <c r="AB133" s="99">
        <f t="shared" si="81"/>
        <v>0</v>
      </c>
      <c r="AC133" s="88"/>
      <c r="AD133" s="88">
        <f t="shared" si="82"/>
        <v>1200000</v>
      </c>
      <c r="AE133" s="114"/>
    </row>
    <row r="134" spans="1:31" ht="12.95" customHeight="1" x14ac:dyDescent="0.35">
      <c r="A134" s="135"/>
      <c r="B134" s="215" t="s">
        <v>82</v>
      </c>
      <c r="C134" s="111" t="s">
        <v>135</v>
      </c>
      <c r="D134" s="111"/>
      <c r="E134" s="111"/>
      <c r="F134" s="111"/>
      <c r="G134" s="137"/>
      <c r="H134" s="107"/>
      <c r="I134" s="108"/>
      <c r="J134" s="109"/>
      <c r="K134" s="110"/>
      <c r="L134" s="111"/>
      <c r="M134" s="111"/>
      <c r="N134" s="111"/>
      <c r="O134" s="134">
        <v>4</v>
      </c>
      <c r="P134" s="111" t="s">
        <v>127</v>
      </c>
      <c r="Q134" s="207"/>
      <c r="R134" s="107">
        <f>O134*475000</f>
        <v>1900000</v>
      </c>
      <c r="S134" s="85">
        <f t="shared" si="78"/>
        <v>8.4852376960703968E-2</v>
      </c>
      <c r="T134" s="99"/>
      <c r="U134" s="87"/>
      <c r="V134" s="87"/>
      <c r="W134" s="87"/>
      <c r="X134" s="87"/>
      <c r="Y134" s="88">
        <v>0</v>
      </c>
      <c r="Z134" s="99">
        <f t="shared" si="79"/>
        <v>0</v>
      </c>
      <c r="AA134" s="100">
        <f t="shared" si="80"/>
        <v>0</v>
      </c>
      <c r="AB134" s="99">
        <f t="shared" si="81"/>
        <v>0</v>
      </c>
      <c r="AC134" s="88"/>
      <c r="AD134" s="88">
        <f t="shared" si="82"/>
        <v>1900000</v>
      </c>
      <c r="AE134" s="114"/>
    </row>
    <row r="135" spans="1:31" ht="12.95" customHeight="1" x14ac:dyDescent="0.35">
      <c r="A135" s="135"/>
      <c r="B135" s="223" t="s">
        <v>82</v>
      </c>
      <c r="C135" s="111" t="s">
        <v>136</v>
      </c>
      <c r="D135" s="111"/>
      <c r="E135" s="111"/>
      <c r="F135" s="111"/>
      <c r="G135" s="137"/>
      <c r="H135" s="107"/>
      <c r="I135" s="108"/>
      <c r="J135" s="109"/>
      <c r="K135" s="110"/>
      <c r="L135" s="111"/>
      <c r="M135" s="111"/>
      <c r="N135" s="111"/>
      <c r="O135" s="134">
        <v>1</v>
      </c>
      <c r="P135" s="111" t="s">
        <v>127</v>
      </c>
      <c r="Q135" s="207"/>
      <c r="R135" s="107">
        <f>O135*5000000</f>
        <v>5000000</v>
      </c>
      <c r="S135" s="85">
        <f t="shared" si="78"/>
        <v>0.22329572884395779</v>
      </c>
      <c r="T135" s="99"/>
      <c r="U135" s="87"/>
      <c r="V135" s="87"/>
      <c r="W135" s="87"/>
      <c r="X135" s="87"/>
      <c r="Y135" s="88">
        <v>0</v>
      </c>
      <c r="Z135" s="99">
        <f t="shared" si="79"/>
        <v>0</v>
      </c>
      <c r="AA135" s="100">
        <f t="shared" si="80"/>
        <v>0</v>
      </c>
      <c r="AB135" s="99">
        <f t="shared" si="81"/>
        <v>0</v>
      </c>
      <c r="AC135" s="88"/>
      <c r="AD135" s="88">
        <f t="shared" si="82"/>
        <v>5000000</v>
      </c>
      <c r="AE135" s="114"/>
    </row>
    <row r="136" spans="1:31" ht="12.95" customHeight="1" x14ac:dyDescent="0.35">
      <c r="A136" s="135"/>
      <c r="B136" s="223" t="s">
        <v>82</v>
      </c>
      <c r="C136" s="111" t="s">
        <v>137</v>
      </c>
      <c r="D136" s="111"/>
      <c r="E136" s="111"/>
      <c r="F136" s="111"/>
      <c r="G136" s="137"/>
      <c r="H136" s="107"/>
      <c r="I136" s="108"/>
      <c r="J136" s="109"/>
      <c r="K136" s="110"/>
      <c r="L136" s="111"/>
      <c r="M136" s="111"/>
      <c r="N136" s="111"/>
      <c r="O136" s="134">
        <v>1</v>
      </c>
      <c r="P136" s="111" t="s">
        <v>127</v>
      </c>
      <c r="Q136" s="207"/>
      <c r="R136" s="107">
        <f>O136*23000000</f>
        <v>23000000</v>
      </c>
      <c r="S136" s="85">
        <f t="shared" si="78"/>
        <v>1.027160352682206</v>
      </c>
      <c r="T136" s="99"/>
      <c r="U136" s="87"/>
      <c r="V136" s="87"/>
      <c r="W136" s="87"/>
      <c r="X136" s="87"/>
      <c r="Y136" s="88">
        <f>1600000*3+927000+505000</f>
        <v>6232000</v>
      </c>
      <c r="Z136" s="99">
        <f t="shared" si="79"/>
        <v>27.095652173913042</v>
      </c>
      <c r="AA136" s="100">
        <f t="shared" ref="AA136:AA137" si="83">1/14*Z136</f>
        <v>1.9354037267080744</v>
      </c>
      <c r="AB136" s="99">
        <f t="shared" si="81"/>
        <v>1.9879699745079214E-2</v>
      </c>
      <c r="AC136" s="88"/>
      <c r="AD136" s="88">
        <f t="shared" si="82"/>
        <v>16768000</v>
      </c>
      <c r="AE136" s="114"/>
    </row>
    <row r="137" spans="1:31" ht="12.95" customHeight="1" x14ac:dyDescent="0.35">
      <c r="A137" s="135"/>
      <c r="B137" s="223" t="s">
        <v>82</v>
      </c>
      <c r="C137" s="111" t="s">
        <v>138</v>
      </c>
      <c r="D137" s="111"/>
      <c r="E137" s="111"/>
      <c r="F137" s="111"/>
      <c r="G137" s="137"/>
      <c r="H137" s="107"/>
      <c r="I137" s="108"/>
      <c r="J137" s="109"/>
      <c r="K137" s="110"/>
      <c r="L137" s="111"/>
      <c r="M137" s="111"/>
      <c r="N137" s="111"/>
      <c r="O137" s="134">
        <v>5</v>
      </c>
      <c r="P137" s="111" t="s">
        <v>127</v>
      </c>
      <c r="Q137" s="207"/>
      <c r="R137" s="107">
        <f>O137*3430000</f>
        <v>17150000</v>
      </c>
      <c r="S137" s="85">
        <f t="shared" si="78"/>
        <v>0.7659043499347753</v>
      </c>
      <c r="T137" s="99"/>
      <c r="U137" s="87"/>
      <c r="V137" s="87"/>
      <c r="W137" s="87"/>
      <c r="X137" s="87"/>
      <c r="Y137" s="88">
        <f>800000+800000+550000+261000+800000</f>
        <v>3211000</v>
      </c>
      <c r="Z137" s="99">
        <f t="shared" si="79"/>
        <v>18.723032069970845</v>
      </c>
      <c r="AA137" s="100">
        <f t="shared" si="83"/>
        <v>1.3373594335693459</v>
      </c>
      <c r="AB137" s="99">
        <f t="shared" si="81"/>
        <v>1.0242894075970692E-2</v>
      </c>
      <c r="AC137" s="88"/>
      <c r="AD137" s="88">
        <f t="shared" si="82"/>
        <v>13939000</v>
      </c>
      <c r="AE137" s="114"/>
    </row>
    <row r="138" spans="1:31" ht="12.95" customHeight="1" x14ac:dyDescent="0.35">
      <c r="A138" s="135"/>
      <c r="B138" s="223"/>
      <c r="C138" s="111"/>
      <c r="D138" s="111"/>
      <c r="E138" s="111"/>
      <c r="F138" s="111"/>
      <c r="G138" s="137"/>
      <c r="H138" s="107"/>
      <c r="I138" s="108"/>
      <c r="J138" s="109"/>
      <c r="K138" s="110"/>
      <c r="L138" s="111"/>
      <c r="M138" s="111"/>
      <c r="N138" s="111"/>
      <c r="O138" s="134"/>
      <c r="P138" s="111"/>
      <c r="Q138" s="207"/>
      <c r="R138" s="203"/>
      <c r="S138" s="113"/>
      <c r="T138" s="195"/>
      <c r="U138" s="198"/>
      <c r="V138" s="198"/>
      <c r="W138" s="198"/>
      <c r="X138" s="198"/>
      <c r="Y138" s="116"/>
      <c r="Z138" s="195"/>
      <c r="AA138" s="202"/>
      <c r="AB138" s="197"/>
      <c r="AC138" s="116"/>
      <c r="AD138" s="116"/>
      <c r="AE138" s="114"/>
    </row>
    <row r="139" spans="1:31" ht="12.95" customHeight="1" x14ac:dyDescent="0.35">
      <c r="A139" s="103" t="s">
        <v>139</v>
      </c>
      <c r="B139" s="508" t="s">
        <v>257</v>
      </c>
      <c r="C139" s="509"/>
      <c r="D139" s="509"/>
      <c r="E139" s="509"/>
      <c r="F139" s="509"/>
      <c r="G139" s="510"/>
      <c r="H139" s="107"/>
      <c r="I139" s="108"/>
      <c r="J139" s="109"/>
      <c r="K139" s="110"/>
      <c r="L139" s="111"/>
      <c r="M139" s="111"/>
      <c r="N139" s="111"/>
      <c r="O139" s="112"/>
      <c r="P139" s="105"/>
      <c r="Q139" s="212"/>
      <c r="R139" s="213"/>
      <c r="S139" s="113"/>
      <c r="T139" s="195"/>
      <c r="U139" s="198"/>
      <c r="V139" s="198"/>
      <c r="W139" s="198"/>
      <c r="X139" s="198"/>
      <c r="Y139" s="116"/>
      <c r="Z139" s="195"/>
      <c r="AA139" s="202"/>
      <c r="AB139" s="197"/>
      <c r="AC139" s="116"/>
      <c r="AD139" s="116"/>
      <c r="AE139" s="114"/>
    </row>
    <row r="140" spans="1:31" s="28" customFormat="1" ht="12.95" customHeight="1" x14ac:dyDescent="0.35">
      <c r="A140" s="355">
        <v>522111</v>
      </c>
      <c r="B140" s="356" t="s">
        <v>258</v>
      </c>
      <c r="C140" s="357"/>
      <c r="D140" s="357"/>
      <c r="E140" s="357"/>
      <c r="F140" s="357"/>
      <c r="G140" s="358"/>
      <c r="H140" s="359"/>
      <c r="I140" s="360"/>
      <c r="J140" s="361"/>
      <c r="K140" s="362"/>
      <c r="L140" s="357"/>
      <c r="M140" s="357"/>
      <c r="N140" s="357"/>
      <c r="O140" s="363"/>
      <c r="P140" s="357"/>
      <c r="Q140" s="364"/>
      <c r="R140" s="361"/>
      <c r="S140" s="365"/>
      <c r="T140" s="366"/>
      <c r="U140" s="367"/>
      <c r="V140" s="367"/>
      <c r="W140" s="367"/>
      <c r="X140" s="367"/>
      <c r="Y140" s="368"/>
      <c r="Z140" s="366"/>
      <c r="AA140" s="369"/>
      <c r="AB140" s="370"/>
      <c r="AC140" s="368"/>
      <c r="AD140" s="368"/>
      <c r="AE140" s="371"/>
    </row>
    <row r="141" spans="1:31" ht="12.95" customHeight="1" x14ac:dyDescent="0.35">
      <c r="A141" s="372"/>
      <c r="B141" s="373" t="s">
        <v>82</v>
      </c>
      <c r="C141" s="374" t="s">
        <v>140</v>
      </c>
      <c r="D141" s="374"/>
      <c r="E141" s="374"/>
      <c r="F141" s="374"/>
      <c r="G141" s="375"/>
      <c r="H141" s="376"/>
      <c r="I141" s="377"/>
      <c r="J141" s="378"/>
      <c r="K141" s="379"/>
      <c r="L141" s="374"/>
      <c r="M141" s="374"/>
      <c r="N141" s="374"/>
      <c r="O141" s="380">
        <v>12</v>
      </c>
      <c r="P141" s="374" t="s">
        <v>88</v>
      </c>
      <c r="Q141" s="381"/>
      <c r="R141" s="376">
        <f>O141*6500000</f>
        <v>78000000</v>
      </c>
      <c r="S141" s="365">
        <f t="shared" ref="S141" si="84">+R141/$R$184*100</f>
        <v>3.4834133699657417</v>
      </c>
      <c r="T141" s="382"/>
      <c r="U141" s="383"/>
      <c r="V141" s="383"/>
      <c r="W141" s="383"/>
      <c r="X141" s="383"/>
      <c r="Y141" s="384">
        <f>4268398+4098784+3827830</f>
        <v>12195012</v>
      </c>
      <c r="Z141" s="382">
        <f t="shared" ref="Z141" si="85">+Y141/R141*100</f>
        <v>15.634630769230769</v>
      </c>
      <c r="AA141" s="385">
        <f t="shared" ref="AA141" si="86">1/14*Z141</f>
        <v>1.1167593406593406</v>
      </c>
      <c r="AB141" s="382">
        <f t="shared" ref="AB141" si="87">AA141*S141/100</f>
        <v>3.8901344182868731E-2</v>
      </c>
      <c r="AC141" s="384"/>
      <c r="AD141" s="384">
        <f t="shared" ref="AD141" si="88">+R141-Y141</f>
        <v>65804988</v>
      </c>
      <c r="AE141" s="386"/>
    </row>
    <row r="142" spans="1:31" ht="12.95" customHeight="1" x14ac:dyDescent="0.35">
      <c r="A142" s="355">
        <v>522112</v>
      </c>
      <c r="B142" s="356" t="s">
        <v>259</v>
      </c>
      <c r="C142" s="357"/>
      <c r="D142" s="357"/>
      <c r="E142" s="357"/>
      <c r="F142" s="357"/>
      <c r="G142" s="375"/>
      <c r="H142" s="376"/>
      <c r="I142" s="377"/>
      <c r="J142" s="378"/>
      <c r="K142" s="379"/>
      <c r="L142" s="374"/>
      <c r="M142" s="374"/>
      <c r="N142" s="374"/>
      <c r="O142" s="380"/>
      <c r="P142" s="374"/>
      <c r="Q142" s="381"/>
      <c r="R142" s="376"/>
      <c r="S142" s="365"/>
      <c r="T142" s="382"/>
      <c r="U142" s="387"/>
      <c r="V142" s="387"/>
      <c r="W142" s="387"/>
      <c r="X142" s="387"/>
      <c r="Y142" s="384"/>
      <c r="Z142" s="382"/>
      <c r="AA142" s="385"/>
      <c r="AB142" s="388"/>
      <c r="AC142" s="384"/>
      <c r="AD142" s="384"/>
      <c r="AE142" s="386"/>
    </row>
    <row r="143" spans="1:31" ht="12.95" customHeight="1" x14ac:dyDescent="0.35">
      <c r="A143" s="372"/>
      <c r="B143" s="373" t="s">
        <v>82</v>
      </c>
      <c r="C143" s="374" t="s">
        <v>141</v>
      </c>
      <c r="D143" s="374"/>
      <c r="E143" s="374"/>
      <c r="F143" s="374"/>
      <c r="G143" s="375"/>
      <c r="H143" s="376"/>
      <c r="I143" s="377"/>
      <c r="J143" s="378"/>
      <c r="K143" s="379"/>
      <c r="L143" s="374"/>
      <c r="M143" s="374"/>
      <c r="N143" s="374"/>
      <c r="O143" s="380">
        <v>12</v>
      </c>
      <c r="P143" s="374" t="s">
        <v>88</v>
      </c>
      <c r="Q143" s="381"/>
      <c r="R143" s="376">
        <f>O143*4200000</f>
        <v>50400000</v>
      </c>
      <c r="S143" s="365">
        <f t="shared" ref="S143" si="89">+R143/$R$184*100</f>
        <v>2.250820946747095</v>
      </c>
      <c r="T143" s="382"/>
      <c r="U143" s="383"/>
      <c r="V143" s="383"/>
      <c r="W143" s="383"/>
      <c r="X143" s="383"/>
      <c r="Y143" s="384">
        <f>745555+670476+870009+481307+66055+500545+624803+38500</f>
        <v>3997250</v>
      </c>
      <c r="Z143" s="382">
        <f t="shared" ref="Z143" si="90">+Y143/R143*100</f>
        <v>7.9310515873015879</v>
      </c>
      <c r="AA143" s="385">
        <f t="shared" ref="AA143" si="91">1/14*Z143</f>
        <v>0.56650368480725621</v>
      </c>
      <c r="AB143" s="382">
        <f t="shared" ref="AB143" si="92">AA143*S143/100</f>
        <v>1.2750983601735863E-2</v>
      </c>
      <c r="AC143" s="384"/>
      <c r="AD143" s="384">
        <f t="shared" ref="AD143" si="93">+R143-Y143</f>
        <v>46402750</v>
      </c>
      <c r="AE143" s="386"/>
    </row>
    <row r="144" spans="1:31" ht="12.95" customHeight="1" x14ac:dyDescent="0.35">
      <c r="A144" s="355">
        <v>522113</v>
      </c>
      <c r="B144" s="356" t="s">
        <v>260</v>
      </c>
      <c r="C144" s="357"/>
      <c r="D144" s="357"/>
      <c r="E144" s="357"/>
      <c r="F144" s="357"/>
      <c r="G144" s="375"/>
      <c r="H144" s="376"/>
      <c r="I144" s="377"/>
      <c r="J144" s="378"/>
      <c r="K144" s="379"/>
      <c r="L144" s="374"/>
      <c r="M144" s="374"/>
      <c r="N144" s="374"/>
      <c r="O144" s="380"/>
      <c r="P144" s="374"/>
      <c r="Q144" s="381"/>
      <c r="R144" s="376"/>
      <c r="S144" s="365"/>
      <c r="T144" s="382"/>
      <c r="U144" s="387"/>
      <c r="V144" s="387"/>
      <c r="W144" s="387"/>
      <c r="X144" s="387"/>
      <c r="Y144" s="384"/>
      <c r="Z144" s="382"/>
      <c r="AA144" s="385"/>
      <c r="AB144" s="388"/>
      <c r="AC144" s="384"/>
      <c r="AD144" s="384"/>
      <c r="AE144" s="386"/>
    </row>
    <row r="145" spans="1:35" ht="12.95" customHeight="1" x14ac:dyDescent="0.35">
      <c r="A145" s="372"/>
      <c r="B145" s="373" t="s">
        <v>82</v>
      </c>
      <c r="C145" s="374" t="s">
        <v>142</v>
      </c>
      <c r="D145" s="374"/>
      <c r="E145" s="374"/>
      <c r="F145" s="374"/>
      <c r="G145" s="375"/>
      <c r="H145" s="376"/>
      <c r="I145" s="377"/>
      <c r="J145" s="378"/>
      <c r="K145" s="379"/>
      <c r="L145" s="374"/>
      <c r="M145" s="374"/>
      <c r="N145" s="374"/>
      <c r="O145" s="380">
        <v>12</v>
      </c>
      <c r="P145" s="374" t="s">
        <v>88</v>
      </c>
      <c r="Q145" s="381"/>
      <c r="R145" s="376">
        <f>O145*500000</f>
        <v>6000000</v>
      </c>
      <c r="S145" s="365">
        <f t="shared" ref="S145" si="94">+R145/$R$184*100</f>
        <v>0.26795487461274942</v>
      </c>
      <c r="T145" s="382"/>
      <c r="U145" s="383"/>
      <c r="V145" s="383"/>
      <c r="W145" s="383"/>
      <c r="X145" s="383"/>
      <c r="Y145" s="384">
        <f>200520+195750+161160</f>
        <v>557430</v>
      </c>
      <c r="Z145" s="382">
        <f t="shared" ref="Z145" si="95">+Y145/R145*100</f>
        <v>9.2904999999999998</v>
      </c>
      <c r="AA145" s="385">
        <f t="shared" ref="AA145" si="96">1/14*Z145</f>
        <v>0.66360714285714284</v>
      </c>
      <c r="AB145" s="382">
        <f t="shared" ref="AB145" si="97">AA145*S145/100</f>
        <v>1.7781676875641059E-3</v>
      </c>
      <c r="AC145" s="384"/>
      <c r="AD145" s="384">
        <f t="shared" ref="AD145" si="98">+R145-Y145</f>
        <v>5442570</v>
      </c>
      <c r="AE145" s="386"/>
    </row>
    <row r="146" spans="1:35" ht="12.95" customHeight="1" x14ac:dyDescent="0.35">
      <c r="A146" s="135"/>
      <c r="B146" s="223"/>
      <c r="C146" s="111"/>
      <c r="D146" s="111"/>
      <c r="E146" s="111"/>
      <c r="F146" s="111"/>
      <c r="G146" s="137"/>
      <c r="H146" s="107"/>
      <c r="I146" s="108"/>
      <c r="J146" s="109"/>
      <c r="K146" s="110"/>
      <c r="L146" s="111"/>
      <c r="M146" s="111"/>
      <c r="N146" s="111"/>
      <c r="O146" s="134"/>
      <c r="P146" s="111"/>
      <c r="Q146" s="207"/>
      <c r="R146" s="107"/>
      <c r="S146" s="113"/>
      <c r="T146" s="195"/>
      <c r="U146" s="196"/>
      <c r="V146" s="196"/>
      <c r="W146" s="196"/>
      <c r="X146" s="196"/>
      <c r="Y146" s="116"/>
      <c r="Z146" s="195"/>
      <c r="AA146" s="100"/>
      <c r="AB146" s="197"/>
      <c r="AC146" s="116"/>
      <c r="AD146" s="116"/>
      <c r="AE146" s="114"/>
    </row>
    <row r="147" spans="1:35" ht="12.95" customHeight="1" x14ac:dyDescent="0.35">
      <c r="A147" s="103" t="s">
        <v>143</v>
      </c>
      <c r="B147" s="448" t="s">
        <v>261</v>
      </c>
      <c r="C147" s="449"/>
      <c r="D147" s="449"/>
      <c r="E147" s="449"/>
      <c r="F147" s="449"/>
      <c r="G147" s="450"/>
      <c r="H147" s="107"/>
      <c r="I147" s="108"/>
      <c r="J147" s="109"/>
      <c r="K147" s="110"/>
      <c r="L147" s="111"/>
      <c r="M147" s="111"/>
      <c r="N147" s="111"/>
      <c r="O147" s="134"/>
      <c r="P147" s="137"/>
      <c r="Q147" s="207"/>
      <c r="R147" s="213"/>
      <c r="S147" s="113"/>
      <c r="T147" s="195"/>
      <c r="U147" s="198"/>
      <c r="V147" s="198"/>
      <c r="W147" s="198"/>
      <c r="X147" s="198"/>
      <c r="Y147" s="116"/>
      <c r="Z147" s="195"/>
      <c r="AA147" s="100"/>
      <c r="AB147" s="197"/>
      <c r="AC147" s="116"/>
      <c r="AD147" s="116"/>
      <c r="AE147" s="114"/>
    </row>
    <row r="148" spans="1:35" s="28" customFormat="1" ht="12.95" customHeight="1" x14ac:dyDescent="0.35">
      <c r="A148" s="210">
        <v>521111</v>
      </c>
      <c r="B148" s="452" t="s">
        <v>81</v>
      </c>
      <c r="C148" s="105"/>
      <c r="D148" s="105"/>
      <c r="E148" s="105"/>
      <c r="F148" s="105"/>
      <c r="G148" s="106"/>
      <c r="H148" s="188"/>
      <c r="I148" s="171"/>
      <c r="J148" s="170"/>
      <c r="K148" s="189"/>
      <c r="L148" s="105"/>
      <c r="M148" s="105"/>
      <c r="N148" s="105"/>
      <c r="O148" s="227"/>
      <c r="P148" s="141"/>
      <c r="Q148" s="228"/>
      <c r="R148" s="229"/>
      <c r="S148" s="113"/>
      <c r="T148" s="190"/>
      <c r="U148" s="191"/>
      <c r="V148" s="191"/>
      <c r="W148" s="191"/>
      <c r="X148" s="191"/>
      <c r="Y148" s="192"/>
      <c r="Z148" s="190"/>
      <c r="AA148" s="178"/>
      <c r="AB148" s="193"/>
      <c r="AC148" s="192"/>
      <c r="AD148" s="192"/>
      <c r="AE148" s="179"/>
    </row>
    <row r="149" spans="1:35" ht="12.95" customHeight="1" x14ac:dyDescent="0.35">
      <c r="A149" s="199"/>
      <c r="B149" s="230" t="s">
        <v>82</v>
      </c>
      <c r="C149" s="217" t="s">
        <v>144</v>
      </c>
      <c r="D149" s="217"/>
      <c r="E149" s="217"/>
      <c r="F149" s="217"/>
      <c r="G149" s="218"/>
      <c r="H149" s="107"/>
      <c r="I149" s="108"/>
      <c r="J149" s="109"/>
      <c r="K149" s="110"/>
      <c r="L149" s="111"/>
      <c r="M149" s="111"/>
      <c r="N149" s="111"/>
      <c r="O149" s="134">
        <v>39</v>
      </c>
      <c r="P149" s="111" t="s">
        <v>145</v>
      </c>
      <c r="Q149" s="207"/>
      <c r="R149" s="107">
        <f>O149*1800000</f>
        <v>70200000</v>
      </c>
      <c r="S149" s="85">
        <f t="shared" ref="S149:S154" si="99">+R149/$R$184*100</f>
        <v>3.1350720329691675</v>
      </c>
      <c r="T149" s="99"/>
      <c r="U149" s="87"/>
      <c r="V149" s="87"/>
      <c r="W149" s="87"/>
      <c r="X149" s="87"/>
      <c r="Y149" s="88">
        <f>5400000*3</f>
        <v>16200000</v>
      </c>
      <c r="Z149" s="99">
        <f t="shared" ref="Z149:Z154" si="100">+Y149/R149*100</f>
        <v>23.076923076923077</v>
      </c>
      <c r="AA149" s="100">
        <f t="shared" ref="AA149:AA153" si="101">1/14*Z149</f>
        <v>1.6483516483516483</v>
      </c>
      <c r="AB149" s="99">
        <f t="shared" ref="AB149:AB154" si="102">AA149*S149/100</f>
        <v>5.1677011532458801E-2</v>
      </c>
      <c r="AC149" s="88"/>
      <c r="AD149" s="88">
        <f t="shared" ref="AD149:AD154" si="103">+R149-Y149</f>
        <v>54000000</v>
      </c>
      <c r="AE149" s="86"/>
    </row>
    <row r="150" spans="1:35" ht="12.95" customHeight="1" x14ac:dyDescent="0.35">
      <c r="A150" s="135"/>
      <c r="B150" s="215" t="s">
        <v>82</v>
      </c>
      <c r="C150" s="216" t="s">
        <v>146</v>
      </c>
      <c r="D150" s="216"/>
      <c r="E150" s="217"/>
      <c r="F150" s="217"/>
      <c r="G150" s="218"/>
      <c r="H150" s="107"/>
      <c r="I150" s="108"/>
      <c r="J150" s="109"/>
      <c r="K150" s="110"/>
      <c r="L150" s="111"/>
      <c r="M150" s="111"/>
      <c r="N150" s="111"/>
      <c r="O150" s="134">
        <v>228</v>
      </c>
      <c r="P150" s="111" t="s">
        <v>147</v>
      </c>
      <c r="Q150" s="207"/>
      <c r="R150" s="107">
        <f>O150*30000</f>
        <v>6840000</v>
      </c>
      <c r="S150" s="85">
        <f t="shared" si="99"/>
        <v>0.30546855705853432</v>
      </c>
      <c r="T150" s="99"/>
      <c r="U150" s="87"/>
      <c r="V150" s="87"/>
      <c r="W150" s="87"/>
      <c r="X150" s="87"/>
      <c r="Y150" s="88">
        <f>570000+570000</f>
        <v>1140000</v>
      </c>
      <c r="Z150" s="99">
        <f t="shared" si="100"/>
        <v>16.666666666666664</v>
      </c>
      <c r="AA150" s="100">
        <f t="shared" si="101"/>
        <v>1.1904761904761902</v>
      </c>
      <c r="AB150" s="99">
        <f t="shared" si="102"/>
        <v>3.6365304411730272E-3</v>
      </c>
      <c r="AC150" s="88"/>
      <c r="AD150" s="88">
        <f t="shared" si="103"/>
        <v>5700000</v>
      </c>
      <c r="AE150" s="114"/>
    </row>
    <row r="151" spans="1:35" ht="12.95" customHeight="1" x14ac:dyDescent="0.35">
      <c r="A151" s="231"/>
      <c r="B151" s="194" t="s">
        <v>82</v>
      </c>
      <c r="C151" s="140" t="s">
        <v>148</v>
      </c>
      <c r="D151" s="140"/>
      <c r="E151" s="140"/>
      <c r="F151" s="140"/>
      <c r="G151" s="150"/>
      <c r="H151" s="107"/>
      <c r="I151" s="108"/>
      <c r="J151" s="109"/>
      <c r="K151" s="110"/>
      <c r="L151" s="111"/>
      <c r="M151" s="111"/>
      <c r="N151" s="111"/>
      <c r="O151" s="182">
        <v>22</v>
      </c>
      <c r="P151" s="140" t="s">
        <v>115</v>
      </c>
      <c r="Q151" s="183"/>
      <c r="R151" s="107">
        <f>O151*190000</f>
        <v>4180000</v>
      </c>
      <c r="S151" s="85">
        <f t="shared" si="99"/>
        <v>0.18667522931354874</v>
      </c>
      <c r="T151" s="99"/>
      <c r="U151" s="87"/>
      <c r="V151" s="87"/>
      <c r="W151" s="87"/>
      <c r="X151" s="87"/>
      <c r="Y151" s="88">
        <f>360000+180000+700000+600000+180000</f>
        <v>2020000</v>
      </c>
      <c r="Z151" s="99">
        <f t="shared" si="100"/>
        <v>48.325358851674643</v>
      </c>
      <c r="AA151" s="100">
        <f t="shared" si="101"/>
        <v>3.4518113465481886</v>
      </c>
      <c r="AB151" s="99">
        <f t="shared" si="102"/>
        <v>6.4436767466399258E-3</v>
      </c>
      <c r="AC151" s="88"/>
      <c r="AD151" s="88">
        <f t="shared" si="103"/>
        <v>2160000</v>
      </c>
      <c r="AE151" s="114"/>
    </row>
    <row r="152" spans="1:35" ht="12.95" customHeight="1" x14ac:dyDescent="0.35">
      <c r="A152" s="231"/>
      <c r="B152" s="194" t="s">
        <v>82</v>
      </c>
      <c r="C152" s="140" t="s">
        <v>266</v>
      </c>
      <c r="D152" s="140"/>
      <c r="E152" s="140"/>
      <c r="F152" s="140"/>
      <c r="G152" s="150"/>
      <c r="H152" s="107"/>
      <c r="I152" s="108"/>
      <c r="J152" s="109"/>
      <c r="K152" s="110"/>
      <c r="L152" s="111"/>
      <c r="M152" s="111"/>
      <c r="N152" s="111"/>
      <c r="O152" s="182">
        <v>1</v>
      </c>
      <c r="P152" s="140" t="s">
        <v>111</v>
      </c>
      <c r="Q152" s="183"/>
      <c r="R152" s="107">
        <f>O152*9020000</f>
        <v>9020000</v>
      </c>
      <c r="S152" s="85">
        <f t="shared" si="99"/>
        <v>0.40282549483449992</v>
      </c>
      <c r="T152" s="99"/>
      <c r="U152" s="87"/>
      <c r="V152" s="87"/>
      <c r="W152" s="87"/>
      <c r="X152" s="87"/>
      <c r="Y152" s="88">
        <f>750000*4</f>
        <v>3000000</v>
      </c>
      <c r="Z152" s="99">
        <f t="shared" si="100"/>
        <v>33.259423503325941</v>
      </c>
      <c r="AA152" s="100">
        <f t="shared" si="101"/>
        <v>2.375673107380424</v>
      </c>
      <c r="AB152" s="99">
        <f t="shared" si="102"/>
        <v>9.5698169504553326E-3</v>
      </c>
      <c r="AC152" s="88"/>
      <c r="AD152" s="88">
        <f t="shared" si="103"/>
        <v>6020000</v>
      </c>
      <c r="AE152" s="114"/>
    </row>
    <row r="153" spans="1:35" ht="12.95" customHeight="1" x14ac:dyDescent="0.35">
      <c r="A153" s="199"/>
      <c r="B153" s="215" t="s">
        <v>82</v>
      </c>
      <c r="C153" s="217" t="s">
        <v>149</v>
      </c>
      <c r="D153" s="217"/>
      <c r="E153" s="217"/>
      <c r="F153" s="217"/>
      <c r="G153" s="218"/>
      <c r="H153" s="107"/>
      <c r="I153" s="108"/>
      <c r="J153" s="109"/>
      <c r="K153" s="110"/>
      <c r="L153" s="111"/>
      <c r="M153" s="111"/>
      <c r="N153" s="111"/>
      <c r="O153" s="134">
        <v>12</v>
      </c>
      <c r="P153" s="111" t="s">
        <v>88</v>
      </c>
      <c r="Q153" s="207"/>
      <c r="R153" s="203">
        <f>O153*2200000</f>
        <v>26400000</v>
      </c>
      <c r="S153" s="85">
        <f t="shared" si="99"/>
        <v>1.1790014482960973</v>
      </c>
      <c r="T153" s="99"/>
      <c r="U153" s="87"/>
      <c r="V153" s="87"/>
      <c r="W153" s="87"/>
      <c r="X153" s="87"/>
      <c r="Y153" s="88">
        <f>1023700*3</f>
        <v>3071100</v>
      </c>
      <c r="Z153" s="99">
        <f t="shared" si="100"/>
        <v>11.632954545454545</v>
      </c>
      <c r="AA153" s="100">
        <f t="shared" si="101"/>
        <v>0.83092532467532465</v>
      </c>
      <c r="AB153" s="99">
        <f t="shared" si="102"/>
        <v>9.7966216121811271E-3</v>
      </c>
      <c r="AC153" s="88"/>
      <c r="AD153" s="88">
        <f t="shared" si="103"/>
        <v>23328900</v>
      </c>
      <c r="AE153" s="114"/>
    </row>
    <row r="154" spans="1:35" ht="12.95" customHeight="1" x14ac:dyDescent="0.35">
      <c r="A154" s="199"/>
      <c r="B154" s="296" t="s">
        <v>82</v>
      </c>
      <c r="C154" s="297" t="s">
        <v>265</v>
      </c>
      <c r="D154" s="297"/>
      <c r="E154" s="297"/>
      <c r="F154" s="297"/>
      <c r="G154" s="298"/>
      <c r="H154" s="77"/>
      <c r="I154" s="78"/>
      <c r="J154" s="79"/>
      <c r="K154" s="80"/>
      <c r="L154" s="81"/>
      <c r="M154" s="81"/>
      <c r="N154" s="81"/>
      <c r="O154" s="185">
        <v>1</v>
      </c>
      <c r="P154" s="81" t="s">
        <v>83</v>
      </c>
      <c r="Q154" s="144"/>
      <c r="R154" s="77">
        <f>O154*3792000</f>
        <v>3792000</v>
      </c>
      <c r="S154" s="85">
        <f t="shared" si="99"/>
        <v>0.16934748075525763</v>
      </c>
      <c r="T154" s="99"/>
      <c r="U154" s="87"/>
      <c r="V154" s="87"/>
      <c r="W154" s="87"/>
      <c r="X154" s="87"/>
      <c r="Y154" s="88">
        <v>0</v>
      </c>
      <c r="Z154" s="99">
        <f t="shared" si="100"/>
        <v>0</v>
      </c>
      <c r="AA154" s="100">
        <f t="shared" ref="AA154" si="104">Z154</f>
        <v>0</v>
      </c>
      <c r="AB154" s="99">
        <f t="shared" si="102"/>
        <v>0</v>
      </c>
      <c r="AC154" s="88"/>
      <c r="AD154" s="88">
        <f t="shared" si="103"/>
        <v>3792000</v>
      </c>
      <c r="AE154" s="86"/>
      <c r="AF154" s="90"/>
      <c r="AG154" s="90"/>
      <c r="AH154" s="90"/>
      <c r="AI154" s="90"/>
    </row>
    <row r="155" spans="1:35" ht="12.95" customHeight="1" x14ac:dyDescent="0.35">
      <c r="A155" s="135"/>
      <c r="B155" s="94"/>
      <c r="C155" s="105"/>
      <c r="D155" s="105"/>
      <c r="E155" s="111"/>
      <c r="F155" s="111"/>
      <c r="G155" s="137"/>
      <c r="H155" s="107"/>
      <c r="I155" s="108"/>
      <c r="J155" s="109"/>
      <c r="K155" s="110"/>
      <c r="L155" s="111"/>
      <c r="M155" s="111"/>
      <c r="N155" s="111"/>
      <c r="O155" s="134"/>
      <c r="P155" s="111"/>
      <c r="Q155" s="135"/>
      <c r="R155" s="107"/>
      <c r="S155" s="113"/>
      <c r="T155" s="114"/>
      <c r="U155" s="115"/>
      <c r="V155" s="115"/>
      <c r="W155" s="115"/>
      <c r="X155" s="115"/>
      <c r="Y155" s="116"/>
      <c r="Z155" s="114"/>
      <c r="AA155" s="114"/>
      <c r="AB155" s="114"/>
      <c r="AC155" s="116"/>
      <c r="AD155" s="116"/>
      <c r="AE155" s="114"/>
    </row>
    <row r="156" spans="1:35" ht="12.95" customHeight="1" x14ac:dyDescent="0.35">
      <c r="A156" s="210">
        <v>521114</v>
      </c>
      <c r="B156" s="452" t="s">
        <v>150</v>
      </c>
      <c r="C156" s="105"/>
      <c r="D156" s="105"/>
      <c r="E156" s="105"/>
      <c r="F156" s="105"/>
      <c r="G156" s="106"/>
      <c r="H156" s="188"/>
      <c r="I156" s="171"/>
      <c r="J156" s="170"/>
      <c r="K156" s="189"/>
      <c r="L156" s="105"/>
      <c r="M156" s="105"/>
      <c r="N156" s="105"/>
      <c r="O156" s="227"/>
      <c r="P156" s="141"/>
      <c r="Q156" s="228"/>
      <c r="R156" s="229"/>
      <c r="S156" s="113"/>
      <c r="T156" s="190"/>
      <c r="U156" s="191"/>
      <c r="V156" s="191"/>
      <c r="W156" s="191"/>
      <c r="X156" s="191"/>
      <c r="Y156" s="192"/>
      <c r="Z156" s="190"/>
      <c r="AA156" s="178"/>
      <c r="AB156" s="193"/>
      <c r="AC156" s="192"/>
      <c r="AD156" s="192"/>
      <c r="AE156" s="114"/>
    </row>
    <row r="157" spans="1:35" ht="12.95" customHeight="1" x14ac:dyDescent="0.35">
      <c r="A157" s="199"/>
      <c r="B157" s="230" t="s">
        <v>82</v>
      </c>
      <c r="C157" s="217" t="s">
        <v>151</v>
      </c>
      <c r="D157" s="217"/>
      <c r="E157" s="217"/>
      <c r="F157" s="217"/>
      <c r="G157" s="218"/>
      <c r="H157" s="107"/>
      <c r="I157" s="108"/>
      <c r="J157" s="109"/>
      <c r="K157" s="110"/>
      <c r="L157" s="111"/>
      <c r="M157" s="111"/>
      <c r="N157" s="111"/>
      <c r="O157" s="134">
        <v>12</v>
      </c>
      <c r="P157" s="111" t="s">
        <v>88</v>
      </c>
      <c r="Q157" s="207"/>
      <c r="R157" s="107">
        <f>O157*715000</f>
        <v>8580000</v>
      </c>
      <c r="S157" s="85">
        <f t="shared" ref="S157" si="105">+R157/$R$184*100</f>
        <v>0.38317547069623159</v>
      </c>
      <c r="T157" s="99"/>
      <c r="U157" s="87"/>
      <c r="V157" s="87"/>
      <c r="W157" s="87"/>
      <c r="X157" s="87"/>
      <c r="Y157" s="88">
        <f>715000*3</f>
        <v>2145000</v>
      </c>
      <c r="Z157" s="99">
        <f t="shared" ref="Z157" si="106">+Y157/R157*100</f>
        <v>25</v>
      </c>
      <c r="AA157" s="100">
        <f t="shared" ref="AA157" si="107">1/14*Z157</f>
        <v>1.7857142857142856</v>
      </c>
      <c r="AB157" s="99">
        <f t="shared" ref="AB157" si="108">AA157*S157/100</f>
        <v>6.8424191195755636E-3</v>
      </c>
      <c r="AC157" s="88"/>
      <c r="AD157" s="88">
        <f t="shared" ref="AD157" si="109">+R157-Y157</f>
        <v>6435000</v>
      </c>
      <c r="AE157" s="86"/>
    </row>
    <row r="158" spans="1:35" ht="12.95" customHeight="1" x14ac:dyDescent="0.35">
      <c r="A158" s="199"/>
      <c r="B158" s="215"/>
      <c r="C158" s="217"/>
      <c r="D158" s="217"/>
      <c r="E158" s="217"/>
      <c r="F158" s="217"/>
      <c r="G158" s="218"/>
      <c r="H158" s="107"/>
      <c r="I158" s="108"/>
      <c r="J158" s="109"/>
      <c r="K158" s="110"/>
      <c r="L158" s="111"/>
      <c r="M158" s="111"/>
      <c r="N158" s="111"/>
      <c r="O158" s="134"/>
      <c r="P158" s="111"/>
      <c r="Q158" s="207"/>
      <c r="R158" s="107"/>
      <c r="S158" s="113"/>
      <c r="T158" s="195"/>
      <c r="U158" s="198"/>
      <c r="V158" s="198"/>
      <c r="W158" s="198"/>
      <c r="X158" s="198"/>
      <c r="Y158" s="116"/>
      <c r="Z158" s="195"/>
      <c r="AA158" s="100"/>
      <c r="AB158" s="197"/>
      <c r="AC158" s="116"/>
      <c r="AD158" s="116"/>
      <c r="AE158" s="114"/>
    </row>
    <row r="159" spans="1:35" s="28" customFormat="1" ht="12.95" customHeight="1" x14ac:dyDescent="0.35">
      <c r="A159" s="210">
        <v>521115</v>
      </c>
      <c r="B159" s="452" t="s">
        <v>152</v>
      </c>
      <c r="C159" s="232"/>
      <c r="D159" s="232"/>
      <c r="E159" s="232"/>
      <c r="F159" s="232"/>
      <c r="G159" s="233"/>
      <c r="H159" s="107"/>
      <c r="I159" s="108"/>
      <c r="J159" s="109"/>
      <c r="K159" s="110"/>
      <c r="L159" s="111"/>
      <c r="M159" s="111"/>
      <c r="N159" s="111"/>
      <c r="O159" s="182"/>
      <c r="P159" s="140"/>
      <c r="Q159" s="228"/>
      <c r="R159" s="201"/>
      <c r="S159" s="113"/>
      <c r="T159" s="190"/>
      <c r="U159" s="191"/>
      <c r="V159" s="191"/>
      <c r="W159" s="191"/>
      <c r="X159" s="191"/>
      <c r="Y159" s="192"/>
      <c r="Z159" s="190"/>
      <c r="AA159" s="178"/>
      <c r="AB159" s="193"/>
      <c r="AC159" s="192"/>
      <c r="AD159" s="192"/>
      <c r="AE159" s="179"/>
    </row>
    <row r="160" spans="1:35" ht="12.95" customHeight="1" x14ac:dyDescent="0.35">
      <c r="A160" s="199"/>
      <c r="B160" s="104"/>
      <c r="C160" s="217" t="s">
        <v>153</v>
      </c>
      <c r="D160" s="217"/>
      <c r="E160" s="217"/>
      <c r="F160" s="217"/>
      <c r="G160" s="218"/>
      <c r="H160" s="107"/>
      <c r="I160" s="108"/>
      <c r="J160" s="109"/>
      <c r="K160" s="110"/>
      <c r="L160" s="111"/>
      <c r="M160" s="111"/>
      <c r="N160" s="111"/>
      <c r="O160" s="134"/>
      <c r="P160" s="111"/>
      <c r="Q160" s="207"/>
      <c r="R160" s="188"/>
      <c r="S160" s="113"/>
      <c r="T160" s="195"/>
      <c r="U160" s="198"/>
      <c r="V160" s="198"/>
      <c r="W160" s="198"/>
      <c r="X160" s="198"/>
      <c r="Y160" s="116"/>
      <c r="Z160" s="195"/>
      <c r="AA160" s="202"/>
      <c r="AB160" s="197"/>
      <c r="AC160" s="116"/>
      <c r="AD160" s="116"/>
      <c r="AE160" s="114"/>
    </row>
    <row r="161" spans="1:31" ht="12.95" customHeight="1" x14ac:dyDescent="0.35">
      <c r="A161" s="199"/>
      <c r="B161" s="234" t="s">
        <v>82</v>
      </c>
      <c r="C161" s="217" t="s">
        <v>154</v>
      </c>
      <c r="D161" s="111"/>
      <c r="E161" s="217"/>
      <c r="F161" s="217"/>
      <c r="G161" s="217"/>
      <c r="H161" s="107"/>
      <c r="I161" s="108"/>
      <c r="J161" s="109"/>
      <c r="K161" s="110"/>
      <c r="L161" s="111"/>
      <c r="M161" s="111"/>
      <c r="N161" s="111"/>
      <c r="O161" s="134">
        <v>12</v>
      </c>
      <c r="P161" s="111" t="s">
        <v>145</v>
      </c>
      <c r="Q161" s="207"/>
      <c r="R161" s="107">
        <f>O161*900000</f>
        <v>10800000</v>
      </c>
      <c r="S161" s="85">
        <f t="shared" ref="S161:S166" si="110">+R161/$R$184*100</f>
        <v>0.48231877430294889</v>
      </c>
      <c r="T161" s="99"/>
      <c r="U161" s="87"/>
      <c r="V161" s="87"/>
      <c r="W161" s="87"/>
      <c r="X161" s="87"/>
      <c r="Y161" s="88">
        <f>R161/12*3</f>
        <v>2700000</v>
      </c>
      <c r="Z161" s="99">
        <f t="shared" ref="Z161:Z166" si="111">+Y161/R161*100</f>
        <v>25</v>
      </c>
      <c r="AA161" s="100">
        <f t="shared" ref="AA161:AA166" si="112">1/14*Z161</f>
        <v>1.7857142857142856</v>
      </c>
      <c r="AB161" s="99">
        <f t="shared" ref="AB161:AB166" si="113">AA161*S161/100</f>
        <v>8.6128352554098002E-3</v>
      </c>
      <c r="AC161" s="88"/>
      <c r="AD161" s="88">
        <f t="shared" ref="AD161:AD166" si="114">+R161-Y161</f>
        <v>8100000</v>
      </c>
      <c r="AE161" s="86"/>
    </row>
    <row r="162" spans="1:31" ht="12.95" customHeight="1" x14ac:dyDescent="0.35">
      <c r="A162" s="199"/>
      <c r="B162" s="234" t="s">
        <v>82</v>
      </c>
      <c r="C162" s="217" t="s">
        <v>155</v>
      </c>
      <c r="D162" s="111"/>
      <c r="E162" s="217"/>
      <c r="F162" s="217"/>
      <c r="G162" s="217"/>
      <c r="H162" s="107"/>
      <c r="I162" s="108"/>
      <c r="J162" s="109"/>
      <c r="K162" s="110"/>
      <c r="L162" s="111"/>
      <c r="M162" s="111"/>
      <c r="N162" s="111"/>
      <c r="O162" s="134">
        <v>12</v>
      </c>
      <c r="P162" s="111" t="s">
        <v>145</v>
      </c>
      <c r="Q162" s="207"/>
      <c r="R162" s="107">
        <f>O162*700000</f>
        <v>8400000</v>
      </c>
      <c r="S162" s="85">
        <f t="shared" si="110"/>
        <v>0.37513682445784913</v>
      </c>
      <c r="T162" s="99"/>
      <c r="U162" s="87"/>
      <c r="V162" s="87"/>
      <c r="W162" s="87"/>
      <c r="X162" s="87"/>
      <c r="Y162" s="88">
        <f>R162/12*3</f>
        <v>2100000</v>
      </c>
      <c r="Z162" s="99">
        <f t="shared" si="111"/>
        <v>25</v>
      </c>
      <c r="AA162" s="100">
        <f t="shared" si="112"/>
        <v>1.7857142857142856</v>
      </c>
      <c r="AB162" s="99">
        <f t="shared" si="113"/>
        <v>6.6988718653187337E-3</v>
      </c>
      <c r="AC162" s="88"/>
      <c r="AD162" s="88">
        <f t="shared" si="114"/>
        <v>6300000</v>
      </c>
      <c r="AE162" s="114"/>
    </row>
    <row r="163" spans="1:31" ht="12.95" customHeight="1" x14ac:dyDescent="0.35">
      <c r="A163" s="199"/>
      <c r="B163" s="234" t="s">
        <v>82</v>
      </c>
      <c r="C163" s="111" t="s">
        <v>156</v>
      </c>
      <c r="D163" s="111"/>
      <c r="E163" s="217"/>
      <c r="F163" s="217"/>
      <c r="G163" s="217"/>
      <c r="H163" s="107"/>
      <c r="I163" s="108"/>
      <c r="J163" s="109"/>
      <c r="K163" s="110"/>
      <c r="L163" s="111"/>
      <c r="M163" s="111"/>
      <c r="N163" s="111"/>
      <c r="O163" s="134">
        <v>3</v>
      </c>
      <c r="P163" s="111" t="s">
        <v>145</v>
      </c>
      <c r="Q163" s="207"/>
      <c r="R163" s="107">
        <f>O163*400000</f>
        <v>1200000</v>
      </c>
      <c r="S163" s="85">
        <f t="shared" si="110"/>
        <v>5.3590974922549883E-2</v>
      </c>
      <c r="T163" s="99"/>
      <c r="U163" s="87"/>
      <c r="V163" s="87"/>
      <c r="W163" s="87"/>
      <c r="X163" s="87"/>
      <c r="Y163" s="88">
        <v>0</v>
      </c>
      <c r="Z163" s="99">
        <f t="shared" si="111"/>
        <v>0</v>
      </c>
      <c r="AA163" s="100">
        <f t="shared" si="112"/>
        <v>0</v>
      </c>
      <c r="AB163" s="99">
        <f t="shared" si="113"/>
        <v>0</v>
      </c>
      <c r="AC163" s="88"/>
      <c r="AD163" s="88">
        <f t="shared" si="114"/>
        <v>1200000</v>
      </c>
      <c r="AE163" s="114"/>
    </row>
    <row r="164" spans="1:31" ht="12.95" customHeight="1" x14ac:dyDescent="0.35">
      <c r="A164" s="199"/>
      <c r="B164" s="234" t="s">
        <v>82</v>
      </c>
      <c r="C164" s="217" t="s">
        <v>157</v>
      </c>
      <c r="D164" s="111"/>
      <c r="E164" s="217"/>
      <c r="F164" s="217"/>
      <c r="G164" s="217"/>
      <c r="H164" s="107"/>
      <c r="I164" s="108"/>
      <c r="J164" s="109"/>
      <c r="K164" s="110"/>
      <c r="L164" s="111"/>
      <c r="M164" s="111"/>
      <c r="N164" s="111"/>
      <c r="O164" s="134">
        <v>12</v>
      </c>
      <c r="P164" s="111" t="s">
        <v>145</v>
      </c>
      <c r="Q164" s="207"/>
      <c r="R164" s="107">
        <f>O164*700000</f>
        <v>8400000</v>
      </c>
      <c r="S164" s="85">
        <f t="shared" si="110"/>
        <v>0.37513682445784913</v>
      </c>
      <c r="T164" s="99"/>
      <c r="U164" s="87"/>
      <c r="V164" s="87"/>
      <c r="W164" s="87"/>
      <c r="X164" s="87"/>
      <c r="Y164" s="88">
        <f>R164/12*3</f>
        <v>2100000</v>
      </c>
      <c r="Z164" s="99">
        <f t="shared" si="111"/>
        <v>25</v>
      </c>
      <c r="AA164" s="100">
        <f t="shared" si="112"/>
        <v>1.7857142857142856</v>
      </c>
      <c r="AB164" s="99">
        <f t="shared" si="113"/>
        <v>6.6988718653187337E-3</v>
      </c>
      <c r="AC164" s="88"/>
      <c r="AD164" s="88">
        <f t="shared" si="114"/>
        <v>6300000</v>
      </c>
      <c r="AE164" s="114"/>
    </row>
    <row r="165" spans="1:31" ht="12.95" customHeight="1" x14ac:dyDescent="0.35">
      <c r="A165" s="199"/>
      <c r="B165" s="234" t="s">
        <v>82</v>
      </c>
      <c r="C165" s="217" t="s">
        <v>158</v>
      </c>
      <c r="D165" s="111"/>
      <c r="E165" s="217"/>
      <c r="F165" s="217"/>
      <c r="G165" s="217"/>
      <c r="H165" s="107"/>
      <c r="I165" s="108"/>
      <c r="J165" s="109"/>
      <c r="K165" s="110"/>
      <c r="L165" s="111"/>
      <c r="M165" s="111"/>
      <c r="N165" s="111"/>
      <c r="O165" s="134">
        <v>12</v>
      </c>
      <c r="P165" s="111" t="s">
        <v>145</v>
      </c>
      <c r="Q165" s="207"/>
      <c r="R165" s="107">
        <f>O165*650000</f>
        <v>7800000</v>
      </c>
      <c r="S165" s="85">
        <f t="shared" si="110"/>
        <v>0.34834133699657421</v>
      </c>
      <c r="T165" s="99"/>
      <c r="U165" s="87"/>
      <c r="V165" s="87"/>
      <c r="W165" s="87"/>
      <c r="X165" s="87"/>
      <c r="Y165" s="88">
        <f>R165/12*3</f>
        <v>1950000</v>
      </c>
      <c r="Z165" s="99">
        <f t="shared" si="111"/>
        <v>25</v>
      </c>
      <c r="AA165" s="100">
        <f t="shared" si="112"/>
        <v>1.7857142857142856</v>
      </c>
      <c r="AB165" s="99">
        <f t="shared" si="113"/>
        <v>6.2203810177959675E-3</v>
      </c>
      <c r="AC165" s="88"/>
      <c r="AD165" s="88">
        <f t="shared" si="114"/>
        <v>5850000</v>
      </c>
      <c r="AE165" s="114"/>
    </row>
    <row r="166" spans="1:31" ht="12.95" customHeight="1" x14ac:dyDescent="0.35">
      <c r="A166" s="199"/>
      <c r="B166" s="234" t="s">
        <v>82</v>
      </c>
      <c r="C166" s="217" t="s">
        <v>159</v>
      </c>
      <c r="D166" s="111"/>
      <c r="E166" s="217"/>
      <c r="F166" s="217"/>
      <c r="G166" s="218"/>
      <c r="H166" s="107"/>
      <c r="I166" s="108"/>
      <c r="J166" s="109"/>
      <c r="K166" s="110"/>
      <c r="L166" s="111"/>
      <c r="M166" s="111"/>
      <c r="N166" s="111"/>
      <c r="O166" s="134">
        <v>24</v>
      </c>
      <c r="P166" s="111" t="s">
        <v>145</v>
      </c>
      <c r="Q166" s="207"/>
      <c r="R166" s="107">
        <f>O166*300000</f>
        <v>7200000</v>
      </c>
      <c r="S166" s="85">
        <f t="shared" si="110"/>
        <v>0.32154584953529924</v>
      </c>
      <c r="T166" s="99"/>
      <c r="U166" s="87"/>
      <c r="V166" s="87"/>
      <c r="W166" s="87"/>
      <c r="X166" s="87"/>
      <c r="Y166" s="88">
        <f>R166/12*3</f>
        <v>1800000</v>
      </c>
      <c r="Z166" s="99">
        <f t="shared" si="111"/>
        <v>25</v>
      </c>
      <c r="AA166" s="100">
        <f t="shared" si="112"/>
        <v>1.7857142857142856</v>
      </c>
      <c r="AB166" s="99">
        <f t="shared" si="113"/>
        <v>5.7418901702732004E-3</v>
      </c>
      <c r="AC166" s="88"/>
      <c r="AD166" s="88">
        <f t="shared" si="114"/>
        <v>5400000</v>
      </c>
      <c r="AE166" s="114"/>
    </row>
    <row r="167" spans="1:31" ht="12.95" customHeight="1" x14ac:dyDescent="0.35">
      <c r="A167" s="132"/>
      <c r="B167" s="104"/>
      <c r="C167" s="511" t="s">
        <v>160</v>
      </c>
      <c r="D167" s="511"/>
      <c r="E167" s="511"/>
      <c r="F167" s="511"/>
      <c r="G167" s="512"/>
      <c r="H167" s="107"/>
      <c r="I167" s="108"/>
      <c r="J167" s="109"/>
      <c r="K167" s="110"/>
      <c r="L167" s="111"/>
      <c r="M167" s="111"/>
      <c r="N167" s="111"/>
      <c r="O167" s="112"/>
      <c r="P167" s="105"/>
      <c r="Q167" s="212"/>
      <c r="R167" s="188"/>
      <c r="S167" s="113"/>
      <c r="T167" s="195"/>
      <c r="U167" s="198"/>
      <c r="V167" s="198"/>
      <c r="W167" s="198"/>
      <c r="X167" s="198"/>
      <c r="Y167" s="116"/>
      <c r="Z167" s="195"/>
      <c r="AA167" s="100"/>
      <c r="AB167" s="197"/>
      <c r="AC167" s="116"/>
      <c r="AD167" s="116"/>
      <c r="AE167" s="114"/>
    </row>
    <row r="168" spans="1:31" ht="12.95" customHeight="1" x14ac:dyDescent="0.35">
      <c r="A168" s="199"/>
      <c r="B168" s="234" t="s">
        <v>82</v>
      </c>
      <c r="C168" s="217" t="s">
        <v>161</v>
      </c>
      <c r="D168" s="111"/>
      <c r="E168" s="217"/>
      <c r="F168" s="217"/>
      <c r="G168" s="217"/>
      <c r="H168" s="107"/>
      <c r="I168" s="108"/>
      <c r="J168" s="109"/>
      <c r="K168" s="110"/>
      <c r="L168" s="111"/>
      <c r="M168" s="111"/>
      <c r="N168" s="111"/>
      <c r="O168" s="134">
        <v>12</v>
      </c>
      <c r="P168" s="111" t="s">
        <v>145</v>
      </c>
      <c r="Q168" s="207"/>
      <c r="R168" s="107">
        <f>O168*350000</f>
        <v>4200000</v>
      </c>
      <c r="S168" s="85">
        <f t="shared" ref="S168:S171" si="115">+R168/$R$184*100</f>
        <v>0.18756841222892456</v>
      </c>
      <c r="T168" s="99"/>
      <c r="U168" s="87"/>
      <c r="V168" s="87"/>
      <c r="W168" s="87"/>
      <c r="X168" s="87"/>
      <c r="Y168" s="88">
        <f>R168/12*3</f>
        <v>1050000</v>
      </c>
      <c r="Z168" s="99">
        <f t="shared" ref="Z168:Z171" si="116">+Y168/R168*100</f>
        <v>25</v>
      </c>
      <c r="AA168" s="100">
        <f t="shared" ref="AA168:AA171" si="117">1/14*Z168</f>
        <v>1.7857142857142856</v>
      </c>
      <c r="AB168" s="99">
        <f t="shared" ref="AB168:AB171" si="118">AA168*S168/100</f>
        <v>3.3494359326593668E-3</v>
      </c>
      <c r="AC168" s="88"/>
      <c r="AD168" s="88">
        <f t="shared" ref="AD168:AD171" si="119">+R168-Y168</f>
        <v>3150000</v>
      </c>
      <c r="AE168" s="86"/>
    </row>
    <row r="169" spans="1:31" ht="12.95" customHeight="1" x14ac:dyDescent="0.35">
      <c r="A169" s="199"/>
      <c r="B169" s="234" t="s">
        <v>82</v>
      </c>
      <c r="C169" s="217" t="s">
        <v>162</v>
      </c>
      <c r="D169" s="111"/>
      <c r="E169" s="217"/>
      <c r="F169" s="217"/>
      <c r="G169" s="217"/>
      <c r="H169" s="107"/>
      <c r="I169" s="108"/>
      <c r="J169" s="109"/>
      <c r="K169" s="110"/>
      <c r="L169" s="111"/>
      <c r="M169" s="111"/>
      <c r="N169" s="111"/>
      <c r="O169" s="134">
        <v>12</v>
      </c>
      <c r="P169" s="111" t="s">
        <v>145</v>
      </c>
      <c r="Q169" s="207"/>
      <c r="R169" s="107">
        <f>O169*300000</f>
        <v>3600000</v>
      </c>
      <c r="S169" s="85">
        <f t="shared" si="115"/>
        <v>0.16077292476764962</v>
      </c>
      <c r="T169" s="99"/>
      <c r="U169" s="87"/>
      <c r="V169" s="87"/>
      <c r="W169" s="87"/>
      <c r="X169" s="87"/>
      <c r="Y169" s="88">
        <f>R169/12*3</f>
        <v>900000</v>
      </c>
      <c r="Z169" s="99">
        <f t="shared" si="116"/>
        <v>25</v>
      </c>
      <c r="AA169" s="100">
        <f t="shared" si="117"/>
        <v>1.7857142857142856</v>
      </c>
      <c r="AB169" s="99">
        <f t="shared" si="118"/>
        <v>2.8709450851366002E-3</v>
      </c>
      <c r="AC169" s="88"/>
      <c r="AD169" s="88">
        <f t="shared" si="119"/>
        <v>2700000</v>
      </c>
      <c r="AE169" s="114"/>
    </row>
    <row r="170" spans="1:31" ht="12.95" customHeight="1" x14ac:dyDescent="0.35">
      <c r="A170" s="199"/>
      <c r="B170" s="234" t="s">
        <v>82</v>
      </c>
      <c r="C170" s="217" t="s">
        <v>163</v>
      </c>
      <c r="D170" s="111"/>
      <c r="E170" s="217"/>
      <c r="F170" s="217"/>
      <c r="G170" s="217"/>
      <c r="H170" s="107"/>
      <c r="I170" s="108"/>
      <c r="J170" s="109"/>
      <c r="K170" s="110"/>
      <c r="L170" s="111"/>
      <c r="M170" s="111"/>
      <c r="N170" s="111"/>
      <c r="O170" s="134">
        <v>12</v>
      </c>
      <c r="P170" s="111" t="s">
        <v>145</v>
      </c>
      <c r="Q170" s="207"/>
      <c r="R170" s="107">
        <f>O170*250000</f>
        <v>3000000</v>
      </c>
      <c r="S170" s="85">
        <f t="shared" si="115"/>
        <v>0.13397743730637471</v>
      </c>
      <c r="T170" s="99"/>
      <c r="U170" s="87"/>
      <c r="V170" s="87"/>
      <c r="W170" s="87"/>
      <c r="X170" s="87"/>
      <c r="Y170" s="88">
        <f>R170/12*3</f>
        <v>750000</v>
      </c>
      <c r="Z170" s="99">
        <f t="shared" si="116"/>
        <v>25</v>
      </c>
      <c r="AA170" s="100">
        <f t="shared" si="117"/>
        <v>1.7857142857142856</v>
      </c>
      <c r="AB170" s="99">
        <f t="shared" si="118"/>
        <v>2.392454237613834E-3</v>
      </c>
      <c r="AC170" s="88"/>
      <c r="AD170" s="88">
        <f t="shared" si="119"/>
        <v>2250000</v>
      </c>
      <c r="AE170" s="114"/>
    </row>
    <row r="171" spans="1:31" ht="12.95" customHeight="1" x14ac:dyDescent="0.35">
      <c r="A171" s="199"/>
      <c r="B171" s="234" t="s">
        <v>82</v>
      </c>
      <c r="C171" s="217" t="s">
        <v>164</v>
      </c>
      <c r="D171" s="111"/>
      <c r="E171" s="217"/>
      <c r="F171" s="217"/>
      <c r="G171" s="217"/>
      <c r="H171" s="107"/>
      <c r="I171" s="108"/>
      <c r="J171" s="109"/>
      <c r="K171" s="110"/>
      <c r="L171" s="111"/>
      <c r="M171" s="111"/>
      <c r="N171" s="111"/>
      <c r="O171" s="134">
        <v>48</v>
      </c>
      <c r="P171" s="111" t="s">
        <v>145</v>
      </c>
      <c r="Q171" s="207"/>
      <c r="R171" s="107">
        <f>O171*200000</f>
        <v>9600000</v>
      </c>
      <c r="S171" s="85">
        <f t="shared" si="115"/>
        <v>0.42872779938039907</v>
      </c>
      <c r="T171" s="99"/>
      <c r="U171" s="87"/>
      <c r="V171" s="87"/>
      <c r="W171" s="87"/>
      <c r="X171" s="87"/>
      <c r="Y171" s="88">
        <f>R171/12*3</f>
        <v>2400000</v>
      </c>
      <c r="Z171" s="99">
        <f t="shared" si="116"/>
        <v>25</v>
      </c>
      <c r="AA171" s="100">
        <f t="shared" si="117"/>
        <v>1.7857142857142856</v>
      </c>
      <c r="AB171" s="99">
        <f t="shared" si="118"/>
        <v>7.6558535603642687E-3</v>
      </c>
      <c r="AC171" s="88"/>
      <c r="AD171" s="88">
        <f t="shared" si="119"/>
        <v>7200000</v>
      </c>
      <c r="AE171" s="114"/>
    </row>
    <row r="172" spans="1:31" ht="12.95" customHeight="1" x14ac:dyDescent="0.35">
      <c r="A172" s="199"/>
      <c r="B172" s="234"/>
      <c r="C172" s="217"/>
      <c r="D172" s="111"/>
      <c r="E172" s="217"/>
      <c r="F172" s="217"/>
      <c r="G172" s="217"/>
      <c r="H172" s="107"/>
      <c r="I172" s="108"/>
      <c r="J172" s="109"/>
      <c r="K172" s="110"/>
      <c r="L172" s="111"/>
      <c r="M172" s="111"/>
      <c r="N172" s="111"/>
      <c r="O172" s="134"/>
      <c r="P172" s="111"/>
      <c r="Q172" s="207"/>
      <c r="R172" s="107"/>
      <c r="S172" s="113"/>
      <c r="T172" s="195"/>
      <c r="U172" s="196"/>
      <c r="V172" s="196"/>
      <c r="W172" s="196"/>
      <c r="X172" s="196"/>
      <c r="Y172" s="116"/>
      <c r="Z172" s="195"/>
      <c r="AA172" s="100"/>
      <c r="AB172" s="197"/>
      <c r="AC172" s="116"/>
      <c r="AD172" s="116"/>
      <c r="AE172" s="114"/>
    </row>
    <row r="173" spans="1:31" ht="12.95" customHeight="1" x14ac:dyDescent="0.35">
      <c r="A173" s="219">
        <v>521219</v>
      </c>
      <c r="B173" s="211" t="s">
        <v>165</v>
      </c>
      <c r="C173" s="105"/>
      <c r="D173" s="105"/>
      <c r="E173" s="105"/>
      <c r="F173" s="105"/>
      <c r="G173" s="106"/>
      <c r="H173" s="188"/>
      <c r="I173" s="171"/>
      <c r="J173" s="170"/>
      <c r="K173" s="189"/>
      <c r="L173" s="105"/>
      <c r="M173" s="105"/>
      <c r="N173" s="105"/>
      <c r="O173" s="112"/>
      <c r="P173" s="105"/>
      <c r="Q173" s="212"/>
      <c r="R173" s="188"/>
      <c r="S173" s="113"/>
      <c r="T173" s="190"/>
      <c r="U173" s="191"/>
      <c r="V173" s="191"/>
      <c r="W173" s="191"/>
      <c r="X173" s="191"/>
      <c r="Y173" s="192"/>
      <c r="Z173" s="190"/>
      <c r="AA173" s="100"/>
      <c r="AB173" s="193"/>
      <c r="AC173" s="192"/>
      <c r="AD173" s="192"/>
      <c r="AE173" s="179"/>
    </row>
    <row r="174" spans="1:31" ht="12.95" customHeight="1" x14ac:dyDescent="0.35">
      <c r="A174" s="199"/>
      <c r="B174" s="299" t="s">
        <v>82</v>
      </c>
      <c r="C174" s="300" t="s">
        <v>166</v>
      </c>
      <c r="D174" s="81"/>
      <c r="E174" s="81"/>
      <c r="F174" s="81"/>
      <c r="G174" s="289"/>
      <c r="H174" s="77"/>
      <c r="I174" s="78"/>
      <c r="J174" s="79"/>
      <c r="K174" s="80"/>
      <c r="L174" s="81"/>
      <c r="M174" s="81"/>
      <c r="N174" s="81"/>
      <c r="O174" s="185">
        <v>1</v>
      </c>
      <c r="P174" s="81" t="s">
        <v>83</v>
      </c>
      <c r="Q174" s="144"/>
      <c r="R174" s="77">
        <f>O174*4500000</f>
        <v>4500000</v>
      </c>
      <c r="S174" s="85">
        <f t="shared" ref="S174:S175" si="120">+R174/$R$184*100</f>
        <v>0.20096615595956205</v>
      </c>
      <c r="T174" s="99"/>
      <c r="U174" s="87"/>
      <c r="V174" s="87"/>
      <c r="W174" s="87"/>
      <c r="X174" s="87"/>
      <c r="Y174" s="88">
        <v>0</v>
      </c>
      <c r="Z174" s="99">
        <f t="shared" ref="Z174:Z175" si="121">+Y174/R174*100</f>
        <v>0</v>
      </c>
      <c r="AA174" s="100">
        <f t="shared" ref="AA174:AA175" si="122">Z174</f>
        <v>0</v>
      </c>
      <c r="AB174" s="99">
        <f t="shared" ref="AB174:AB175" si="123">AA174*S174/100</f>
        <v>0</v>
      </c>
      <c r="AC174" s="88"/>
      <c r="AD174" s="88">
        <f t="shared" ref="AD174:AD175" si="124">+R174-Y174</f>
        <v>4500000</v>
      </c>
      <c r="AE174" s="86"/>
    </row>
    <row r="175" spans="1:31" ht="12.95" customHeight="1" x14ac:dyDescent="0.35">
      <c r="A175" s="199"/>
      <c r="B175" s="235" t="s">
        <v>82</v>
      </c>
      <c r="C175" s="216" t="s">
        <v>167</v>
      </c>
      <c r="D175" s="111"/>
      <c r="E175" s="111"/>
      <c r="F175" s="111"/>
      <c r="G175" s="137"/>
      <c r="H175" s="107"/>
      <c r="I175" s="108"/>
      <c r="J175" s="109"/>
      <c r="K175" s="110"/>
      <c r="L175" s="111"/>
      <c r="M175" s="111"/>
      <c r="N175" s="111"/>
      <c r="O175" s="134">
        <v>2</v>
      </c>
      <c r="P175" s="111" t="s">
        <v>147</v>
      </c>
      <c r="Q175" s="207"/>
      <c r="R175" s="107">
        <f>O175*3000000</f>
        <v>6000000</v>
      </c>
      <c r="S175" s="85">
        <f t="shared" si="120"/>
        <v>0.26795487461274942</v>
      </c>
      <c r="T175" s="99"/>
      <c r="U175" s="87"/>
      <c r="V175" s="87"/>
      <c r="W175" s="87"/>
      <c r="X175" s="87"/>
      <c r="Y175" s="88">
        <v>0</v>
      </c>
      <c r="Z175" s="99">
        <f t="shared" si="121"/>
        <v>0</v>
      </c>
      <c r="AA175" s="100">
        <f t="shared" si="122"/>
        <v>0</v>
      </c>
      <c r="AB175" s="99">
        <f t="shared" si="123"/>
        <v>0</v>
      </c>
      <c r="AC175" s="88"/>
      <c r="AD175" s="88">
        <f t="shared" si="124"/>
        <v>6000000</v>
      </c>
      <c r="AE175" s="114"/>
    </row>
    <row r="176" spans="1:31" ht="12.95" customHeight="1" x14ac:dyDescent="0.35">
      <c r="A176" s="199"/>
      <c r="B176" s="235"/>
      <c r="C176" s="216"/>
      <c r="D176" s="111"/>
      <c r="E176" s="111"/>
      <c r="F176" s="111"/>
      <c r="G176" s="137"/>
      <c r="H176" s="107"/>
      <c r="I176" s="108"/>
      <c r="J176" s="109"/>
      <c r="K176" s="110"/>
      <c r="L176" s="111"/>
      <c r="M176" s="111"/>
      <c r="N176" s="111"/>
      <c r="O176" s="134"/>
      <c r="P176" s="111"/>
      <c r="Q176" s="207"/>
      <c r="R176" s="107"/>
      <c r="S176" s="113"/>
      <c r="T176" s="195"/>
      <c r="U176" s="196"/>
      <c r="V176" s="196"/>
      <c r="W176" s="196"/>
      <c r="X176" s="196"/>
      <c r="Y176" s="116"/>
      <c r="Z176" s="195"/>
      <c r="AA176" s="100"/>
      <c r="AB176" s="197"/>
      <c r="AC176" s="116"/>
      <c r="AD176" s="116"/>
      <c r="AE176" s="114"/>
    </row>
    <row r="177" spans="1:32" ht="12.95" customHeight="1" x14ac:dyDescent="0.35">
      <c r="A177" s="219">
        <v>522141</v>
      </c>
      <c r="B177" s="513" t="s">
        <v>168</v>
      </c>
      <c r="C177" s="514"/>
      <c r="D177" s="514"/>
      <c r="E177" s="514"/>
      <c r="F177" s="514"/>
      <c r="G177" s="515"/>
      <c r="H177" s="107"/>
      <c r="I177" s="108"/>
      <c r="J177" s="109"/>
      <c r="K177" s="110"/>
      <c r="L177" s="111"/>
      <c r="M177" s="111"/>
      <c r="N177" s="111"/>
      <c r="O177" s="134"/>
      <c r="P177" s="111"/>
      <c r="Q177" s="207"/>
      <c r="R177" s="107"/>
      <c r="S177" s="113"/>
      <c r="T177" s="195"/>
      <c r="U177" s="196"/>
      <c r="V177" s="196"/>
      <c r="W177" s="196"/>
      <c r="X177" s="196"/>
      <c r="Y177" s="116"/>
      <c r="Z177" s="195"/>
      <c r="AA177" s="100"/>
      <c r="AB177" s="197"/>
      <c r="AC177" s="116"/>
      <c r="AD177" s="116"/>
      <c r="AE177" s="114"/>
    </row>
    <row r="178" spans="1:32" ht="12.95" customHeight="1" x14ac:dyDescent="0.35">
      <c r="A178" s="199"/>
      <c r="B178" s="235" t="s">
        <v>82</v>
      </c>
      <c r="C178" s="216" t="s">
        <v>169</v>
      </c>
      <c r="D178" s="111"/>
      <c r="E178" s="111"/>
      <c r="F178" s="111"/>
      <c r="G178" s="137"/>
      <c r="H178" s="107"/>
      <c r="I178" s="108"/>
      <c r="J178" s="109"/>
      <c r="K178" s="110"/>
      <c r="L178" s="111"/>
      <c r="M178" s="111"/>
      <c r="N178" s="111"/>
      <c r="O178" s="134">
        <v>1</v>
      </c>
      <c r="P178" s="111" t="s">
        <v>83</v>
      </c>
      <c r="Q178" s="207"/>
      <c r="R178" s="107">
        <f>O178*4000000</f>
        <v>4000000</v>
      </c>
      <c r="S178" s="85">
        <f t="shared" ref="S178" si="125">+R178/$R$184*100</f>
        <v>0.17863658307516625</v>
      </c>
      <c r="T178" s="99"/>
      <c r="U178" s="87"/>
      <c r="V178" s="87"/>
      <c r="W178" s="87"/>
      <c r="X178" s="87"/>
      <c r="Y178" s="88">
        <v>0</v>
      </c>
      <c r="Z178" s="99">
        <f t="shared" ref="Z178" si="126">+Y178/R178*100</f>
        <v>0</v>
      </c>
      <c r="AA178" s="100">
        <f t="shared" ref="AA178" si="127">Z178</f>
        <v>0</v>
      </c>
      <c r="AB178" s="99">
        <f t="shared" ref="AB178" si="128">AA178*S178/100</f>
        <v>0</v>
      </c>
      <c r="AC178" s="88"/>
      <c r="AD178" s="88">
        <f t="shared" ref="AD178" si="129">+R178-Y178</f>
        <v>4000000</v>
      </c>
      <c r="AE178" s="86"/>
    </row>
    <row r="179" spans="1:32" ht="12.95" customHeight="1" x14ac:dyDescent="0.35">
      <c r="A179" s="199"/>
      <c r="B179" s="235"/>
      <c r="C179" s="216"/>
      <c r="D179" s="111"/>
      <c r="E179" s="111"/>
      <c r="F179" s="111"/>
      <c r="G179" s="137"/>
      <c r="H179" s="107"/>
      <c r="I179" s="108"/>
      <c r="J179" s="109"/>
      <c r="K179" s="110"/>
      <c r="L179" s="111"/>
      <c r="M179" s="111"/>
      <c r="N179" s="111"/>
      <c r="O179" s="134"/>
      <c r="P179" s="111"/>
      <c r="Q179" s="207"/>
      <c r="R179" s="107"/>
      <c r="S179" s="113"/>
      <c r="T179" s="195"/>
      <c r="U179" s="196"/>
      <c r="V179" s="196"/>
      <c r="W179" s="196"/>
      <c r="X179" s="196"/>
      <c r="Y179" s="116"/>
      <c r="Z179" s="195"/>
      <c r="AA179" s="100"/>
      <c r="AB179" s="197"/>
      <c r="AC179" s="116"/>
      <c r="AD179" s="116"/>
      <c r="AE179" s="114"/>
    </row>
    <row r="180" spans="1:32" ht="12.95" customHeight="1" x14ac:dyDescent="0.35">
      <c r="A180" s="199">
        <v>524111</v>
      </c>
      <c r="B180" s="301" t="s">
        <v>85</v>
      </c>
      <c r="C180" s="216"/>
      <c r="D180" s="111"/>
      <c r="E180" s="111"/>
      <c r="F180" s="111"/>
      <c r="G180" s="137"/>
      <c r="H180" s="107"/>
      <c r="I180" s="108"/>
      <c r="J180" s="109"/>
      <c r="K180" s="110"/>
      <c r="L180" s="111"/>
      <c r="M180" s="111"/>
      <c r="N180" s="111"/>
      <c r="O180" s="134"/>
      <c r="P180" s="111"/>
      <c r="Q180" s="207"/>
      <c r="R180" s="107"/>
      <c r="S180" s="113"/>
      <c r="T180" s="195"/>
      <c r="U180" s="196"/>
      <c r="V180" s="196"/>
      <c r="W180" s="196"/>
      <c r="X180" s="196"/>
      <c r="Y180" s="116"/>
      <c r="Z180" s="195"/>
      <c r="AA180" s="100"/>
      <c r="AB180" s="197"/>
      <c r="AC180" s="116"/>
      <c r="AD180" s="116"/>
      <c r="AE180" s="114"/>
    </row>
    <row r="181" spans="1:32" ht="12.95" customHeight="1" x14ac:dyDescent="0.35">
      <c r="A181" s="199"/>
      <c r="B181" s="230" t="s">
        <v>82</v>
      </c>
      <c r="C181" s="217" t="s">
        <v>102</v>
      </c>
      <c r="D181" s="217"/>
      <c r="E181" s="217"/>
      <c r="F181" s="217"/>
      <c r="G181" s="218"/>
      <c r="H181" s="107"/>
      <c r="I181" s="108"/>
      <c r="J181" s="109"/>
      <c r="K181" s="110"/>
      <c r="L181" s="111"/>
      <c r="M181" s="111"/>
      <c r="N181" s="111"/>
      <c r="O181" s="134">
        <v>1</v>
      </c>
      <c r="P181" s="111" t="s">
        <v>83</v>
      </c>
      <c r="Q181" s="207"/>
      <c r="R181" s="107">
        <f>O181*40500000</f>
        <v>40500000</v>
      </c>
      <c r="S181" s="85">
        <f t="shared" ref="S181" si="130">+R181/$R$184*100</f>
        <v>1.8086954036360583</v>
      </c>
      <c r="T181" s="99"/>
      <c r="U181" s="87"/>
      <c r="V181" s="87"/>
      <c r="W181" s="87"/>
      <c r="X181" s="87"/>
      <c r="Y181" s="88">
        <f>480000+240000+120000+4605000+1550000+120000+120000+120000+120000+1620000</f>
        <v>9095000</v>
      </c>
      <c r="Z181" s="99">
        <f t="shared" ref="Z181" si="131">+Y181/R181*100</f>
        <v>22.456790123456791</v>
      </c>
      <c r="AA181" s="100">
        <f>1/12*Z181</f>
        <v>1.8713991769547325</v>
      </c>
      <c r="AB181" s="99">
        <f t="shared" ref="AB181" si="132">AA181*S181/100</f>
        <v>3.3847910897263273E-2</v>
      </c>
      <c r="AC181" s="88"/>
      <c r="AD181" s="88">
        <f t="shared" ref="AD181" si="133">+R181-Y181</f>
        <v>31405000</v>
      </c>
      <c r="AE181" s="86"/>
    </row>
    <row r="182" spans="1:32" ht="12.95" customHeight="1" x14ac:dyDescent="0.35">
      <c r="A182" s="302"/>
      <c r="B182" s="303"/>
      <c r="C182" s="304"/>
      <c r="D182" s="278"/>
      <c r="E182" s="278"/>
      <c r="F182" s="278"/>
      <c r="G182" s="101"/>
      <c r="H182" s="173"/>
      <c r="I182" s="290"/>
      <c r="J182" s="291"/>
      <c r="K182" s="292"/>
      <c r="L182" s="278"/>
      <c r="M182" s="278"/>
      <c r="N182" s="278"/>
      <c r="O182" s="293"/>
      <c r="P182" s="278"/>
      <c r="Q182" s="294"/>
      <c r="R182" s="173"/>
      <c r="S182" s="305"/>
      <c r="T182" s="175"/>
      <c r="U182" s="306"/>
      <c r="V182" s="306"/>
      <c r="W182" s="306"/>
      <c r="X182" s="306"/>
      <c r="Y182" s="177"/>
      <c r="Z182" s="175"/>
      <c r="AA182" s="178"/>
      <c r="AB182" s="295"/>
      <c r="AC182" s="177"/>
      <c r="AD182" s="177"/>
      <c r="AE182" s="174"/>
      <c r="AF182" s="90"/>
    </row>
    <row r="183" spans="1:32" ht="12.95" customHeight="1" x14ac:dyDescent="0.35">
      <c r="A183" s="199"/>
      <c r="B183" s="451"/>
      <c r="C183" s="217"/>
      <c r="D183" s="111"/>
      <c r="E183" s="217"/>
      <c r="F183" s="217"/>
      <c r="G183" s="217"/>
      <c r="H183" s="107"/>
      <c r="I183" s="108"/>
      <c r="J183" s="109"/>
      <c r="K183" s="110"/>
      <c r="L183" s="111"/>
      <c r="M183" s="111"/>
      <c r="N183" s="111"/>
      <c r="O183" s="134"/>
      <c r="P183" s="111"/>
      <c r="Q183" s="207"/>
      <c r="R183" s="107"/>
      <c r="S183" s="113"/>
      <c r="T183" s="195"/>
      <c r="U183" s="196"/>
      <c r="V183" s="196"/>
      <c r="W183" s="196"/>
      <c r="X183" s="196"/>
      <c r="Y183" s="116"/>
      <c r="Z183" s="195"/>
      <c r="AA183" s="202"/>
      <c r="AB183" s="197"/>
      <c r="AC183" s="116"/>
      <c r="AD183" s="116"/>
      <c r="AE183" s="114"/>
    </row>
    <row r="184" spans="1:32" s="28" customFormat="1" ht="14.25" customHeight="1" thickBot="1" x14ac:dyDescent="0.4">
      <c r="A184" s="238"/>
      <c r="B184" s="239" t="s">
        <v>171</v>
      </c>
      <c r="C184" s="240"/>
      <c r="D184" s="241"/>
      <c r="E184" s="241"/>
      <c r="F184" s="241"/>
      <c r="G184" s="242"/>
      <c r="H184" s="243"/>
      <c r="I184" s="244"/>
      <c r="J184" s="245"/>
      <c r="K184" s="246"/>
      <c r="L184" s="241"/>
      <c r="M184" s="241"/>
      <c r="N184" s="241"/>
      <c r="O184" s="247"/>
      <c r="P184" s="248"/>
      <c r="Q184" s="249"/>
      <c r="R184" s="250">
        <f>SUM(R17:R183)</f>
        <v>2239183000</v>
      </c>
      <c r="S184" s="251">
        <f>SUM(S26:S183)</f>
        <v>100.00000000000001</v>
      </c>
      <c r="T184" s="251">
        <f>SUM(T66:T183)</f>
        <v>0</v>
      </c>
      <c r="U184" s="252" t="s">
        <v>82</v>
      </c>
      <c r="V184" s="252" t="s">
        <v>82</v>
      </c>
      <c r="W184" s="252" t="s">
        <v>82</v>
      </c>
      <c r="X184" s="252" t="s">
        <v>82</v>
      </c>
      <c r="Y184" s="253">
        <f>SUM(Y17:Y183)</f>
        <v>363459179</v>
      </c>
      <c r="Z184" s="251">
        <f>+Y184/R184*100</f>
        <v>16.231776455966308</v>
      </c>
      <c r="AA184" s="254">
        <f>SUM(AA17:AA183)</f>
        <v>151.38263974143902</v>
      </c>
      <c r="AB184" s="254">
        <f>SUM(AB17:AB183)</f>
        <v>3.8496196391188002</v>
      </c>
      <c r="AC184" s="253">
        <f>SUM(AC17:AC183)</f>
        <v>0</v>
      </c>
      <c r="AD184" s="253">
        <f>SUM(AD17:AD183)</f>
        <v>1875723821</v>
      </c>
      <c r="AE184" s="255"/>
    </row>
    <row r="185" spans="1:32" ht="12.95" customHeight="1" thickTop="1" x14ac:dyDescent="0.35">
      <c r="A185" s="256"/>
      <c r="B185" s="444"/>
      <c r="C185" s="257"/>
      <c r="D185" s="13"/>
      <c r="E185" s="14"/>
      <c r="F185" s="14"/>
      <c r="G185" s="14"/>
      <c r="H185" s="258"/>
      <c r="I185" s="258"/>
      <c r="J185" s="258"/>
      <c r="K185" s="259"/>
    </row>
    <row r="186" spans="1:32" ht="12.95" customHeight="1" x14ac:dyDescent="0.35">
      <c r="A186" s="261"/>
      <c r="B186" s="262"/>
      <c r="C186" s="262"/>
      <c r="G186" s="516"/>
      <c r="H186" s="516"/>
      <c r="I186" s="516"/>
      <c r="J186" s="516"/>
      <c r="K186" s="516"/>
      <c r="AB186" s="502" t="s">
        <v>268</v>
      </c>
      <c r="AC186" s="502"/>
      <c r="AD186" s="502"/>
      <c r="AE186" s="502"/>
    </row>
    <row r="187" spans="1:32" ht="12.95" customHeight="1" x14ac:dyDescent="0.35">
      <c r="A187" s="261"/>
      <c r="B187" s="262"/>
      <c r="C187" s="262"/>
      <c r="G187" s="265"/>
      <c r="H187" s="266"/>
      <c r="I187" s="266"/>
      <c r="J187" s="266"/>
      <c r="K187" s="266"/>
      <c r="Q187" s="267" t="s">
        <v>172</v>
      </c>
    </row>
    <row r="188" spans="1:32" ht="12.95" customHeight="1" x14ac:dyDescent="0.35">
      <c r="A188" s="261"/>
      <c r="B188" s="262"/>
      <c r="C188" s="268"/>
      <c r="G188" s="265"/>
      <c r="H188" s="265"/>
      <c r="I188" s="265"/>
      <c r="J188" s="265"/>
      <c r="K188" s="265"/>
      <c r="Q188" s="267" t="s">
        <v>173</v>
      </c>
      <c r="AB188" s="502" t="s">
        <v>174</v>
      </c>
      <c r="AC188" s="502"/>
      <c r="AD188" s="502"/>
      <c r="AE188" s="502"/>
    </row>
    <row r="189" spans="1:32" ht="12.95" customHeight="1" x14ac:dyDescent="0.35">
      <c r="A189" s="261"/>
      <c r="B189" s="262"/>
      <c r="C189" s="262"/>
      <c r="G189" s="269"/>
      <c r="H189" s="269"/>
      <c r="I189" s="269"/>
      <c r="J189" s="269"/>
      <c r="K189" s="269"/>
      <c r="Q189" s="270" t="s">
        <v>175</v>
      </c>
    </row>
    <row r="190" spans="1:32" ht="12.95" customHeight="1" x14ac:dyDescent="0.35">
      <c r="A190" s="261"/>
      <c r="B190" s="262"/>
      <c r="C190" s="262"/>
      <c r="G190" s="28"/>
      <c r="H190" s="28"/>
      <c r="I190" s="271"/>
      <c r="J190" s="271"/>
      <c r="K190" s="272"/>
    </row>
    <row r="191" spans="1:32" ht="12.95" customHeight="1" x14ac:dyDescent="0.35">
      <c r="A191" s="273"/>
      <c r="G191" s="28"/>
      <c r="H191" s="28"/>
      <c r="I191" s="271"/>
      <c r="J191" s="271"/>
      <c r="K191" s="272"/>
      <c r="AB191" s="517" t="s">
        <v>176</v>
      </c>
      <c r="AC191" s="517"/>
      <c r="AD191" s="517"/>
      <c r="AE191" s="517"/>
    </row>
    <row r="192" spans="1:32" ht="12.95" customHeight="1" x14ac:dyDescent="0.35">
      <c r="A192" s="273"/>
      <c r="H192" s="13"/>
      <c r="I192" s="13"/>
      <c r="J192" s="272"/>
      <c r="K192" s="274"/>
      <c r="AB192" s="502" t="s">
        <v>177</v>
      </c>
      <c r="AC192" s="502"/>
      <c r="AD192" s="502"/>
      <c r="AE192" s="502"/>
    </row>
    <row r="193" spans="1:17" ht="18" customHeight="1" x14ac:dyDescent="0.35">
      <c r="A193" s="273"/>
      <c r="H193" s="13"/>
      <c r="I193" s="13"/>
      <c r="J193" s="272"/>
      <c r="K193" s="274"/>
      <c r="Q193" s="267" t="s">
        <v>178</v>
      </c>
    </row>
    <row r="194" spans="1:17" ht="18" customHeight="1" x14ac:dyDescent="0.35">
      <c r="A194" s="273"/>
      <c r="H194" s="268"/>
      <c r="I194" s="268"/>
      <c r="J194" s="268"/>
      <c r="K194" s="268"/>
    </row>
  </sheetData>
  <mergeCells count="34">
    <mergeCell ref="A1:S1"/>
    <mergeCell ref="A2:AE2"/>
    <mergeCell ref="A3:AE3"/>
    <mergeCell ref="F7:G7"/>
    <mergeCell ref="W11:X12"/>
    <mergeCell ref="Y11:Z11"/>
    <mergeCell ref="AA11:AB11"/>
    <mergeCell ref="AC11:AD12"/>
    <mergeCell ref="AE11:AE15"/>
    <mergeCell ref="A12:A15"/>
    <mergeCell ref="B12:G15"/>
    <mergeCell ref="H12:K12"/>
    <mergeCell ref="O12:P15"/>
    <mergeCell ref="Q12:Q15"/>
    <mergeCell ref="R12:R15"/>
    <mergeCell ref="T12:U12"/>
    <mergeCell ref="Y12:Z12"/>
    <mergeCell ref="AA12:AB12"/>
    <mergeCell ref="H13:I15"/>
    <mergeCell ref="J13:J15"/>
    <mergeCell ref="K13:K15"/>
    <mergeCell ref="S12:S15"/>
    <mergeCell ref="AB192:AE192"/>
    <mergeCell ref="B16:G16"/>
    <mergeCell ref="H16:I16"/>
    <mergeCell ref="O16:P16"/>
    <mergeCell ref="D68:G68"/>
    <mergeCell ref="B139:G139"/>
    <mergeCell ref="C167:G167"/>
    <mergeCell ref="B177:G177"/>
    <mergeCell ref="G186:K186"/>
    <mergeCell ref="AB186:AE186"/>
    <mergeCell ref="AB188:AE188"/>
    <mergeCell ref="AB191:AE191"/>
  </mergeCells>
  <printOptions horizontalCentered="1"/>
  <pageMargins left="0.25" right="0.25" top="0.5" bottom="0.5" header="0.511811023622047" footer="0.511811023622047"/>
  <pageSetup paperSize="5" scale="75" orientation="landscape" horizontalDpi="4294967294" r:id="rId1"/>
  <headerFooter alignWithMargins="0"/>
  <rowBreaks count="1" manualBreakCount="1">
    <brk id="92" max="16383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3"/>
  </sheetPr>
  <dimension ref="A1:AO194"/>
  <sheetViews>
    <sheetView view="pageBreakPreview" zoomScale="91" zoomScaleSheetLayoutView="91" workbookViewId="0">
      <selection activeCell="Y1" sqref="Y1"/>
    </sheetView>
  </sheetViews>
  <sheetFormatPr defaultRowHeight="18" customHeight="1" x14ac:dyDescent="0.35"/>
  <cols>
    <col min="1" max="1" width="12.28515625" style="275" customWidth="1"/>
    <col min="2" max="2" width="2.42578125" style="263" customWidth="1"/>
    <col min="3" max="3" width="3.42578125" style="263" customWidth="1"/>
    <col min="4" max="4" width="13.28515625" style="263" customWidth="1"/>
    <col min="5" max="5" width="3.140625" style="263" customWidth="1"/>
    <col min="6" max="6" width="5.140625" style="263" customWidth="1"/>
    <col min="7" max="7" width="16.42578125" style="13" customWidth="1"/>
    <col min="8" max="8" width="6.85546875" style="263" hidden="1" customWidth="1"/>
    <col min="9" max="9" width="5.28515625" style="263" hidden="1" customWidth="1"/>
    <col min="10" max="10" width="16.140625" style="276" hidden="1" customWidth="1"/>
    <col min="11" max="11" width="22.42578125" style="277" hidden="1" customWidth="1"/>
    <col min="12" max="14" width="9.140625" style="13" hidden="1" customWidth="1"/>
    <col min="15" max="15" width="4.140625" style="13" customWidth="1"/>
    <col min="16" max="16" width="5.7109375" style="13" customWidth="1"/>
    <col min="17" max="17" width="16.140625" style="13" hidden="1" customWidth="1"/>
    <col min="18" max="18" width="15.7109375" style="13" customWidth="1"/>
    <col min="19" max="19" width="7.7109375" style="260" customWidth="1"/>
    <col min="20" max="20" width="9.140625" style="13"/>
    <col min="21" max="21" width="10.85546875" style="13" customWidth="1"/>
    <col min="22" max="22" width="9.7109375" style="13" customWidth="1"/>
    <col min="23" max="23" width="8.85546875" style="13" customWidth="1"/>
    <col min="24" max="24" width="10.7109375" style="13" customWidth="1"/>
    <col min="25" max="25" width="16" style="13" customWidth="1"/>
    <col min="26" max="26" width="8.7109375" style="13" customWidth="1"/>
    <col min="27" max="27" width="6.5703125" style="13" bestFit="1" customWidth="1"/>
    <col min="28" max="28" width="8.7109375" style="13" customWidth="1"/>
    <col min="29" max="29" width="16" style="13" customWidth="1"/>
    <col min="30" max="30" width="16.140625" style="13" bestFit="1" customWidth="1"/>
    <col min="31" max="31" width="9.42578125" style="13" customWidth="1"/>
    <col min="32" max="256" width="9.140625" style="13"/>
    <col min="257" max="257" width="12.28515625" style="13" customWidth="1"/>
    <col min="258" max="258" width="2.42578125" style="13" customWidth="1"/>
    <col min="259" max="259" width="3.42578125" style="13" customWidth="1"/>
    <col min="260" max="260" width="13.28515625" style="13" customWidth="1"/>
    <col min="261" max="261" width="3.140625" style="13" customWidth="1"/>
    <col min="262" max="262" width="5.140625" style="13" customWidth="1"/>
    <col min="263" max="263" width="16.42578125" style="13" customWidth="1"/>
    <col min="264" max="270" width="0" style="13" hidden="1" customWidth="1"/>
    <col min="271" max="271" width="4.140625" style="13" customWidth="1"/>
    <col min="272" max="272" width="5.7109375" style="13" customWidth="1"/>
    <col min="273" max="273" width="0" style="13" hidden="1" customWidth="1"/>
    <col min="274" max="274" width="15.7109375" style="13" customWidth="1"/>
    <col min="275" max="275" width="7.7109375" style="13" customWidth="1"/>
    <col min="276" max="276" width="9.140625" style="13"/>
    <col min="277" max="277" width="10.85546875" style="13" customWidth="1"/>
    <col min="278" max="278" width="9.7109375" style="13" customWidth="1"/>
    <col min="279" max="279" width="8.85546875" style="13" customWidth="1"/>
    <col min="280" max="280" width="10.7109375" style="13" customWidth="1"/>
    <col min="281" max="281" width="16" style="13" customWidth="1"/>
    <col min="282" max="282" width="8.7109375" style="13" customWidth="1"/>
    <col min="283" max="283" width="6.5703125" style="13" bestFit="1" customWidth="1"/>
    <col min="284" max="284" width="8.7109375" style="13" customWidth="1"/>
    <col min="285" max="285" width="16" style="13" customWidth="1"/>
    <col min="286" max="286" width="15" style="13" customWidth="1"/>
    <col min="287" max="287" width="9.42578125" style="13" customWidth="1"/>
    <col min="288" max="512" width="9.140625" style="13"/>
    <col min="513" max="513" width="12.28515625" style="13" customWidth="1"/>
    <col min="514" max="514" width="2.42578125" style="13" customWidth="1"/>
    <col min="515" max="515" width="3.42578125" style="13" customWidth="1"/>
    <col min="516" max="516" width="13.28515625" style="13" customWidth="1"/>
    <col min="517" max="517" width="3.140625" style="13" customWidth="1"/>
    <col min="518" max="518" width="5.140625" style="13" customWidth="1"/>
    <col min="519" max="519" width="16.42578125" style="13" customWidth="1"/>
    <col min="520" max="526" width="0" style="13" hidden="1" customWidth="1"/>
    <col min="527" max="527" width="4.140625" style="13" customWidth="1"/>
    <col min="528" max="528" width="5.7109375" style="13" customWidth="1"/>
    <col min="529" max="529" width="0" style="13" hidden="1" customWidth="1"/>
    <col min="530" max="530" width="15.7109375" style="13" customWidth="1"/>
    <col min="531" max="531" width="7.7109375" style="13" customWidth="1"/>
    <col min="532" max="532" width="9.140625" style="13"/>
    <col min="533" max="533" width="10.85546875" style="13" customWidth="1"/>
    <col min="534" max="534" width="9.7109375" style="13" customWidth="1"/>
    <col min="535" max="535" width="8.85546875" style="13" customWidth="1"/>
    <col min="536" max="536" width="10.7109375" style="13" customWidth="1"/>
    <col min="537" max="537" width="16" style="13" customWidth="1"/>
    <col min="538" max="538" width="8.7109375" style="13" customWidth="1"/>
    <col min="539" max="539" width="6.5703125" style="13" bestFit="1" customWidth="1"/>
    <col min="540" max="540" width="8.7109375" style="13" customWidth="1"/>
    <col min="541" max="541" width="16" style="13" customWidth="1"/>
    <col min="542" max="542" width="15" style="13" customWidth="1"/>
    <col min="543" max="543" width="9.42578125" style="13" customWidth="1"/>
    <col min="544" max="768" width="9.140625" style="13"/>
    <col min="769" max="769" width="12.28515625" style="13" customWidth="1"/>
    <col min="770" max="770" width="2.42578125" style="13" customWidth="1"/>
    <col min="771" max="771" width="3.42578125" style="13" customWidth="1"/>
    <col min="772" max="772" width="13.28515625" style="13" customWidth="1"/>
    <col min="773" max="773" width="3.140625" style="13" customWidth="1"/>
    <col min="774" max="774" width="5.140625" style="13" customWidth="1"/>
    <col min="775" max="775" width="16.42578125" style="13" customWidth="1"/>
    <col min="776" max="782" width="0" style="13" hidden="1" customWidth="1"/>
    <col min="783" max="783" width="4.140625" style="13" customWidth="1"/>
    <col min="784" max="784" width="5.7109375" style="13" customWidth="1"/>
    <col min="785" max="785" width="0" style="13" hidden="1" customWidth="1"/>
    <col min="786" max="786" width="15.7109375" style="13" customWidth="1"/>
    <col min="787" max="787" width="7.7109375" style="13" customWidth="1"/>
    <col min="788" max="788" width="9.140625" style="13"/>
    <col min="789" max="789" width="10.85546875" style="13" customWidth="1"/>
    <col min="790" max="790" width="9.7109375" style="13" customWidth="1"/>
    <col min="791" max="791" width="8.85546875" style="13" customWidth="1"/>
    <col min="792" max="792" width="10.7109375" style="13" customWidth="1"/>
    <col min="793" max="793" width="16" style="13" customWidth="1"/>
    <col min="794" max="794" width="8.7109375" style="13" customWidth="1"/>
    <col min="795" max="795" width="6.5703125" style="13" bestFit="1" customWidth="1"/>
    <col min="796" max="796" width="8.7109375" style="13" customWidth="1"/>
    <col min="797" max="797" width="16" style="13" customWidth="1"/>
    <col min="798" max="798" width="15" style="13" customWidth="1"/>
    <col min="799" max="799" width="9.42578125" style="13" customWidth="1"/>
    <col min="800" max="1024" width="9.140625" style="13"/>
    <col min="1025" max="1025" width="12.28515625" style="13" customWidth="1"/>
    <col min="1026" max="1026" width="2.42578125" style="13" customWidth="1"/>
    <col min="1027" max="1027" width="3.42578125" style="13" customWidth="1"/>
    <col min="1028" max="1028" width="13.28515625" style="13" customWidth="1"/>
    <col min="1029" max="1029" width="3.140625" style="13" customWidth="1"/>
    <col min="1030" max="1030" width="5.140625" style="13" customWidth="1"/>
    <col min="1031" max="1031" width="16.42578125" style="13" customWidth="1"/>
    <col min="1032" max="1038" width="0" style="13" hidden="1" customWidth="1"/>
    <col min="1039" max="1039" width="4.140625" style="13" customWidth="1"/>
    <col min="1040" max="1040" width="5.7109375" style="13" customWidth="1"/>
    <col min="1041" max="1041" width="0" style="13" hidden="1" customWidth="1"/>
    <col min="1042" max="1042" width="15.7109375" style="13" customWidth="1"/>
    <col min="1043" max="1043" width="7.7109375" style="13" customWidth="1"/>
    <col min="1044" max="1044" width="9.140625" style="13"/>
    <col min="1045" max="1045" width="10.85546875" style="13" customWidth="1"/>
    <col min="1046" max="1046" width="9.7109375" style="13" customWidth="1"/>
    <col min="1047" max="1047" width="8.85546875" style="13" customWidth="1"/>
    <col min="1048" max="1048" width="10.7109375" style="13" customWidth="1"/>
    <col min="1049" max="1049" width="16" style="13" customWidth="1"/>
    <col min="1050" max="1050" width="8.7109375" style="13" customWidth="1"/>
    <col min="1051" max="1051" width="6.5703125" style="13" bestFit="1" customWidth="1"/>
    <col min="1052" max="1052" width="8.7109375" style="13" customWidth="1"/>
    <col min="1053" max="1053" width="16" style="13" customWidth="1"/>
    <col min="1054" max="1054" width="15" style="13" customWidth="1"/>
    <col min="1055" max="1055" width="9.42578125" style="13" customWidth="1"/>
    <col min="1056" max="1280" width="9.140625" style="13"/>
    <col min="1281" max="1281" width="12.28515625" style="13" customWidth="1"/>
    <col min="1282" max="1282" width="2.42578125" style="13" customWidth="1"/>
    <col min="1283" max="1283" width="3.42578125" style="13" customWidth="1"/>
    <col min="1284" max="1284" width="13.28515625" style="13" customWidth="1"/>
    <col min="1285" max="1285" width="3.140625" style="13" customWidth="1"/>
    <col min="1286" max="1286" width="5.140625" style="13" customWidth="1"/>
    <col min="1287" max="1287" width="16.42578125" style="13" customWidth="1"/>
    <col min="1288" max="1294" width="0" style="13" hidden="1" customWidth="1"/>
    <col min="1295" max="1295" width="4.140625" style="13" customWidth="1"/>
    <col min="1296" max="1296" width="5.7109375" style="13" customWidth="1"/>
    <col min="1297" max="1297" width="0" style="13" hidden="1" customWidth="1"/>
    <col min="1298" max="1298" width="15.7109375" style="13" customWidth="1"/>
    <col min="1299" max="1299" width="7.7109375" style="13" customWidth="1"/>
    <col min="1300" max="1300" width="9.140625" style="13"/>
    <col min="1301" max="1301" width="10.85546875" style="13" customWidth="1"/>
    <col min="1302" max="1302" width="9.7109375" style="13" customWidth="1"/>
    <col min="1303" max="1303" width="8.85546875" style="13" customWidth="1"/>
    <col min="1304" max="1304" width="10.7109375" style="13" customWidth="1"/>
    <col min="1305" max="1305" width="16" style="13" customWidth="1"/>
    <col min="1306" max="1306" width="8.7109375" style="13" customWidth="1"/>
    <col min="1307" max="1307" width="6.5703125" style="13" bestFit="1" customWidth="1"/>
    <col min="1308" max="1308" width="8.7109375" style="13" customWidth="1"/>
    <col min="1309" max="1309" width="16" style="13" customWidth="1"/>
    <col min="1310" max="1310" width="15" style="13" customWidth="1"/>
    <col min="1311" max="1311" width="9.42578125" style="13" customWidth="1"/>
    <col min="1312" max="1536" width="9.140625" style="13"/>
    <col min="1537" max="1537" width="12.28515625" style="13" customWidth="1"/>
    <col min="1538" max="1538" width="2.42578125" style="13" customWidth="1"/>
    <col min="1539" max="1539" width="3.42578125" style="13" customWidth="1"/>
    <col min="1540" max="1540" width="13.28515625" style="13" customWidth="1"/>
    <col min="1541" max="1541" width="3.140625" style="13" customWidth="1"/>
    <col min="1542" max="1542" width="5.140625" style="13" customWidth="1"/>
    <col min="1543" max="1543" width="16.42578125" style="13" customWidth="1"/>
    <col min="1544" max="1550" width="0" style="13" hidden="1" customWidth="1"/>
    <col min="1551" max="1551" width="4.140625" style="13" customWidth="1"/>
    <col min="1552" max="1552" width="5.7109375" style="13" customWidth="1"/>
    <col min="1553" max="1553" width="0" style="13" hidden="1" customWidth="1"/>
    <col min="1554" max="1554" width="15.7109375" style="13" customWidth="1"/>
    <col min="1555" max="1555" width="7.7109375" style="13" customWidth="1"/>
    <col min="1556" max="1556" width="9.140625" style="13"/>
    <col min="1557" max="1557" width="10.85546875" style="13" customWidth="1"/>
    <col min="1558" max="1558" width="9.7109375" style="13" customWidth="1"/>
    <col min="1559" max="1559" width="8.85546875" style="13" customWidth="1"/>
    <col min="1560" max="1560" width="10.7109375" style="13" customWidth="1"/>
    <col min="1561" max="1561" width="16" style="13" customWidth="1"/>
    <col min="1562" max="1562" width="8.7109375" style="13" customWidth="1"/>
    <col min="1563" max="1563" width="6.5703125" style="13" bestFit="1" customWidth="1"/>
    <col min="1564" max="1564" width="8.7109375" style="13" customWidth="1"/>
    <col min="1565" max="1565" width="16" style="13" customWidth="1"/>
    <col min="1566" max="1566" width="15" style="13" customWidth="1"/>
    <col min="1567" max="1567" width="9.42578125" style="13" customWidth="1"/>
    <col min="1568" max="1792" width="9.140625" style="13"/>
    <col min="1793" max="1793" width="12.28515625" style="13" customWidth="1"/>
    <col min="1794" max="1794" width="2.42578125" style="13" customWidth="1"/>
    <col min="1795" max="1795" width="3.42578125" style="13" customWidth="1"/>
    <col min="1796" max="1796" width="13.28515625" style="13" customWidth="1"/>
    <col min="1797" max="1797" width="3.140625" style="13" customWidth="1"/>
    <col min="1798" max="1798" width="5.140625" style="13" customWidth="1"/>
    <col min="1799" max="1799" width="16.42578125" style="13" customWidth="1"/>
    <col min="1800" max="1806" width="0" style="13" hidden="1" customWidth="1"/>
    <col min="1807" max="1807" width="4.140625" style="13" customWidth="1"/>
    <col min="1808" max="1808" width="5.7109375" style="13" customWidth="1"/>
    <col min="1809" max="1809" width="0" style="13" hidden="1" customWidth="1"/>
    <col min="1810" max="1810" width="15.7109375" style="13" customWidth="1"/>
    <col min="1811" max="1811" width="7.7109375" style="13" customWidth="1"/>
    <col min="1812" max="1812" width="9.140625" style="13"/>
    <col min="1813" max="1813" width="10.85546875" style="13" customWidth="1"/>
    <col min="1814" max="1814" width="9.7109375" style="13" customWidth="1"/>
    <col min="1815" max="1815" width="8.85546875" style="13" customWidth="1"/>
    <col min="1816" max="1816" width="10.7109375" style="13" customWidth="1"/>
    <col min="1817" max="1817" width="16" style="13" customWidth="1"/>
    <col min="1818" max="1818" width="8.7109375" style="13" customWidth="1"/>
    <col min="1819" max="1819" width="6.5703125" style="13" bestFit="1" customWidth="1"/>
    <col min="1820" max="1820" width="8.7109375" style="13" customWidth="1"/>
    <col min="1821" max="1821" width="16" style="13" customWidth="1"/>
    <col min="1822" max="1822" width="15" style="13" customWidth="1"/>
    <col min="1823" max="1823" width="9.42578125" style="13" customWidth="1"/>
    <col min="1824" max="2048" width="9.140625" style="13"/>
    <col min="2049" max="2049" width="12.28515625" style="13" customWidth="1"/>
    <col min="2050" max="2050" width="2.42578125" style="13" customWidth="1"/>
    <col min="2051" max="2051" width="3.42578125" style="13" customWidth="1"/>
    <col min="2052" max="2052" width="13.28515625" style="13" customWidth="1"/>
    <col min="2053" max="2053" width="3.140625" style="13" customWidth="1"/>
    <col min="2054" max="2054" width="5.140625" style="13" customWidth="1"/>
    <col min="2055" max="2055" width="16.42578125" style="13" customWidth="1"/>
    <col min="2056" max="2062" width="0" style="13" hidden="1" customWidth="1"/>
    <col min="2063" max="2063" width="4.140625" style="13" customWidth="1"/>
    <col min="2064" max="2064" width="5.7109375" style="13" customWidth="1"/>
    <col min="2065" max="2065" width="0" style="13" hidden="1" customWidth="1"/>
    <col min="2066" max="2066" width="15.7109375" style="13" customWidth="1"/>
    <col min="2067" max="2067" width="7.7109375" style="13" customWidth="1"/>
    <col min="2068" max="2068" width="9.140625" style="13"/>
    <col min="2069" max="2069" width="10.85546875" style="13" customWidth="1"/>
    <col min="2070" max="2070" width="9.7109375" style="13" customWidth="1"/>
    <col min="2071" max="2071" width="8.85546875" style="13" customWidth="1"/>
    <col min="2072" max="2072" width="10.7109375" style="13" customWidth="1"/>
    <col min="2073" max="2073" width="16" style="13" customWidth="1"/>
    <col min="2074" max="2074" width="8.7109375" style="13" customWidth="1"/>
    <col min="2075" max="2075" width="6.5703125" style="13" bestFit="1" customWidth="1"/>
    <col min="2076" max="2076" width="8.7109375" style="13" customWidth="1"/>
    <col min="2077" max="2077" width="16" style="13" customWidth="1"/>
    <col min="2078" max="2078" width="15" style="13" customWidth="1"/>
    <col min="2079" max="2079" width="9.42578125" style="13" customWidth="1"/>
    <col min="2080" max="2304" width="9.140625" style="13"/>
    <col min="2305" max="2305" width="12.28515625" style="13" customWidth="1"/>
    <col min="2306" max="2306" width="2.42578125" style="13" customWidth="1"/>
    <col min="2307" max="2307" width="3.42578125" style="13" customWidth="1"/>
    <col min="2308" max="2308" width="13.28515625" style="13" customWidth="1"/>
    <col min="2309" max="2309" width="3.140625" style="13" customWidth="1"/>
    <col min="2310" max="2310" width="5.140625" style="13" customWidth="1"/>
    <col min="2311" max="2311" width="16.42578125" style="13" customWidth="1"/>
    <col min="2312" max="2318" width="0" style="13" hidden="1" customWidth="1"/>
    <col min="2319" max="2319" width="4.140625" style="13" customWidth="1"/>
    <col min="2320" max="2320" width="5.7109375" style="13" customWidth="1"/>
    <col min="2321" max="2321" width="0" style="13" hidden="1" customWidth="1"/>
    <col min="2322" max="2322" width="15.7109375" style="13" customWidth="1"/>
    <col min="2323" max="2323" width="7.7109375" style="13" customWidth="1"/>
    <col min="2324" max="2324" width="9.140625" style="13"/>
    <col min="2325" max="2325" width="10.85546875" style="13" customWidth="1"/>
    <col min="2326" max="2326" width="9.7109375" style="13" customWidth="1"/>
    <col min="2327" max="2327" width="8.85546875" style="13" customWidth="1"/>
    <col min="2328" max="2328" width="10.7109375" style="13" customWidth="1"/>
    <col min="2329" max="2329" width="16" style="13" customWidth="1"/>
    <col min="2330" max="2330" width="8.7109375" style="13" customWidth="1"/>
    <col min="2331" max="2331" width="6.5703125" style="13" bestFit="1" customWidth="1"/>
    <col min="2332" max="2332" width="8.7109375" style="13" customWidth="1"/>
    <col min="2333" max="2333" width="16" style="13" customWidth="1"/>
    <col min="2334" max="2334" width="15" style="13" customWidth="1"/>
    <col min="2335" max="2335" width="9.42578125" style="13" customWidth="1"/>
    <col min="2336" max="2560" width="9.140625" style="13"/>
    <col min="2561" max="2561" width="12.28515625" style="13" customWidth="1"/>
    <col min="2562" max="2562" width="2.42578125" style="13" customWidth="1"/>
    <col min="2563" max="2563" width="3.42578125" style="13" customWidth="1"/>
    <col min="2564" max="2564" width="13.28515625" style="13" customWidth="1"/>
    <col min="2565" max="2565" width="3.140625" style="13" customWidth="1"/>
    <col min="2566" max="2566" width="5.140625" style="13" customWidth="1"/>
    <col min="2567" max="2567" width="16.42578125" style="13" customWidth="1"/>
    <col min="2568" max="2574" width="0" style="13" hidden="1" customWidth="1"/>
    <col min="2575" max="2575" width="4.140625" style="13" customWidth="1"/>
    <col min="2576" max="2576" width="5.7109375" style="13" customWidth="1"/>
    <col min="2577" max="2577" width="0" style="13" hidden="1" customWidth="1"/>
    <col min="2578" max="2578" width="15.7109375" style="13" customWidth="1"/>
    <col min="2579" max="2579" width="7.7109375" style="13" customWidth="1"/>
    <col min="2580" max="2580" width="9.140625" style="13"/>
    <col min="2581" max="2581" width="10.85546875" style="13" customWidth="1"/>
    <col min="2582" max="2582" width="9.7109375" style="13" customWidth="1"/>
    <col min="2583" max="2583" width="8.85546875" style="13" customWidth="1"/>
    <col min="2584" max="2584" width="10.7109375" style="13" customWidth="1"/>
    <col min="2585" max="2585" width="16" style="13" customWidth="1"/>
    <col min="2586" max="2586" width="8.7109375" style="13" customWidth="1"/>
    <col min="2587" max="2587" width="6.5703125" style="13" bestFit="1" customWidth="1"/>
    <col min="2588" max="2588" width="8.7109375" style="13" customWidth="1"/>
    <col min="2589" max="2589" width="16" style="13" customWidth="1"/>
    <col min="2590" max="2590" width="15" style="13" customWidth="1"/>
    <col min="2591" max="2591" width="9.42578125" style="13" customWidth="1"/>
    <col min="2592" max="2816" width="9.140625" style="13"/>
    <col min="2817" max="2817" width="12.28515625" style="13" customWidth="1"/>
    <col min="2818" max="2818" width="2.42578125" style="13" customWidth="1"/>
    <col min="2819" max="2819" width="3.42578125" style="13" customWidth="1"/>
    <col min="2820" max="2820" width="13.28515625" style="13" customWidth="1"/>
    <col min="2821" max="2821" width="3.140625" style="13" customWidth="1"/>
    <col min="2822" max="2822" width="5.140625" style="13" customWidth="1"/>
    <col min="2823" max="2823" width="16.42578125" style="13" customWidth="1"/>
    <col min="2824" max="2830" width="0" style="13" hidden="1" customWidth="1"/>
    <col min="2831" max="2831" width="4.140625" style="13" customWidth="1"/>
    <col min="2832" max="2832" width="5.7109375" style="13" customWidth="1"/>
    <col min="2833" max="2833" width="0" style="13" hidden="1" customWidth="1"/>
    <col min="2834" max="2834" width="15.7109375" style="13" customWidth="1"/>
    <col min="2835" max="2835" width="7.7109375" style="13" customWidth="1"/>
    <col min="2836" max="2836" width="9.140625" style="13"/>
    <col min="2837" max="2837" width="10.85546875" style="13" customWidth="1"/>
    <col min="2838" max="2838" width="9.7109375" style="13" customWidth="1"/>
    <col min="2839" max="2839" width="8.85546875" style="13" customWidth="1"/>
    <col min="2840" max="2840" width="10.7109375" style="13" customWidth="1"/>
    <col min="2841" max="2841" width="16" style="13" customWidth="1"/>
    <col min="2842" max="2842" width="8.7109375" style="13" customWidth="1"/>
    <col min="2843" max="2843" width="6.5703125" style="13" bestFit="1" customWidth="1"/>
    <col min="2844" max="2844" width="8.7109375" style="13" customWidth="1"/>
    <col min="2845" max="2845" width="16" style="13" customWidth="1"/>
    <col min="2846" max="2846" width="15" style="13" customWidth="1"/>
    <col min="2847" max="2847" width="9.42578125" style="13" customWidth="1"/>
    <col min="2848" max="3072" width="9.140625" style="13"/>
    <col min="3073" max="3073" width="12.28515625" style="13" customWidth="1"/>
    <col min="3074" max="3074" width="2.42578125" style="13" customWidth="1"/>
    <col min="3075" max="3075" width="3.42578125" style="13" customWidth="1"/>
    <col min="3076" max="3076" width="13.28515625" style="13" customWidth="1"/>
    <col min="3077" max="3077" width="3.140625" style="13" customWidth="1"/>
    <col min="3078" max="3078" width="5.140625" style="13" customWidth="1"/>
    <col min="3079" max="3079" width="16.42578125" style="13" customWidth="1"/>
    <col min="3080" max="3086" width="0" style="13" hidden="1" customWidth="1"/>
    <col min="3087" max="3087" width="4.140625" style="13" customWidth="1"/>
    <col min="3088" max="3088" width="5.7109375" style="13" customWidth="1"/>
    <col min="3089" max="3089" width="0" style="13" hidden="1" customWidth="1"/>
    <col min="3090" max="3090" width="15.7109375" style="13" customWidth="1"/>
    <col min="3091" max="3091" width="7.7109375" style="13" customWidth="1"/>
    <col min="3092" max="3092" width="9.140625" style="13"/>
    <col min="3093" max="3093" width="10.85546875" style="13" customWidth="1"/>
    <col min="3094" max="3094" width="9.7109375" style="13" customWidth="1"/>
    <col min="3095" max="3095" width="8.85546875" style="13" customWidth="1"/>
    <col min="3096" max="3096" width="10.7109375" style="13" customWidth="1"/>
    <col min="3097" max="3097" width="16" style="13" customWidth="1"/>
    <col min="3098" max="3098" width="8.7109375" style="13" customWidth="1"/>
    <col min="3099" max="3099" width="6.5703125" style="13" bestFit="1" customWidth="1"/>
    <col min="3100" max="3100" width="8.7109375" style="13" customWidth="1"/>
    <col min="3101" max="3101" width="16" style="13" customWidth="1"/>
    <col min="3102" max="3102" width="15" style="13" customWidth="1"/>
    <col min="3103" max="3103" width="9.42578125" style="13" customWidth="1"/>
    <col min="3104" max="3328" width="9.140625" style="13"/>
    <col min="3329" max="3329" width="12.28515625" style="13" customWidth="1"/>
    <col min="3330" max="3330" width="2.42578125" style="13" customWidth="1"/>
    <col min="3331" max="3331" width="3.42578125" style="13" customWidth="1"/>
    <col min="3332" max="3332" width="13.28515625" style="13" customWidth="1"/>
    <col min="3333" max="3333" width="3.140625" style="13" customWidth="1"/>
    <col min="3334" max="3334" width="5.140625" style="13" customWidth="1"/>
    <col min="3335" max="3335" width="16.42578125" style="13" customWidth="1"/>
    <col min="3336" max="3342" width="0" style="13" hidden="1" customWidth="1"/>
    <col min="3343" max="3343" width="4.140625" style="13" customWidth="1"/>
    <col min="3344" max="3344" width="5.7109375" style="13" customWidth="1"/>
    <col min="3345" max="3345" width="0" style="13" hidden="1" customWidth="1"/>
    <col min="3346" max="3346" width="15.7109375" style="13" customWidth="1"/>
    <col min="3347" max="3347" width="7.7109375" style="13" customWidth="1"/>
    <col min="3348" max="3348" width="9.140625" style="13"/>
    <col min="3349" max="3349" width="10.85546875" style="13" customWidth="1"/>
    <col min="3350" max="3350" width="9.7109375" style="13" customWidth="1"/>
    <col min="3351" max="3351" width="8.85546875" style="13" customWidth="1"/>
    <col min="3352" max="3352" width="10.7109375" style="13" customWidth="1"/>
    <col min="3353" max="3353" width="16" style="13" customWidth="1"/>
    <col min="3354" max="3354" width="8.7109375" style="13" customWidth="1"/>
    <col min="3355" max="3355" width="6.5703125" style="13" bestFit="1" customWidth="1"/>
    <col min="3356" max="3356" width="8.7109375" style="13" customWidth="1"/>
    <col min="3357" max="3357" width="16" style="13" customWidth="1"/>
    <col min="3358" max="3358" width="15" style="13" customWidth="1"/>
    <col min="3359" max="3359" width="9.42578125" style="13" customWidth="1"/>
    <col min="3360" max="3584" width="9.140625" style="13"/>
    <col min="3585" max="3585" width="12.28515625" style="13" customWidth="1"/>
    <col min="3586" max="3586" width="2.42578125" style="13" customWidth="1"/>
    <col min="3587" max="3587" width="3.42578125" style="13" customWidth="1"/>
    <col min="3588" max="3588" width="13.28515625" style="13" customWidth="1"/>
    <col min="3589" max="3589" width="3.140625" style="13" customWidth="1"/>
    <col min="3590" max="3590" width="5.140625" style="13" customWidth="1"/>
    <col min="3591" max="3591" width="16.42578125" style="13" customWidth="1"/>
    <col min="3592" max="3598" width="0" style="13" hidden="1" customWidth="1"/>
    <col min="3599" max="3599" width="4.140625" style="13" customWidth="1"/>
    <col min="3600" max="3600" width="5.7109375" style="13" customWidth="1"/>
    <col min="3601" max="3601" width="0" style="13" hidden="1" customWidth="1"/>
    <col min="3602" max="3602" width="15.7109375" style="13" customWidth="1"/>
    <col min="3603" max="3603" width="7.7109375" style="13" customWidth="1"/>
    <col min="3604" max="3604" width="9.140625" style="13"/>
    <col min="3605" max="3605" width="10.85546875" style="13" customWidth="1"/>
    <col min="3606" max="3606" width="9.7109375" style="13" customWidth="1"/>
    <col min="3607" max="3607" width="8.85546875" style="13" customWidth="1"/>
    <col min="3608" max="3608" width="10.7109375" style="13" customWidth="1"/>
    <col min="3609" max="3609" width="16" style="13" customWidth="1"/>
    <col min="3610" max="3610" width="8.7109375" style="13" customWidth="1"/>
    <col min="3611" max="3611" width="6.5703125" style="13" bestFit="1" customWidth="1"/>
    <col min="3612" max="3612" width="8.7109375" style="13" customWidth="1"/>
    <col min="3613" max="3613" width="16" style="13" customWidth="1"/>
    <col min="3614" max="3614" width="15" style="13" customWidth="1"/>
    <col min="3615" max="3615" width="9.42578125" style="13" customWidth="1"/>
    <col min="3616" max="3840" width="9.140625" style="13"/>
    <col min="3841" max="3841" width="12.28515625" style="13" customWidth="1"/>
    <col min="3842" max="3842" width="2.42578125" style="13" customWidth="1"/>
    <col min="3843" max="3843" width="3.42578125" style="13" customWidth="1"/>
    <col min="3844" max="3844" width="13.28515625" style="13" customWidth="1"/>
    <col min="3845" max="3845" width="3.140625" style="13" customWidth="1"/>
    <col min="3846" max="3846" width="5.140625" style="13" customWidth="1"/>
    <col min="3847" max="3847" width="16.42578125" style="13" customWidth="1"/>
    <col min="3848" max="3854" width="0" style="13" hidden="1" customWidth="1"/>
    <col min="3855" max="3855" width="4.140625" style="13" customWidth="1"/>
    <col min="3856" max="3856" width="5.7109375" style="13" customWidth="1"/>
    <col min="3857" max="3857" width="0" style="13" hidden="1" customWidth="1"/>
    <col min="3858" max="3858" width="15.7109375" style="13" customWidth="1"/>
    <col min="3859" max="3859" width="7.7109375" style="13" customWidth="1"/>
    <col min="3860" max="3860" width="9.140625" style="13"/>
    <col min="3861" max="3861" width="10.85546875" style="13" customWidth="1"/>
    <col min="3862" max="3862" width="9.7109375" style="13" customWidth="1"/>
    <col min="3863" max="3863" width="8.85546875" style="13" customWidth="1"/>
    <col min="3864" max="3864" width="10.7109375" style="13" customWidth="1"/>
    <col min="3865" max="3865" width="16" style="13" customWidth="1"/>
    <col min="3866" max="3866" width="8.7109375" style="13" customWidth="1"/>
    <col min="3867" max="3867" width="6.5703125" style="13" bestFit="1" customWidth="1"/>
    <col min="3868" max="3868" width="8.7109375" style="13" customWidth="1"/>
    <col min="3869" max="3869" width="16" style="13" customWidth="1"/>
    <col min="3870" max="3870" width="15" style="13" customWidth="1"/>
    <col min="3871" max="3871" width="9.42578125" style="13" customWidth="1"/>
    <col min="3872" max="4096" width="9.140625" style="13"/>
    <col min="4097" max="4097" width="12.28515625" style="13" customWidth="1"/>
    <col min="4098" max="4098" width="2.42578125" style="13" customWidth="1"/>
    <col min="4099" max="4099" width="3.42578125" style="13" customWidth="1"/>
    <col min="4100" max="4100" width="13.28515625" style="13" customWidth="1"/>
    <col min="4101" max="4101" width="3.140625" style="13" customWidth="1"/>
    <col min="4102" max="4102" width="5.140625" style="13" customWidth="1"/>
    <col min="4103" max="4103" width="16.42578125" style="13" customWidth="1"/>
    <col min="4104" max="4110" width="0" style="13" hidden="1" customWidth="1"/>
    <col min="4111" max="4111" width="4.140625" style="13" customWidth="1"/>
    <col min="4112" max="4112" width="5.7109375" style="13" customWidth="1"/>
    <col min="4113" max="4113" width="0" style="13" hidden="1" customWidth="1"/>
    <col min="4114" max="4114" width="15.7109375" style="13" customWidth="1"/>
    <col min="4115" max="4115" width="7.7109375" style="13" customWidth="1"/>
    <col min="4116" max="4116" width="9.140625" style="13"/>
    <col min="4117" max="4117" width="10.85546875" style="13" customWidth="1"/>
    <col min="4118" max="4118" width="9.7109375" style="13" customWidth="1"/>
    <col min="4119" max="4119" width="8.85546875" style="13" customWidth="1"/>
    <col min="4120" max="4120" width="10.7109375" style="13" customWidth="1"/>
    <col min="4121" max="4121" width="16" style="13" customWidth="1"/>
    <col min="4122" max="4122" width="8.7109375" style="13" customWidth="1"/>
    <col min="4123" max="4123" width="6.5703125" style="13" bestFit="1" customWidth="1"/>
    <col min="4124" max="4124" width="8.7109375" style="13" customWidth="1"/>
    <col min="4125" max="4125" width="16" style="13" customWidth="1"/>
    <col min="4126" max="4126" width="15" style="13" customWidth="1"/>
    <col min="4127" max="4127" width="9.42578125" style="13" customWidth="1"/>
    <col min="4128" max="4352" width="9.140625" style="13"/>
    <col min="4353" max="4353" width="12.28515625" style="13" customWidth="1"/>
    <col min="4354" max="4354" width="2.42578125" style="13" customWidth="1"/>
    <col min="4355" max="4355" width="3.42578125" style="13" customWidth="1"/>
    <col min="4356" max="4356" width="13.28515625" style="13" customWidth="1"/>
    <col min="4357" max="4357" width="3.140625" style="13" customWidth="1"/>
    <col min="4358" max="4358" width="5.140625" style="13" customWidth="1"/>
    <col min="4359" max="4359" width="16.42578125" style="13" customWidth="1"/>
    <col min="4360" max="4366" width="0" style="13" hidden="1" customWidth="1"/>
    <col min="4367" max="4367" width="4.140625" style="13" customWidth="1"/>
    <col min="4368" max="4368" width="5.7109375" style="13" customWidth="1"/>
    <col min="4369" max="4369" width="0" style="13" hidden="1" customWidth="1"/>
    <col min="4370" max="4370" width="15.7109375" style="13" customWidth="1"/>
    <col min="4371" max="4371" width="7.7109375" style="13" customWidth="1"/>
    <col min="4372" max="4372" width="9.140625" style="13"/>
    <col min="4373" max="4373" width="10.85546875" style="13" customWidth="1"/>
    <col min="4374" max="4374" width="9.7109375" style="13" customWidth="1"/>
    <col min="4375" max="4375" width="8.85546875" style="13" customWidth="1"/>
    <col min="4376" max="4376" width="10.7109375" style="13" customWidth="1"/>
    <col min="4377" max="4377" width="16" style="13" customWidth="1"/>
    <col min="4378" max="4378" width="8.7109375" style="13" customWidth="1"/>
    <col min="4379" max="4379" width="6.5703125" style="13" bestFit="1" customWidth="1"/>
    <col min="4380" max="4380" width="8.7109375" style="13" customWidth="1"/>
    <col min="4381" max="4381" width="16" style="13" customWidth="1"/>
    <col min="4382" max="4382" width="15" style="13" customWidth="1"/>
    <col min="4383" max="4383" width="9.42578125" style="13" customWidth="1"/>
    <col min="4384" max="4608" width="9.140625" style="13"/>
    <col min="4609" max="4609" width="12.28515625" style="13" customWidth="1"/>
    <col min="4610" max="4610" width="2.42578125" style="13" customWidth="1"/>
    <col min="4611" max="4611" width="3.42578125" style="13" customWidth="1"/>
    <col min="4612" max="4612" width="13.28515625" style="13" customWidth="1"/>
    <col min="4613" max="4613" width="3.140625" style="13" customWidth="1"/>
    <col min="4614" max="4614" width="5.140625" style="13" customWidth="1"/>
    <col min="4615" max="4615" width="16.42578125" style="13" customWidth="1"/>
    <col min="4616" max="4622" width="0" style="13" hidden="1" customWidth="1"/>
    <col min="4623" max="4623" width="4.140625" style="13" customWidth="1"/>
    <col min="4624" max="4624" width="5.7109375" style="13" customWidth="1"/>
    <col min="4625" max="4625" width="0" style="13" hidden="1" customWidth="1"/>
    <col min="4626" max="4626" width="15.7109375" style="13" customWidth="1"/>
    <col min="4627" max="4627" width="7.7109375" style="13" customWidth="1"/>
    <col min="4628" max="4628" width="9.140625" style="13"/>
    <col min="4629" max="4629" width="10.85546875" style="13" customWidth="1"/>
    <col min="4630" max="4630" width="9.7109375" style="13" customWidth="1"/>
    <col min="4631" max="4631" width="8.85546875" style="13" customWidth="1"/>
    <col min="4632" max="4632" width="10.7109375" style="13" customWidth="1"/>
    <col min="4633" max="4633" width="16" style="13" customWidth="1"/>
    <col min="4634" max="4634" width="8.7109375" style="13" customWidth="1"/>
    <col min="4635" max="4635" width="6.5703125" style="13" bestFit="1" customWidth="1"/>
    <col min="4636" max="4636" width="8.7109375" style="13" customWidth="1"/>
    <col min="4637" max="4637" width="16" style="13" customWidth="1"/>
    <col min="4638" max="4638" width="15" style="13" customWidth="1"/>
    <col min="4639" max="4639" width="9.42578125" style="13" customWidth="1"/>
    <col min="4640" max="4864" width="9.140625" style="13"/>
    <col min="4865" max="4865" width="12.28515625" style="13" customWidth="1"/>
    <col min="4866" max="4866" width="2.42578125" style="13" customWidth="1"/>
    <col min="4867" max="4867" width="3.42578125" style="13" customWidth="1"/>
    <col min="4868" max="4868" width="13.28515625" style="13" customWidth="1"/>
    <col min="4869" max="4869" width="3.140625" style="13" customWidth="1"/>
    <col min="4870" max="4870" width="5.140625" style="13" customWidth="1"/>
    <col min="4871" max="4871" width="16.42578125" style="13" customWidth="1"/>
    <col min="4872" max="4878" width="0" style="13" hidden="1" customWidth="1"/>
    <col min="4879" max="4879" width="4.140625" style="13" customWidth="1"/>
    <col min="4880" max="4880" width="5.7109375" style="13" customWidth="1"/>
    <col min="4881" max="4881" width="0" style="13" hidden="1" customWidth="1"/>
    <col min="4882" max="4882" width="15.7109375" style="13" customWidth="1"/>
    <col min="4883" max="4883" width="7.7109375" style="13" customWidth="1"/>
    <col min="4884" max="4884" width="9.140625" style="13"/>
    <col min="4885" max="4885" width="10.85546875" style="13" customWidth="1"/>
    <col min="4886" max="4886" width="9.7109375" style="13" customWidth="1"/>
    <col min="4887" max="4887" width="8.85546875" style="13" customWidth="1"/>
    <col min="4888" max="4888" width="10.7109375" style="13" customWidth="1"/>
    <col min="4889" max="4889" width="16" style="13" customWidth="1"/>
    <col min="4890" max="4890" width="8.7109375" style="13" customWidth="1"/>
    <col min="4891" max="4891" width="6.5703125" style="13" bestFit="1" customWidth="1"/>
    <col min="4892" max="4892" width="8.7109375" style="13" customWidth="1"/>
    <col min="4893" max="4893" width="16" style="13" customWidth="1"/>
    <col min="4894" max="4894" width="15" style="13" customWidth="1"/>
    <col min="4895" max="4895" width="9.42578125" style="13" customWidth="1"/>
    <col min="4896" max="5120" width="9.140625" style="13"/>
    <col min="5121" max="5121" width="12.28515625" style="13" customWidth="1"/>
    <col min="5122" max="5122" width="2.42578125" style="13" customWidth="1"/>
    <col min="5123" max="5123" width="3.42578125" style="13" customWidth="1"/>
    <col min="5124" max="5124" width="13.28515625" style="13" customWidth="1"/>
    <col min="5125" max="5125" width="3.140625" style="13" customWidth="1"/>
    <col min="5126" max="5126" width="5.140625" style="13" customWidth="1"/>
    <col min="5127" max="5127" width="16.42578125" style="13" customWidth="1"/>
    <col min="5128" max="5134" width="0" style="13" hidden="1" customWidth="1"/>
    <col min="5135" max="5135" width="4.140625" style="13" customWidth="1"/>
    <col min="5136" max="5136" width="5.7109375" style="13" customWidth="1"/>
    <col min="5137" max="5137" width="0" style="13" hidden="1" customWidth="1"/>
    <col min="5138" max="5138" width="15.7109375" style="13" customWidth="1"/>
    <col min="5139" max="5139" width="7.7109375" style="13" customWidth="1"/>
    <col min="5140" max="5140" width="9.140625" style="13"/>
    <col min="5141" max="5141" width="10.85546875" style="13" customWidth="1"/>
    <col min="5142" max="5142" width="9.7109375" style="13" customWidth="1"/>
    <col min="5143" max="5143" width="8.85546875" style="13" customWidth="1"/>
    <col min="5144" max="5144" width="10.7109375" style="13" customWidth="1"/>
    <col min="5145" max="5145" width="16" style="13" customWidth="1"/>
    <col min="5146" max="5146" width="8.7109375" style="13" customWidth="1"/>
    <col min="5147" max="5147" width="6.5703125" style="13" bestFit="1" customWidth="1"/>
    <col min="5148" max="5148" width="8.7109375" style="13" customWidth="1"/>
    <col min="5149" max="5149" width="16" style="13" customWidth="1"/>
    <col min="5150" max="5150" width="15" style="13" customWidth="1"/>
    <col min="5151" max="5151" width="9.42578125" style="13" customWidth="1"/>
    <col min="5152" max="5376" width="9.140625" style="13"/>
    <col min="5377" max="5377" width="12.28515625" style="13" customWidth="1"/>
    <col min="5378" max="5378" width="2.42578125" style="13" customWidth="1"/>
    <col min="5379" max="5379" width="3.42578125" style="13" customWidth="1"/>
    <col min="5380" max="5380" width="13.28515625" style="13" customWidth="1"/>
    <col min="5381" max="5381" width="3.140625" style="13" customWidth="1"/>
    <col min="5382" max="5382" width="5.140625" style="13" customWidth="1"/>
    <col min="5383" max="5383" width="16.42578125" style="13" customWidth="1"/>
    <col min="5384" max="5390" width="0" style="13" hidden="1" customWidth="1"/>
    <col min="5391" max="5391" width="4.140625" style="13" customWidth="1"/>
    <col min="5392" max="5392" width="5.7109375" style="13" customWidth="1"/>
    <col min="5393" max="5393" width="0" style="13" hidden="1" customWidth="1"/>
    <col min="5394" max="5394" width="15.7109375" style="13" customWidth="1"/>
    <col min="5395" max="5395" width="7.7109375" style="13" customWidth="1"/>
    <col min="5396" max="5396" width="9.140625" style="13"/>
    <col min="5397" max="5397" width="10.85546875" style="13" customWidth="1"/>
    <col min="5398" max="5398" width="9.7109375" style="13" customWidth="1"/>
    <col min="5399" max="5399" width="8.85546875" style="13" customWidth="1"/>
    <col min="5400" max="5400" width="10.7109375" style="13" customWidth="1"/>
    <col min="5401" max="5401" width="16" style="13" customWidth="1"/>
    <col min="5402" max="5402" width="8.7109375" style="13" customWidth="1"/>
    <col min="5403" max="5403" width="6.5703125" style="13" bestFit="1" customWidth="1"/>
    <col min="5404" max="5404" width="8.7109375" style="13" customWidth="1"/>
    <col min="5405" max="5405" width="16" style="13" customWidth="1"/>
    <col min="5406" max="5406" width="15" style="13" customWidth="1"/>
    <col min="5407" max="5407" width="9.42578125" style="13" customWidth="1"/>
    <col min="5408" max="5632" width="9.140625" style="13"/>
    <col min="5633" max="5633" width="12.28515625" style="13" customWidth="1"/>
    <col min="5634" max="5634" width="2.42578125" style="13" customWidth="1"/>
    <col min="5635" max="5635" width="3.42578125" style="13" customWidth="1"/>
    <col min="5636" max="5636" width="13.28515625" style="13" customWidth="1"/>
    <col min="5637" max="5637" width="3.140625" style="13" customWidth="1"/>
    <col min="5638" max="5638" width="5.140625" style="13" customWidth="1"/>
    <col min="5639" max="5639" width="16.42578125" style="13" customWidth="1"/>
    <col min="5640" max="5646" width="0" style="13" hidden="1" customWidth="1"/>
    <col min="5647" max="5647" width="4.140625" style="13" customWidth="1"/>
    <col min="5648" max="5648" width="5.7109375" style="13" customWidth="1"/>
    <col min="5649" max="5649" width="0" style="13" hidden="1" customWidth="1"/>
    <col min="5650" max="5650" width="15.7109375" style="13" customWidth="1"/>
    <col min="5651" max="5651" width="7.7109375" style="13" customWidth="1"/>
    <col min="5652" max="5652" width="9.140625" style="13"/>
    <col min="5653" max="5653" width="10.85546875" style="13" customWidth="1"/>
    <col min="5654" max="5654" width="9.7109375" style="13" customWidth="1"/>
    <col min="5655" max="5655" width="8.85546875" style="13" customWidth="1"/>
    <col min="5656" max="5656" width="10.7109375" style="13" customWidth="1"/>
    <col min="5657" max="5657" width="16" style="13" customWidth="1"/>
    <col min="5658" max="5658" width="8.7109375" style="13" customWidth="1"/>
    <col min="5659" max="5659" width="6.5703125" style="13" bestFit="1" customWidth="1"/>
    <col min="5660" max="5660" width="8.7109375" style="13" customWidth="1"/>
    <col min="5661" max="5661" width="16" style="13" customWidth="1"/>
    <col min="5662" max="5662" width="15" style="13" customWidth="1"/>
    <col min="5663" max="5663" width="9.42578125" style="13" customWidth="1"/>
    <col min="5664" max="5888" width="9.140625" style="13"/>
    <col min="5889" max="5889" width="12.28515625" style="13" customWidth="1"/>
    <col min="5890" max="5890" width="2.42578125" style="13" customWidth="1"/>
    <col min="5891" max="5891" width="3.42578125" style="13" customWidth="1"/>
    <col min="5892" max="5892" width="13.28515625" style="13" customWidth="1"/>
    <col min="5893" max="5893" width="3.140625" style="13" customWidth="1"/>
    <col min="5894" max="5894" width="5.140625" style="13" customWidth="1"/>
    <col min="5895" max="5895" width="16.42578125" style="13" customWidth="1"/>
    <col min="5896" max="5902" width="0" style="13" hidden="1" customWidth="1"/>
    <col min="5903" max="5903" width="4.140625" style="13" customWidth="1"/>
    <col min="5904" max="5904" width="5.7109375" style="13" customWidth="1"/>
    <col min="5905" max="5905" width="0" style="13" hidden="1" customWidth="1"/>
    <col min="5906" max="5906" width="15.7109375" style="13" customWidth="1"/>
    <col min="5907" max="5907" width="7.7109375" style="13" customWidth="1"/>
    <col min="5908" max="5908" width="9.140625" style="13"/>
    <col min="5909" max="5909" width="10.85546875" style="13" customWidth="1"/>
    <col min="5910" max="5910" width="9.7109375" style="13" customWidth="1"/>
    <col min="5911" max="5911" width="8.85546875" style="13" customWidth="1"/>
    <col min="5912" max="5912" width="10.7109375" style="13" customWidth="1"/>
    <col min="5913" max="5913" width="16" style="13" customWidth="1"/>
    <col min="5914" max="5914" width="8.7109375" style="13" customWidth="1"/>
    <col min="5915" max="5915" width="6.5703125" style="13" bestFit="1" customWidth="1"/>
    <col min="5916" max="5916" width="8.7109375" style="13" customWidth="1"/>
    <col min="5917" max="5917" width="16" style="13" customWidth="1"/>
    <col min="5918" max="5918" width="15" style="13" customWidth="1"/>
    <col min="5919" max="5919" width="9.42578125" style="13" customWidth="1"/>
    <col min="5920" max="6144" width="9.140625" style="13"/>
    <col min="6145" max="6145" width="12.28515625" style="13" customWidth="1"/>
    <col min="6146" max="6146" width="2.42578125" style="13" customWidth="1"/>
    <col min="6147" max="6147" width="3.42578125" style="13" customWidth="1"/>
    <col min="6148" max="6148" width="13.28515625" style="13" customWidth="1"/>
    <col min="6149" max="6149" width="3.140625" style="13" customWidth="1"/>
    <col min="6150" max="6150" width="5.140625" style="13" customWidth="1"/>
    <col min="6151" max="6151" width="16.42578125" style="13" customWidth="1"/>
    <col min="6152" max="6158" width="0" style="13" hidden="1" customWidth="1"/>
    <col min="6159" max="6159" width="4.140625" style="13" customWidth="1"/>
    <col min="6160" max="6160" width="5.7109375" style="13" customWidth="1"/>
    <col min="6161" max="6161" width="0" style="13" hidden="1" customWidth="1"/>
    <col min="6162" max="6162" width="15.7109375" style="13" customWidth="1"/>
    <col min="6163" max="6163" width="7.7109375" style="13" customWidth="1"/>
    <col min="6164" max="6164" width="9.140625" style="13"/>
    <col min="6165" max="6165" width="10.85546875" style="13" customWidth="1"/>
    <col min="6166" max="6166" width="9.7109375" style="13" customWidth="1"/>
    <col min="6167" max="6167" width="8.85546875" style="13" customWidth="1"/>
    <col min="6168" max="6168" width="10.7109375" style="13" customWidth="1"/>
    <col min="6169" max="6169" width="16" style="13" customWidth="1"/>
    <col min="6170" max="6170" width="8.7109375" style="13" customWidth="1"/>
    <col min="6171" max="6171" width="6.5703125" style="13" bestFit="1" customWidth="1"/>
    <col min="6172" max="6172" width="8.7109375" style="13" customWidth="1"/>
    <col min="6173" max="6173" width="16" style="13" customWidth="1"/>
    <col min="6174" max="6174" width="15" style="13" customWidth="1"/>
    <col min="6175" max="6175" width="9.42578125" style="13" customWidth="1"/>
    <col min="6176" max="6400" width="9.140625" style="13"/>
    <col min="6401" max="6401" width="12.28515625" style="13" customWidth="1"/>
    <col min="6402" max="6402" width="2.42578125" style="13" customWidth="1"/>
    <col min="6403" max="6403" width="3.42578125" style="13" customWidth="1"/>
    <col min="6404" max="6404" width="13.28515625" style="13" customWidth="1"/>
    <col min="6405" max="6405" width="3.140625" style="13" customWidth="1"/>
    <col min="6406" max="6406" width="5.140625" style="13" customWidth="1"/>
    <col min="6407" max="6407" width="16.42578125" style="13" customWidth="1"/>
    <col min="6408" max="6414" width="0" style="13" hidden="1" customWidth="1"/>
    <col min="6415" max="6415" width="4.140625" style="13" customWidth="1"/>
    <col min="6416" max="6416" width="5.7109375" style="13" customWidth="1"/>
    <col min="6417" max="6417" width="0" style="13" hidden="1" customWidth="1"/>
    <col min="6418" max="6418" width="15.7109375" style="13" customWidth="1"/>
    <col min="6419" max="6419" width="7.7109375" style="13" customWidth="1"/>
    <col min="6420" max="6420" width="9.140625" style="13"/>
    <col min="6421" max="6421" width="10.85546875" style="13" customWidth="1"/>
    <col min="6422" max="6422" width="9.7109375" style="13" customWidth="1"/>
    <col min="6423" max="6423" width="8.85546875" style="13" customWidth="1"/>
    <col min="6424" max="6424" width="10.7109375" style="13" customWidth="1"/>
    <col min="6425" max="6425" width="16" style="13" customWidth="1"/>
    <col min="6426" max="6426" width="8.7109375" style="13" customWidth="1"/>
    <col min="6427" max="6427" width="6.5703125" style="13" bestFit="1" customWidth="1"/>
    <col min="6428" max="6428" width="8.7109375" style="13" customWidth="1"/>
    <col min="6429" max="6429" width="16" style="13" customWidth="1"/>
    <col min="6430" max="6430" width="15" style="13" customWidth="1"/>
    <col min="6431" max="6431" width="9.42578125" style="13" customWidth="1"/>
    <col min="6432" max="6656" width="9.140625" style="13"/>
    <col min="6657" max="6657" width="12.28515625" style="13" customWidth="1"/>
    <col min="6658" max="6658" width="2.42578125" style="13" customWidth="1"/>
    <col min="6659" max="6659" width="3.42578125" style="13" customWidth="1"/>
    <col min="6660" max="6660" width="13.28515625" style="13" customWidth="1"/>
    <col min="6661" max="6661" width="3.140625" style="13" customWidth="1"/>
    <col min="6662" max="6662" width="5.140625" style="13" customWidth="1"/>
    <col min="6663" max="6663" width="16.42578125" style="13" customWidth="1"/>
    <col min="6664" max="6670" width="0" style="13" hidden="1" customWidth="1"/>
    <col min="6671" max="6671" width="4.140625" style="13" customWidth="1"/>
    <col min="6672" max="6672" width="5.7109375" style="13" customWidth="1"/>
    <col min="6673" max="6673" width="0" style="13" hidden="1" customWidth="1"/>
    <col min="6674" max="6674" width="15.7109375" style="13" customWidth="1"/>
    <col min="6675" max="6675" width="7.7109375" style="13" customWidth="1"/>
    <col min="6676" max="6676" width="9.140625" style="13"/>
    <col min="6677" max="6677" width="10.85546875" style="13" customWidth="1"/>
    <col min="6678" max="6678" width="9.7109375" style="13" customWidth="1"/>
    <col min="6679" max="6679" width="8.85546875" style="13" customWidth="1"/>
    <col min="6680" max="6680" width="10.7109375" style="13" customWidth="1"/>
    <col min="6681" max="6681" width="16" style="13" customWidth="1"/>
    <col min="6682" max="6682" width="8.7109375" style="13" customWidth="1"/>
    <col min="6683" max="6683" width="6.5703125" style="13" bestFit="1" customWidth="1"/>
    <col min="6684" max="6684" width="8.7109375" style="13" customWidth="1"/>
    <col min="6685" max="6685" width="16" style="13" customWidth="1"/>
    <col min="6686" max="6686" width="15" style="13" customWidth="1"/>
    <col min="6687" max="6687" width="9.42578125" style="13" customWidth="1"/>
    <col min="6688" max="6912" width="9.140625" style="13"/>
    <col min="6913" max="6913" width="12.28515625" style="13" customWidth="1"/>
    <col min="6914" max="6914" width="2.42578125" style="13" customWidth="1"/>
    <col min="6915" max="6915" width="3.42578125" style="13" customWidth="1"/>
    <col min="6916" max="6916" width="13.28515625" style="13" customWidth="1"/>
    <col min="6917" max="6917" width="3.140625" style="13" customWidth="1"/>
    <col min="6918" max="6918" width="5.140625" style="13" customWidth="1"/>
    <col min="6919" max="6919" width="16.42578125" style="13" customWidth="1"/>
    <col min="6920" max="6926" width="0" style="13" hidden="1" customWidth="1"/>
    <col min="6927" max="6927" width="4.140625" style="13" customWidth="1"/>
    <col min="6928" max="6928" width="5.7109375" style="13" customWidth="1"/>
    <col min="6929" max="6929" width="0" style="13" hidden="1" customWidth="1"/>
    <col min="6930" max="6930" width="15.7109375" style="13" customWidth="1"/>
    <col min="6931" max="6931" width="7.7109375" style="13" customWidth="1"/>
    <col min="6932" max="6932" width="9.140625" style="13"/>
    <col min="6933" max="6933" width="10.85546875" style="13" customWidth="1"/>
    <col min="6934" max="6934" width="9.7109375" style="13" customWidth="1"/>
    <col min="6935" max="6935" width="8.85546875" style="13" customWidth="1"/>
    <col min="6936" max="6936" width="10.7109375" style="13" customWidth="1"/>
    <col min="6937" max="6937" width="16" style="13" customWidth="1"/>
    <col min="6938" max="6938" width="8.7109375" style="13" customWidth="1"/>
    <col min="6939" max="6939" width="6.5703125" style="13" bestFit="1" customWidth="1"/>
    <col min="6940" max="6940" width="8.7109375" style="13" customWidth="1"/>
    <col min="6941" max="6941" width="16" style="13" customWidth="1"/>
    <col min="6942" max="6942" width="15" style="13" customWidth="1"/>
    <col min="6943" max="6943" width="9.42578125" style="13" customWidth="1"/>
    <col min="6944" max="7168" width="9.140625" style="13"/>
    <col min="7169" max="7169" width="12.28515625" style="13" customWidth="1"/>
    <col min="7170" max="7170" width="2.42578125" style="13" customWidth="1"/>
    <col min="7171" max="7171" width="3.42578125" style="13" customWidth="1"/>
    <col min="7172" max="7172" width="13.28515625" style="13" customWidth="1"/>
    <col min="7173" max="7173" width="3.140625" style="13" customWidth="1"/>
    <col min="7174" max="7174" width="5.140625" style="13" customWidth="1"/>
    <col min="7175" max="7175" width="16.42578125" style="13" customWidth="1"/>
    <col min="7176" max="7182" width="0" style="13" hidden="1" customWidth="1"/>
    <col min="7183" max="7183" width="4.140625" style="13" customWidth="1"/>
    <col min="7184" max="7184" width="5.7109375" style="13" customWidth="1"/>
    <col min="7185" max="7185" width="0" style="13" hidden="1" customWidth="1"/>
    <col min="7186" max="7186" width="15.7109375" style="13" customWidth="1"/>
    <col min="7187" max="7187" width="7.7109375" style="13" customWidth="1"/>
    <col min="7188" max="7188" width="9.140625" style="13"/>
    <col min="7189" max="7189" width="10.85546875" style="13" customWidth="1"/>
    <col min="7190" max="7190" width="9.7109375" style="13" customWidth="1"/>
    <col min="7191" max="7191" width="8.85546875" style="13" customWidth="1"/>
    <col min="7192" max="7192" width="10.7109375" style="13" customWidth="1"/>
    <col min="7193" max="7193" width="16" style="13" customWidth="1"/>
    <col min="7194" max="7194" width="8.7109375" style="13" customWidth="1"/>
    <col min="7195" max="7195" width="6.5703125" style="13" bestFit="1" customWidth="1"/>
    <col min="7196" max="7196" width="8.7109375" style="13" customWidth="1"/>
    <col min="7197" max="7197" width="16" style="13" customWidth="1"/>
    <col min="7198" max="7198" width="15" style="13" customWidth="1"/>
    <col min="7199" max="7199" width="9.42578125" style="13" customWidth="1"/>
    <col min="7200" max="7424" width="9.140625" style="13"/>
    <col min="7425" max="7425" width="12.28515625" style="13" customWidth="1"/>
    <col min="7426" max="7426" width="2.42578125" style="13" customWidth="1"/>
    <col min="7427" max="7427" width="3.42578125" style="13" customWidth="1"/>
    <col min="7428" max="7428" width="13.28515625" style="13" customWidth="1"/>
    <col min="7429" max="7429" width="3.140625" style="13" customWidth="1"/>
    <col min="7430" max="7430" width="5.140625" style="13" customWidth="1"/>
    <col min="7431" max="7431" width="16.42578125" style="13" customWidth="1"/>
    <col min="7432" max="7438" width="0" style="13" hidden="1" customWidth="1"/>
    <col min="7439" max="7439" width="4.140625" style="13" customWidth="1"/>
    <col min="7440" max="7440" width="5.7109375" style="13" customWidth="1"/>
    <col min="7441" max="7441" width="0" style="13" hidden="1" customWidth="1"/>
    <col min="7442" max="7442" width="15.7109375" style="13" customWidth="1"/>
    <col min="7443" max="7443" width="7.7109375" style="13" customWidth="1"/>
    <col min="7444" max="7444" width="9.140625" style="13"/>
    <col min="7445" max="7445" width="10.85546875" style="13" customWidth="1"/>
    <col min="7446" max="7446" width="9.7109375" style="13" customWidth="1"/>
    <col min="7447" max="7447" width="8.85546875" style="13" customWidth="1"/>
    <col min="7448" max="7448" width="10.7109375" style="13" customWidth="1"/>
    <col min="7449" max="7449" width="16" style="13" customWidth="1"/>
    <col min="7450" max="7450" width="8.7109375" style="13" customWidth="1"/>
    <col min="7451" max="7451" width="6.5703125" style="13" bestFit="1" customWidth="1"/>
    <col min="7452" max="7452" width="8.7109375" style="13" customWidth="1"/>
    <col min="7453" max="7453" width="16" style="13" customWidth="1"/>
    <col min="7454" max="7454" width="15" style="13" customWidth="1"/>
    <col min="7455" max="7455" width="9.42578125" style="13" customWidth="1"/>
    <col min="7456" max="7680" width="9.140625" style="13"/>
    <col min="7681" max="7681" width="12.28515625" style="13" customWidth="1"/>
    <col min="7682" max="7682" width="2.42578125" style="13" customWidth="1"/>
    <col min="7683" max="7683" width="3.42578125" style="13" customWidth="1"/>
    <col min="7684" max="7684" width="13.28515625" style="13" customWidth="1"/>
    <col min="7685" max="7685" width="3.140625" style="13" customWidth="1"/>
    <col min="7686" max="7686" width="5.140625" style="13" customWidth="1"/>
    <col min="7687" max="7687" width="16.42578125" style="13" customWidth="1"/>
    <col min="7688" max="7694" width="0" style="13" hidden="1" customWidth="1"/>
    <col min="7695" max="7695" width="4.140625" style="13" customWidth="1"/>
    <col min="7696" max="7696" width="5.7109375" style="13" customWidth="1"/>
    <col min="7697" max="7697" width="0" style="13" hidden="1" customWidth="1"/>
    <col min="7698" max="7698" width="15.7109375" style="13" customWidth="1"/>
    <col min="7699" max="7699" width="7.7109375" style="13" customWidth="1"/>
    <col min="7700" max="7700" width="9.140625" style="13"/>
    <col min="7701" max="7701" width="10.85546875" style="13" customWidth="1"/>
    <col min="7702" max="7702" width="9.7109375" style="13" customWidth="1"/>
    <col min="7703" max="7703" width="8.85546875" style="13" customWidth="1"/>
    <col min="7704" max="7704" width="10.7109375" style="13" customWidth="1"/>
    <col min="7705" max="7705" width="16" style="13" customWidth="1"/>
    <col min="7706" max="7706" width="8.7109375" style="13" customWidth="1"/>
    <col min="7707" max="7707" width="6.5703125" style="13" bestFit="1" customWidth="1"/>
    <col min="7708" max="7708" width="8.7109375" style="13" customWidth="1"/>
    <col min="7709" max="7709" width="16" style="13" customWidth="1"/>
    <col min="7710" max="7710" width="15" style="13" customWidth="1"/>
    <col min="7711" max="7711" width="9.42578125" style="13" customWidth="1"/>
    <col min="7712" max="7936" width="9.140625" style="13"/>
    <col min="7937" max="7937" width="12.28515625" style="13" customWidth="1"/>
    <col min="7938" max="7938" width="2.42578125" style="13" customWidth="1"/>
    <col min="7939" max="7939" width="3.42578125" style="13" customWidth="1"/>
    <col min="7940" max="7940" width="13.28515625" style="13" customWidth="1"/>
    <col min="7941" max="7941" width="3.140625" style="13" customWidth="1"/>
    <col min="7942" max="7942" width="5.140625" style="13" customWidth="1"/>
    <col min="7943" max="7943" width="16.42578125" style="13" customWidth="1"/>
    <col min="7944" max="7950" width="0" style="13" hidden="1" customWidth="1"/>
    <col min="7951" max="7951" width="4.140625" style="13" customWidth="1"/>
    <col min="7952" max="7952" width="5.7109375" style="13" customWidth="1"/>
    <col min="7953" max="7953" width="0" style="13" hidden="1" customWidth="1"/>
    <col min="7954" max="7954" width="15.7109375" style="13" customWidth="1"/>
    <col min="7955" max="7955" width="7.7109375" style="13" customWidth="1"/>
    <col min="7956" max="7956" width="9.140625" style="13"/>
    <col min="7957" max="7957" width="10.85546875" style="13" customWidth="1"/>
    <col min="7958" max="7958" width="9.7109375" style="13" customWidth="1"/>
    <col min="7959" max="7959" width="8.85546875" style="13" customWidth="1"/>
    <col min="7960" max="7960" width="10.7109375" style="13" customWidth="1"/>
    <col min="7961" max="7961" width="16" style="13" customWidth="1"/>
    <col min="7962" max="7962" width="8.7109375" style="13" customWidth="1"/>
    <col min="7963" max="7963" width="6.5703125" style="13" bestFit="1" customWidth="1"/>
    <col min="7964" max="7964" width="8.7109375" style="13" customWidth="1"/>
    <col min="7965" max="7965" width="16" style="13" customWidth="1"/>
    <col min="7966" max="7966" width="15" style="13" customWidth="1"/>
    <col min="7967" max="7967" width="9.42578125" style="13" customWidth="1"/>
    <col min="7968" max="8192" width="9.140625" style="13"/>
    <col min="8193" max="8193" width="12.28515625" style="13" customWidth="1"/>
    <col min="8194" max="8194" width="2.42578125" style="13" customWidth="1"/>
    <col min="8195" max="8195" width="3.42578125" style="13" customWidth="1"/>
    <col min="8196" max="8196" width="13.28515625" style="13" customWidth="1"/>
    <col min="8197" max="8197" width="3.140625" style="13" customWidth="1"/>
    <col min="8198" max="8198" width="5.140625" style="13" customWidth="1"/>
    <col min="8199" max="8199" width="16.42578125" style="13" customWidth="1"/>
    <col min="8200" max="8206" width="0" style="13" hidden="1" customWidth="1"/>
    <col min="8207" max="8207" width="4.140625" style="13" customWidth="1"/>
    <col min="8208" max="8208" width="5.7109375" style="13" customWidth="1"/>
    <col min="8209" max="8209" width="0" style="13" hidden="1" customWidth="1"/>
    <col min="8210" max="8210" width="15.7109375" style="13" customWidth="1"/>
    <col min="8211" max="8211" width="7.7109375" style="13" customWidth="1"/>
    <col min="8212" max="8212" width="9.140625" style="13"/>
    <col min="8213" max="8213" width="10.85546875" style="13" customWidth="1"/>
    <col min="8214" max="8214" width="9.7109375" style="13" customWidth="1"/>
    <col min="8215" max="8215" width="8.85546875" style="13" customWidth="1"/>
    <col min="8216" max="8216" width="10.7109375" style="13" customWidth="1"/>
    <col min="8217" max="8217" width="16" style="13" customWidth="1"/>
    <col min="8218" max="8218" width="8.7109375" style="13" customWidth="1"/>
    <col min="8219" max="8219" width="6.5703125" style="13" bestFit="1" customWidth="1"/>
    <col min="8220" max="8220" width="8.7109375" style="13" customWidth="1"/>
    <col min="8221" max="8221" width="16" style="13" customWidth="1"/>
    <col min="8222" max="8222" width="15" style="13" customWidth="1"/>
    <col min="8223" max="8223" width="9.42578125" style="13" customWidth="1"/>
    <col min="8224" max="8448" width="9.140625" style="13"/>
    <col min="8449" max="8449" width="12.28515625" style="13" customWidth="1"/>
    <col min="8450" max="8450" width="2.42578125" style="13" customWidth="1"/>
    <col min="8451" max="8451" width="3.42578125" style="13" customWidth="1"/>
    <col min="8452" max="8452" width="13.28515625" style="13" customWidth="1"/>
    <col min="8453" max="8453" width="3.140625" style="13" customWidth="1"/>
    <col min="8454" max="8454" width="5.140625" style="13" customWidth="1"/>
    <col min="8455" max="8455" width="16.42578125" style="13" customWidth="1"/>
    <col min="8456" max="8462" width="0" style="13" hidden="1" customWidth="1"/>
    <col min="8463" max="8463" width="4.140625" style="13" customWidth="1"/>
    <col min="8464" max="8464" width="5.7109375" style="13" customWidth="1"/>
    <col min="8465" max="8465" width="0" style="13" hidden="1" customWidth="1"/>
    <col min="8466" max="8466" width="15.7109375" style="13" customWidth="1"/>
    <col min="8467" max="8467" width="7.7109375" style="13" customWidth="1"/>
    <col min="8468" max="8468" width="9.140625" style="13"/>
    <col min="8469" max="8469" width="10.85546875" style="13" customWidth="1"/>
    <col min="8470" max="8470" width="9.7109375" style="13" customWidth="1"/>
    <col min="8471" max="8471" width="8.85546875" style="13" customWidth="1"/>
    <col min="8472" max="8472" width="10.7109375" style="13" customWidth="1"/>
    <col min="8473" max="8473" width="16" style="13" customWidth="1"/>
    <col min="8474" max="8474" width="8.7109375" style="13" customWidth="1"/>
    <col min="8475" max="8475" width="6.5703125" style="13" bestFit="1" customWidth="1"/>
    <col min="8476" max="8476" width="8.7109375" style="13" customWidth="1"/>
    <col min="8477" max="8477" width="16" style="13" customWidth="1"/>
    <col min="8478" max="8478" width="15" style="13" customWidth="1"/>
    <col min="8479" max="8479" width="9.42578125" style="13" customWidth="1"/>
    <col min="8480" max="8704" width="9.140625" style="13"/>
    <col min="8705" max="8705" width="12.28515625" style="13" customWidth="1"/>
    <col min="8706" max="8706" width="2.42578125" style="13" customWidth="1"/>
    <col min="8707" max="8707" width="3.42578125" style="13" customWidth="1"/>
    <col min="8708" max="8708" width="13.28515625" style="13" customWidth="1"/>
    <col min="8709" max="8709" width="3.140625" style="13" customWidth="1"/>
    <col min="8710" max="8710" width="5.140625" style="13" customWidth="1"/>
    <col min="8711" max="8711" width="16.42578125" style="13" customWidth="1"/>
    <col min="8712" max="8718" width="0" style="13" hidden="1" customWidth="1"/>
    <col min="8719" max="8719" width="4.140625" style="13" customWidth="1"/>
    <col min="8720" max="8720" width="5.7109375" style="13" customWidth="1"/>
    <col min="8721" max="8721" width="0" style="13" hidden="1" customWidth="1"/>
    <col min="8722" max="8722" width="15.7109375" style="13" customWidth="1"/>
    <col min="8723" max="8723" width="7.7109375" style="13" customWidth="1"/>
    <col min="8724" max="8724" width="9.140625" style="13"/>
    <col min="8725" max="8725" width="10.85546875" style="13" customWidth="1"/>
    <col min="8726" max="8726" width="9.7109375" style="13" customWidth="1"/>
    <col min="8727" max="8727" width="8.85546875" style="13" customWidth="1"/>
    <col min="8728" max="8728" width="10.7109375" style="13" customWidth="1"/>
    <col min="8729" max="8729" width="16" style="13" customWidth="1"/>
    <col min="8730" max="8730" width="8.7109375" style="13" customWidth="1"/>
    <col min="8731" max="8731" width="6.5703125" style="13" bestFit="1" customWidth="1"/>
    <col min="8732" max="8732" width="8.7109375" style="13" customWidth="1"/>
    <col min="8733" max="8733" width="16" style="13" customWidth="1"/>
    <col min="8734" max="8734" width="15" style="13" customWidth="1"/>
    <col min="8735" max="8735" width="9.42578125" style="13" customWidth="1"/>
    <col min="8736" max="8960" width="9.140625" style="13"/>
    <col min="8961" max="8961" width="12.28515625" style="13" customWidth="1"/>
    <col min="8962" max="8962" width="2.42578125" style="13" customWidth="1"/>
    <col min="8963" max="8963" width="3.42578125" style="13" customWidth="1"/>
    <col min="8964" max="8964" width="13.28515625" style="13" customWidth="1"/>
    <col min="8965" max="8965" width="3.140625" style="13" customWidth="1"/>
    <col min="8966" max="8966" width="5.140625" style="13" customWidth="1"/>
    <col min="8967" max="8967" width="16.42578125" style="13" customWidth="1"/>
    <col min="8968" max="8974" width="0" style="13" hidden="1" customWidth="1"/>
    <col min="8975" max="8975" width="4.140625" style="13" customWidth="1"/>
    <col min="8976" max="8976" width="5.7109375" style="13" customWidth="1"/>
    <col min="8977" max="8977" width="0" style="13" hidden="1" customWidth="1"/>
    <col min="8978" max="8978" width="15.7109375" style="13" customWidth="1"/>
    <col min="8979" max="8979" width="7.7109375" style="13" customWidth="1"/>
    <col min="8980" max="8980" width="9.140625" style="13"/>
    <col min="8981" max="8981" width="10.85546875" style="13" customWidth="1"/>
    <col min="8982" max="8982" width="9.7109375" style="13" customWidth="1"/>
    <col min="8983" max="8983" width="8.85546875" style="13" customWidth="1"/>
    <col min="8984" max="8984" width="10.7109375" style="13" customWidth="1"/>
    <col min="8985" max="8985" width="16" style="13" customWidth="1"/>
    <col min="8986" max="8986" width="8.7109375" style="13" customWidth="1"/>
    <col min="8987" max="8987" width="6.5703125" style="13" bestFit="1" customWidth="1"/>
    <col min="8988" max="8988" width="8.7109375" style="13" customWidth="1"/>
    <col min="8989" max="8989" width="16" style="13" customWidth="1"/>
    <col min="8990" max="8990" width="15" style="13" customWidth="1"/>
    <col min="8991" max="8991" width="9.42578125" style="13" customWidth="1"/>
    <col min="8992" max="9216" width="9.140625" style="13"/>
    <col min="9217" max="9217" width="12.28515625" style="13" customWidth="1"/>
    <col min="9218" max="9218" width="2.42578125" style="13" customWidth="1"/>
    <col min="9219" max="9219" width="3.42578125" style="13" customWidth="1"/>
    <col min="9220" max="9220" width="13.28515625" style="13" customWidth="1"/>
    <col min="9221" max="9221" width="3.140625" style="13" customWidth="1"/>
    <col min="9222" max="9222" width="5.140625" style="13" customWidth="1"/>
    <col min="9223" max="9223" width="16.42578125" style="13" customWidth="1"/>
    <col min="9224" max="9230" width="0" style="13" hidden="1" customWidth="1"/>
    <col min="9231" max="9231" width="4.140625" style="13" customWidth="1"/>
    <col min="9232" max="9232" width="5.7109375" style="13" customWidth="1"/>
    <col min="9233" max="9233" width="0" style="13" hidden="1" customWidth="1"/>
    <col min="9234" max="9234" width="15.7109375" style="13" customWidth="1"/>
    <col min="9235" max="9235" width="7.7109375" style="13" customWidth="1"/>
    <col min="9236" max="9236" width="9.140625" style="13"/>
    <col min="9237" max="9237" width="10.85546875" style="13" customWidth="1"/>
    <col min="9238" max="9238" width="9.7109375" style="13" customWidth="1"/>
    <col min="9239" max="9239" width="8.85546875" style="13" customWidth="1"/>
    <col min="9240" max="9240" width="10.7109375" style="13" customWidth="1"/>
    <col min="9241" max="9241" width="16" style="13" customWidth="1"/>
    <col min="9242" max="9242" width="8.7109375" style="13" customWidth="1"/>
    <col min="9243" max="9243" width="6.5703125" style="13" bestFit="1" customWidth="1"/>
    <col min="9244" max="9244" width="8.7109375" style="13" customWidth="1"/>
    <col min="9245" max="9245" width="16" style="13" customWidth="1"/>
    <col min="9246" max="9246" width="15" style="13" customWidth="1"/>
    <col min="9247" max="9247" width="9.42578125" style="13" customWidth="1"/>
    <col min="9248" max="9472" width="9.140625" style="13"/>
    <col min="9473" max="9473" width="12.28515625" style="13" customWidth="1"/>
    <col min="9474" max="9474" width="2.42578125" style="13" customWidth="1"/>
    <col min="9475" max="9475" width="3.42578125" style="13" customWidth="1"/>
    <col min="9476" max="9476" width="13.28515625" style="13" customWidth="1"/>
    <col min="9477" max="9477" width="3.140625" style="13" customWidth="1"/>
    <col min="9478" max="9478" width="5.140625" style="13" customWidth="1"/>
    <col min="9479" max="9479" width="16.42578125" style="13" customWidth="1"/>
    <col min="9480" max="9486" width="0" style="13" hidden="1" customWidth="1"/>
    <col min="9487" max="9487" width="4.140625" style="13" customWidth="1"/>
    <col min="9488" max="9488" width="5.7109375" style="13" customWidth="1"/>
    <col min="9489" max="9489" width="0" style="13" hidden="1" customWidth="1"/>
    <col min="9490" max="9490" width="15.7109375" style="13" customWidth="1"/>
    <col min="9491" max="9491" width="7.7109375" style="13" customWidth="1"/>
    <col min="9492" max="9492" width="9.140625" style="13"/>
    <col min="9493" max="9493" width="10.85546875" style="13" customWidth="1"/>
    <col min="9494" max="9494" width="9.7109375" style="13" customWidth="1"/>
    <col min="9495" max="9495" width="8.85546875" style="13" customWidth="1"/>
    <col min="9496" max="9496" width="10.7109375" style="13" customWidth="1"/>
    <col min="9497" max="9497" width="16" style="13" customWidth="1"/>
    <col min="9498" max="9498" width="8.7109375" style="13" customWidth="1"/>
    <col min="9499" max="9499" width="6.5703125" style="13" bestFit="1" customWidth="1"/>
    <col min="9500" max="9500" width="8.7109375" style="13" customWidth="1"/>
    <col min="9501" max="9501" width="16" style="13" customWidth="1"/>
    <col min="9502" max="9502" width="15" style="13" customWidth="1"/>
    <col min="9503" max="9503" width="9.42578125" style="13" customWidth="1"/>
    <col min="9504" max="9728" width="9.140625" style="13"/>
    <col min="9729" max="9729" width="12.28515625" style="13" customWidth="1"/>
    <col min="9730" max="9730" width="2.42578125" style="13" customWidth="1"/>
    <col min="9731" max="9731" width="3.42578125" style="13" customWidth="1"/>
    <col min="9732" max="9732" width="13.28515625" style="13" customWidth="1"/>
    <col min="9733" max="9733" width="3.140625" style="13" customWidth="1"/>
    <col min="9734" max="9734" width="5.140625" style="13" customWidth="1"/>
    <col min="9735" max="9735" width="16.42578125" style="13" customWidth="1"/>
    <col min="9736" max="9742" width="0" style="13" hidden="1" customWidth="1"/>
    <col min="9743" max="9743" width="4.140625" style="13" customWidth="1"/>
    <col min="9744" max="9744" width="5.7109375" style="13" customWidth="1"/>
    <col min="9745" max="9745" width="0" style="13" hidden="1" customWidth="1"/>
    <col min="9746" max="9746" width="15.7109375" style="13" customWidth="1"/>
    <col min="9747" max="9747" width="7.7109375" style="13" customWidth="1"/>
    <col min="9748" max="9748" width="9.140625" style="13"/>
    <col min="9749" max="9749" width="10.85546875" style="13" customWidth="1"/>
    <col min="9750" max="9750" width="9.7109375" style="13" customWidth="1"/>
    <col min="9751" max="9751" width="8.85546875" style="13" customWidth="1"/>
    <col min="9752" max="9752" width="10.7109375" style="13" customWidth="1"/>
    <col min="9753" max="9753" width="16" style="13" customWidth="1"/>
    <col min="9754" max="9754" width="8.7109375" style="13" customWidth="1"/>
    <col min="9755" max="9755" width="6.5703125" style="13" bestFit="1" customWidth="1"/>
    <col min="9756" max="9756" width="8.7109375" style="13" customWidth="1"/>
    <col min="9757" max="9757" width="16" style="13" customWidth="1"/>
    <col min="9758" max="9758" width="15" style="13" customWidth="1"/>
    <col min="9759" max="9759" width="9.42578125" style="13" customWidth="1"/>
    <col min="9760" max="9984" width="9.140625" style="13"/>
    <col min="9985" max="9985" width="12.28515625" style="13" customWidth="1"/>
    <col min="9986" max="9986" width="2.42578125" style="13" customWidth="1"/>
    <col min="9987" max="9987" width="3.42578125" style="13" customWidth="1"/>
    <col min="9988" max="9988" width="13.28515625" style="13" customWidth="1"/>
    <col min="9989" max="9989" width="3.140625" style="13" customWidth="1"/>
    <col min="9990" max="9990" width="5.140625" style="13" customWidth="1"/>
    <col min="9991" max="9991" width="16.42578125" style="13" customWidth="1"/>
    <col min="9992" max="9998" width="0" style="13" hidden="1" customWidth="1"/>
    <col min="9999" max="9999" width="4.140625" style="13" customWidth="1"/>
    <col min="10000" max="10000" width="5.7109375" style="13" customWidth="1"/>
    <col min="10001" max="10001" width="0" style="13" hidden="1" customWidth="1"/>
    <col min="10002" max="10002" width="15.7109375" style="13" customWidth="1"/>
    <col min="10003" max="10003" width="7.7109375" style="13" customWidth="1"/>
    <col min="10004" max="10004" width="9.140625" style="13"/>
    <col min="10005" max="10005" width="10.85546875" style="13" customWidth="1"/>
    <col min="10006" max="10006" width="9.7109375" style="13" customWidth="1"/>
    <col min="10007" max="10007" width="8.85546875" style="13" customWidth="1"/>
    <col min="10008" max="10008" width="10.7109375" style="13" customWidth="1"/>
    <col min="10009" max="10009" width="16" style="13" customWidth="1"/>
    <col min="10010" max="10010" width="8.7109375" style="13" customWidth="1"/>
    <col min="10011" max="10011" width="6.5703125" style="13" bestFit="1" customWidth="1"/>
    <col min="10012" max="10012" width="8.7109375" style="13" customWidth="1"/>
    <col min="10013" max="10013" width="16" style="13" customWidth="1"/>
    <col min="10014" max="10014" width="15" style="13" customWidth="1"/>
    <col min="10015" max="10015" width="9.42578125" style="13" customWidth="1"/>
    <col min="10016" max="10240" width="9.140625" style="13"/>
    <col min="10241" max="10241" width="12.28515625" style="13" customWidth="1"/>
    <col min="10242" max="10242" width="2.42578125" style="13" customWidth="1"/>
    <col min="10243" max="10243" width="3.42578125" style="13" customWidth="1"/>
    <col min="10244" max="10244" width="13.28515625" style="13" customWidth="1"/>
    <col min="10245" max="10245" width="3.140625" style="13" customWidth="1"/>
    <col min="10246" max="10246" width="5.140625" style="13" customWidth="1"/>
    <col min="10247" max="10247" width="16.42578125" style="13" customWidth="1"/>
    <col min="10248" max="10254" width="0" style="13" hidden="1" customWidth="1"/>
    <col min="10255" max="10255" width="4.140625" style="13" customWidth="1"/>
    <col min="10256" max="10256" width="5.7109375" style="13" customWidth="1"/>
    <col min="10257" max="10257" width="0" style="13" hidden="1" customWidth="1"/>
    <col min="10258" max="10258" width="15.7109375" style="13" customWidth="1"/>
    <col min="10259" max="10259" width="7.7109375" style="13" customWidth="1"/>
    <col min="10260" max="10260" width="9.140625" style="13"/>
    <col min="10261" max="10261" width="10.85546875" style="13" customWidth="1"/>
    <col min="10262" max="10262" width="9.7109375" style="13" customWidth="1"/>
    <col min="10263" max="10263" width="8.85546875" style="13" customWidth="1"/>
    <col min="10264" max="10264" width="10.7109375" style="13" customWidth="1"/>
    <col min="10265" max="10265" width="16" style="13" customWidth="1"/>
    <col min="10266" max="10266" width="8.7109375" style="13" customWidth="1"/>
    <col min="10267" max="10267" width="6.5703125" style="13" bestFit="1" customWidth="1"/>
    <col min="10268" max="10268" width="8.7109375" style="13" customWidth="1"/>
    <col min="10269" max="10269" width="16" style="13" customWidth="1"/>
    <col min="10270" max="10270" width="15" style="13" customWidth="1"/>
    <col min="10271" max="10271" width="9.42578125" style="13" customWidth="1"/>
    <col min="10272" max="10496" width="9.140625" style="13"/>
    <col min="10497" max="10497" width="12.28515625" style="13" customWidth="1"/>
    <col min="10498" max="10498" width="2.42578125" style="13" customWidth="1"/>
    <col min="10499" max="10499" width="3.42578125" style="13" customWidth="1"/>
    <col min="10500" max="10500" width="13.28515625" style="13" customWidth="1"/>
    <col min="10501" max="10501" width="3.140625" style="13" customWidth="1"/>
    <col min="10502" max="10502" width="5.140625" style="13" customWidth="1"/>
    <col min="10503" max="10503" width="16.42578125" style="13" customWidth="1"/>
    <col min="10504" max="10510" width="0" style="13" hidden="1" customWidth="1"/>
    <col min="10511" max="10511" width="4.140625" style="13" customWidth="1"/>
    <col min="10512" max="10512" width="5.7109375" style="13" customWidth="1"/>
    <col min="10513" max="10513" width="0" style="13" hidden="1" customWidth="1"/>
    <col min="10514" max="10514" width="15.7109375" style="13" customWidth="1"/>
    <col min="10515" max="10515" width="7.7109375" style="13" customWidth="1"/>
    <col min="10516" max="10516" width="9.140625" style="13"/>
    <col min="10517" max="10517" width="10.85546875" style="13" customWidth="1"/>
    <col min="10518" max="10518" width="9.7109375" style="13" customWidth="1"/>
    <col min="10519" max="10519" width="8.85546875" style="13" customWidth="1"/>
    <col min="10520" max="10520" width="10.7109375" style="13" customWidth="1"/>
    <col min="10521" max="10521" width="16" style="13" customWidth="1"/>
    <col min="10522" max="10522" width="8.7109375" style="13" customWidth="1"/>
    <col min="10523" max="10523" width="6.5703125" style="13" bestFit="1" customWidth="1"/>
    <col min="10524" max="10524" width="8.7109375" style="13" customWidth="1"/>
    <col min="10525" max="10525" width="16" style="13" customWidth="1"/>
    <col min="10526" max="10526" width="15" style="13" customWidth="1"/>
    <col min="10527" max="10527" width="9.42578125" style="13" customWidth="1"/>
    <col min="10528" max="10752" width="9.140625" style="13"/>
    <col min="10753" max="10753" width="12.28515625" style="13" customWidth="1"/>
    <col min="10754" max="10754" width="2.42578125" style="13" customWidth="1"/>
    <col min="10755" max="10755" width="3.42578125" style="13" customWidth="1"/>
    <col min="10756" max="10756" width="13.28515625" style="13" customWidth="1"/>
    <col min="10757" max="10757" width="3.140625" style="13" customWidth="1"/>
    <col min="10758" max="10758" width="5.140625" style="13" customWidth="1"/>
    <col min="10759" max="10759" width="16.42578125" style="13" customWidth="1"/>
    <col min="10760" max="10766" width="0" style="13" hidden="1" customWidth="1"/>
    <col min="10767" max="10767" width="4.140625" style="13" customWidth="1"/>
    <col min="10768" max="10768" width="5.7109375" style="13" customWidth="1"/>
    <col min="10769" max="10769" width="0" style="13" hidden="1" customWidth="1"/>
    <col min="10770" max="10770" width="15.7109375" style="13" customWidth="1"/>
    <col min="10771" max="10771" width="7.7109375" style="13" customWidth="1"/>
    <col min="10772" max="10772" width="9.140625" style="13"/>
    <col min="10773" max="10773" width="10.85546875" style="13" customWidth="1"/>
    <col min="10774" max="10774" width="9.7109375" style="13" customWidth="1"/>
    <col min="10775" max="10775" width="8.85546875" style="13" customWidth="1"/>
    <col min="10776" max="10776" width="10.7109375" style="13" customWidth="1"/>
    <col min="10777" max="10777" width="16" style="13" customWidth="1"/>
    <col min="10778" max="10778" width="8.7109375" style="13" customWidth="1"/>
    <col min="10779" max="10779" width="6.5703125" style="13" bestFit="1" customWidth="1"/>
    <col min="10780" max="10780" width="8.7109375" style="13" customWidth="1"/>
    <col min="10781" max="10781" width="16" style="13" customWidth="1"/>
    <col min="10782" max="10782" width="15" style="13" customWidth="1"/>
    <col min="10783" max="10783" width="9.42578125" style="13" customWidth="1"/>
    <col min="10784" max="11008" width="9.140625" style="13"/>
    <col min="11009" max="11009" width="12.28515625" style="13" customWidth="1"/>
    <col min="11010" max="11010" width="2.42578125" style="13" customWidth="1"/>
    <col min="11011" max="11011" width="3.42578125" style="13" customWidth="1"/>
    <col min="11012" max="11012" width="13.28515625" style="13" customWidth="1"/>
    <col min="11013" max="11013" width="3.140625" style="13" customWidth="1"/>
    <col min="11014" max="11014" width="5.140625" style="13" customWidth="1"/>
    <col min="11015" max="11015" width="16.42578125" style="13" customWidth="1"/>
    <col min="11016" max="11022" width="0" style="13" hidden="1" customWidth="1"/>
    <col min="11023" max="11023" width="4.140625" style="13" customWidth="1"/>
    <col min="11024" max="11024" width="5.7109375" style="13" customWidth="1"/>
    <col min="11025" max="11025" width="0" style="13" hidden="1" customWidth="1"/>
    <col min="11026" max="11026" width="15.7109375" style="13" customWidth="1"/>
    <col min="11027" max="11027" width="7.7109375" style="13" customWidth="1"/>
    <col min="11028" max="11028" width="9.140625" style="13"/>
    <col min="11029" max="11029" width="10.85546875" style="13" customWidth="1"/>
    <col min="11030" max="11030" width="9.7109375" style="13" customWidth="1"/>
    <col min="11031" max="11031" width="8.85546875" style="13" customWidth="1"/>
    <col min="11032" max="11032" width="10.7109375" style="13" customWidth="1"/>
    <col min="11033" max="11033" width="16" style="13" customWidth="1"/>
    <col min="11034" max="11034" width="8.7109375" style="13" customWidth="1"/>
    <col min="11035" max="11035" width="6.5703125" style="13" bestFit="1" customWidth="1"/>
    <col min="11036" max="11036" width="8.7109375" style="13" customWidth="1"/>
    <col min="11037" max="11037" width="16" style="13" customWidth="1"/>
    <col min="11038" max="11038" width="15" style="13" customWidth="1"/>
    <col min="11039" max="11039" width="9.42578125" style="13" customWidth="1"/>
    <col min="11040" max="11264" width="9.140625" style="13"/>
    <col min="11265" max="11265" width="12.28515625" style="13" customWidth="1"/>
    <col min="11266" max="11266" width="2.42578125" style="13" customWidth="1"/>
    <col min="11267" max="11267" width="3.42578125" style="13" customWidth="1"/>
    <col min="11268" max="11268" width="13.28515625" style="13" customWidth="1"/>
    <col min="11269" max="11269" width="3.140625" style="13" customWidth="1"/>
    <col min="11270" max="11270" width="5.140625" style="13" customWidth="1"/>
    <col min="11271" max="11271" width="16.42578125" style="13" customWidth="1"/>
    <col min="11272" max="11278" width="0" style="13" hidden="1" customWidth="1"/>
    <col min="11279" max="11279" width="4.140625" style="13" customWidth="1"/>
    <col min="11280" max="11280" width="5.7109375" style="13" customWidth="1"/>
    <col min="11281" max="11281" width="0" style="13" hidden="1" customWidth="1"/>
    <col min="11282" max="11282" width="15.7109375" style="13" customWidth="1"/>
    <col min="11283" max="11283" width="7.7109375" style="13" customWidth="1"/>
    <col min="11284" max="11284" width="9.140625" style="13"/>
    <col min="11285" max="11285" width="10.85546875" style="13" customWidth="1"/>
    <col min="11286" max="11286" width="9.7109375" style="13" customWidth="1"/>
    <col min="11287" max="11287" width="8.85546875" style="13" customWidth="1"/>
    <col min="11288" max="11288" width="10.7109375" style="13" customWidth="1"/>
    <col min="11289" max="11289" width="16" style="13" customWidth="1"/>
    <col min="11290" max="11290" width="8.7109375" style="13" customWidth="1"/>
    <col min="11291" max="11291" width="6.5703125" style="13" bestFit="1" customWidth="1"/>
    <col min="11292" max="11292" width="8.7109375" style="13" customWidth="1"/>
    <col min="11293" max="11293" width="16" style="13" customWidth="1"/>
    <col min="11294" max="11294" width="15" style="13" customWidth="1"/>
    <col min="11295" max="11295" width="9.42578125" style="13" customWidth="1"/>
    <col min="11296" max="11520" width="9.140625" style="13"/>
    <col min="11521" max="11521" width="12.28515625" style="13" customWidth="1"/>
    <col min="11522" max="11522" width="2.42578125" style="13" customWidth="1"/>
    <col min="11523" max="11523" width="3.42578125" style="13" customWidth="1"/>
    <col min="11524" max="11524" width="13.28515625" style="13" customWidth="1"/>
    <col min="11525" max="11525" width="3.140625" style="13" customWidth="1"/>
    <col min="11526" max="11526" width="5.140625" style="13" customWidth="1"/>
    <col min="11527" max="11527" width="16.42578125" style="13" customWidth="1"/>
    <col min="11528" max="11534" width="0" style="13" hidden="1" customWidth="1"/>
    <col min="11535" max="11535" width="4.140625" style="13" customWidth="1"/>
    <col min="11536" max="11536" width="5.7109375" style="13" customWidth="1"/>
    <col min="11537" max="11537" width="0" style="13" hidden="1" customWidth="1"/>
    <col min="11538" max="11538" width="15.7109375" style="13" customWidth="1"/>
    <col min="11539" max="11539" width="7.7109375" style="13" customWidth="1"/>
    <col min="11540" max="11540" width="9.140625" style="13"/>
    <col min="11541" max="11541" width="10.85546875" style="13" customWidth="1"/>
    <col min="11542" max="11542" width="9.7109375" style="13" customWidth="1"/>
    <col min="11543" max="11543" width="8.85546875" style="13" customWidth="1"/>
    <col min="11544" max="11544" width="10.7109375" style="13" customWidth="1"/>
    <col min="11545" max="11545" width="16" style="13" customWidth="1"/>
    <col min="11546" max="11546" width="8.7109375" style="13" customWidth="1"/>
    <col min="11547" max="11547" width="6.5703125" style="13" bestFit="1" customWidth="1"/>
    <col min="11548" max="11548" width="8.7109375" style="13" customWidth="1"/>
    <col min="11549" max="11549" width="16" style="13" customWidth="1"/>
    <col min="11550" max="11550" width="15" style="13" customWidth="1"/>
    <col min="11551" max="11551" width="9.42578125" style="13" customWidth="1"/>
    <col min="11552" max="11776" width="9.140625" style="13"/>
    <col min="11777" max="11777" width="12.28515625" style="13" customWidth="1"/>
    <col min="11778" max="11778" width="2.42578125" style="13" customWidth="1"/>
    <col min="11779" max="11779" width="3.42578125" style="13" customWidth="1"/>
    <col min="11780" max="11780" width="13.28515625" style="13" customWidth="1"/>
    <col min="11781" max="11781" width="3.140625" style="13" customWidth="1"/>
    <col min="11782" max="11782" width="5.140625" style="13" customWidth="1"/>
    <col min="11783" max="11783" width="16.42578125" style="13" customWidth="1"/>
    <col min="11784" max="11790" width="0" style="13" hidden="1" customWidth="1"/>
    <col min="11791" max="11791" width="4.140625" style="13" customWidth="1"/>
    <col min="11792" max="11792" width="5.7109375" style="13" customWidth="1"/>
    <col min="11793" max="11793" width="0" style="13" hidden="1" customWidth="1"/>
    <col min="11794" max="11794" width="15.7109375" style="13" customWidth="1"/>
    <col min="11795" max="11795" width="7.7109375" style="13" customWidth="1"/>
    <col min="11796" max="11796" width="9.140625" style="13"/>
    <col min="11797" max="11797" width="10.85546875" style="13" customWidth="1"/>
    <col min="11798" max="11798" width="9.7109375" style="13" customWidth="1"/>
    <col min="11799" max="11799" width="8.85546875" style="13" customWidth="1"/>
    <col min="11800" max="11800" width="10.7109375" style="13" customWidth="1"/>
    <col min="11801" max="11801" width="16" style="13" customWidth="1"/>
    <col min="11802" max="11802" width="8.7109375" style="13" customWidth="1"/>
    <col min="11803" max="11803" width="6.5703125" style="13" bestFit="1" customWidth="1"/>
    <col min="11804" max="11804" width="8.7109375" style="13" customWidth="1"/>
    <col min="11805" max="11805" width="16" style="13" customWidth="1"/>
    <col min="11806" max="11806" width="15" style="13" customWidth="1"/>
    <col min="11807" max="11807" width="9.42578125" style="13" customWidth="1"/>
    <col min="11808" max="12032" width="9.140625" style="13"/>
    <col min="12033" max="12033" width="12.28515625" style="13" customWidth="1"/>
    <col min="12034" max="12034" width="2.42578125" style="13" customWidth="1"/>
    <col min="12035" max="12035" width="3.42578125" style="13" customWidth="1"/>
    <col min="12036" max="12036" width="13.28515625" style="13" customWidth="1"/>
    <col min="12037" max="12037" width="3.140625" style="13" customWidth="1"/>
    <col min="12038" max="12038" width="5.140625" style="13" customWidth="1"/>
    <col min="12039" max="12039" width="16.42578125" style="13" customWidth="1"/>
    <col min="12040" max="12046" width="0" style="13" hidden="1" customWidth="1"/>
    <col min="12047" max="12047" width="4.140625" style="13" customWidth="1"/>
    <col min="12048" max="12048" width="5.7109375" style="13" customWidth="1"/>
    <col min="12049" max="12049" width="0" style="13" hidden="1" customWidth="1"/>
    <col min="12050" max="12050" width="15.7109375" style="13" customWidth="1"/>
    <col min="12051" max="12051" width="7.7109375" style="13" customWidth="1"/>
    <col min="12052" max="12052" width="9.140625" style="13"/>
    <col min="12053" max="12053" width="10.85546875" style="13" customWidth="1"/>
    <col min="12054" max="12054" width="9.7109375" style="13" customWidth="1"/>
    <col min="12055" max="12055" width="8.85546875" style="13" customWidth="1"/>
    <col min="12056" max="12056" width="10.7109375" style="13" customWidth="1"/>
    <col min="12057" max="12057" width="16" style="13" customWidth="1"/>
    <col min="12058" max="12058" width="8.7109375" style="13" customWidth="1"/>
    <col min="12059" max="12059" width="6.5703125" style="13" bestFit="1" customWidth="1"/>
    <col min="12060" max="12060" width="8.7109375" style="13" customWidth="1"/>
    <col min="12061" max="12061" width="16" style="13" customWidth="1"/>
    <col min="12062" max="12062" width="15" style="13" customWidth="1"/>
    <col min="12063" max="12063" width="9.42578125" style="13" customWidth="1"/>
    <col min="12064" max="12288" width="9.140625" style="13"/>
    <col min="12289" max="12289" width="12.28515625" style="13" customWidth="1"/>
    <col min="12290" max="12290" width="2.42578125" style="13" customWidth="1"/>
    <col min="12291" max="12291" width="3.42578125" style="13" customWidth="1"/>
    <col min="12292" max="12292" width="13.28515625" style="13" customWidth="1"/>
    <col min="12293" max="12293" width="3.140625" style="13" customWidth="1"/>
    <col min="12294" max="12294" width="5.140625" style="13" customWidth="1"/>
    <col min="12295" max="12295" width="16.42578125" style="13" customWidth="1"/>
    <col min="12296" max="12302" width="0" style="13" hidden="1" customWidth="1"/>
    <col min="12303" max="12303" width="4.140625" style="13" customWidth="1"/>
    <col min="12304" max="12304" width="5.7109375" style="13" customWidth="1"/>
    <col min="12305" max="12305" width="0" style="13" hidden="1" customWidth="1"/>
    <col min="12306" max="12306" width="15.7109375" style="13" customWidth="1"/>
    <col min="12307" max="12307" width="7.7109375" style="13" customWidth="1"/>
    <col min="12308" max="12308" width="9.140625" style="13"/>
    <col min="12309" max="12309" width="10.85546875" style="13" customWidth="1"/>
    <col min="12310" max="12310" width="9.7109375" style="13" customWidth="1"/>
    <col min="12311" max="12311" width="8.85546875" style="13" customWidth="1"/>
    <col min="12312" max="12312" width="10.7109375" style="13" customWidth="1"/>
    <col min="12313" max="12313" width="16" style="13" customWidth="1"/>
    <col min="12314" max="12314" width="8.7109375" style="13" customWidth="1"/>
    <col min="12315" max="12315" width="6.5703125" style="13" bestFit="1" customWidth="1"/>
    <col min="12316" max="12316" width="8.7109375" style="13" customWidth="1"/>
    <col min="12317" max="12317" width="16" style="13" customWidth="1"/>
    <col min="12318" max="12318" width="15" style="13" customWidth="1"/>
    <col min="12319" max="12319" width="9.42578125" style="13" customWidth="1"/>
    <col min="12320" max="12544" width="9.140625" style="13"/>
    <col min="12545" max="12545" width="12.28515625" style="13" customWidth="1"/>
    <col min="12546" max="12546" width="2.42578125" style="13" customWidth="1"/>
    <col min="12547" max="12547" width="3.42578125" style="13" customWidth="1"/>
    <col min="12548" max="12548" width="13.28515625" style="13" customWidth="1"/>
    <col min="12549" max="12549" width="3.140625" style="13" customWidth="1"/>
    <col min="12550" max="12550" width="5.140625" style="13" customWidth="1"/>
    <col min="12551" max="12551" width="16.42578125" style="13" customWidth="1"/>
    <col min="12552" max="12558" width="0" style="13" hidden="1" customWidth="1"/>
    <col min="12559" max="12559" width="4.140625" style="13" customWidth="1"/>
    <col min="12560" max="12560" width="5.7109375" style="13" customWidth="1"/>
    <col min="12561" max="12561" width="0" style="13" hidden="1" customWidth="1"/>
    <col min="12562" max="12562" width="15.7109375" style="13" customWidth="1"/>
    <col min="12563" max="12563" width="7.7109375" style="13" customWidth="1"/>
    <col min="12564" max="12564" width="9.140625" style="13"/>
    <col min="12565" max="12565" width="10.85546875" style="13" customWidth="1"/>
    <col min="12566" max="12566" width="9.7109375" style="13" customWidth="1"/>
    <col min="12567" max="12567" width="8.85546875" style="13" customWidth="1"/>
    <col min="12568" max="12568" width="10.7109375" style="13" customWidth="1"/>
    <col min="12569" max="12569" width="16" style="13" customWidth="1"/>
    <col min="12570" max="12570" width="8.7109375" style="13" customWidth="1"/>
    <col min="12571" max="12571" width="6.5703125" style="13" bestFit="1" customWidth="1"/>
    <col min="12572" max="12572" width="8.7109375" style="13" customWidth="1"/>
    <col min="12573" max="12573" width="16" style="13" customWidth="1"/>
    <col min="12574" max="12574" width="15" style="13" customWidth="1"/>
    <col min="12575" max="12575" width="9.42578125" style="13" customWidth="1"/>
    <col min="12576" max="12800" width="9.140625" style="13"/>
    <col min="12801" max="12801" width="12.28515625" style="13" customWidth="1"/>
    <col min="12802" max="12802" width="2.42578125" style="13" customWidth="1"/>
    <col min="12803" max="12803" width="3.42578125" style="13" customWidth="1"/>
    <col min="12804" max="12804" width="13.28515625" style="13" customWidth="1"/>
    <col min="12805" max="12805" width="3.140625" style="13" customWidth="1"/>
    <col min="12806" max="12806" width="5.140625" style="13" customWidth="1"/>
    <col min="12807" max="12807" width="16.42578125" style="13" customWidth="1"/>
    <col min="12808" max="12814" width="0" style="13" hidden="1" customWidth="1"/>
    <col min="12815" max="12815" width="4.140625" style="13" customWidth="1"/>
    <col min="12816" max="12816" width="5.7109375" style="13" customWidth="1"/>
    <col min="12817" max="12817" width="0" style="13" hidden="1" customWidth="1"/>
    <col min="12818" max="12818" width="15.7109375" style="13" customWidth="1"/>
    <col min="12819" max="12819" width="7.7109375" style="13" customWidth="1"/>
    <col min="12820" max="12820" width="9.140625" style="13"/>
    <col min="12821" max="12821" width="10.85546875" style="13" customWidth="1"/>
    <col min="12822" max="12822" width="9.7109375" style="13" customWidth="1"/>
    <col min="12823" max="12823" width="8.85546875" style="13" customWidth="1"/>
    <col min="12824" max="12824" width="10.7109375" style="13" customWidth="1"/>
    <col min="12825" max="12825" width="16" style="13" customWidth="1"/>
    <col min="12826" max="12826" width="8.7109375" style="13" customWidth="1"/>
    <col min="12827" max="12827" width="6.5703125" style="13" bestFit="1" customWidth="1"/>
    <col min="12828" max="12828" width="8.7109375" style="13" customWidth="1"/>
    <col min="12829" max="12829" width="16" style="13" customWidth="1"/>
    <col min="12830" max="12830" width="15" style="13" customWidth="1"/>
    <col min="12831" max="12831" width="9.42578125" style="13" customWidth="1"/>
    <col min="12832" max="13056" width="9.140625" style="13"/>
    <col min="13057" max="13057" width="12.28515625" style="13" customWidth="1"/>
    <col min="13058" max="13058" width="2.42578125" style="13" customWidth="1"/>
    <col min="13059" max="13059" width="3.42578125" style="13" customWidth="1"/>
    <col min="13060" max="13060" width="13.28515625" style="13" customWidth="1"/>
    <col min="13061" max="13061" width="3.140625" style="13" customWidth="1"/>
    <col min="13062" max="13062" width="5.140625" style="13" customWidth="1"/>
    <col min="13063" max="13063" width="16.42578125" style="13" customWidth="1"/>
    <col min="13064" max="13070" width="0" style="13" hidden="1" customWidth="1"/>
    <col min="13071" max="13071" width="4.140625" style="13" customWidth="1"/>
    <col min="13072" max="13072" width="5.7109375" style="13" customWidth="1"/>
    <col min="13073" max="13073" width="0" style="13" hidden="1" customWidth="1"/>
    <col min="13074" max="13074" width="15.7109375" style="13" customWidth="1"/>
    <col min="13075" max="13075" width="7.7109375" style="13" customWidth="1"/>
    <col min="13076" max="13076" width="9.140625" style="13"/>
    <col min="13077" max="13077" width="10.85546875" style="13" customWidth="1"/>
    <col min="13078" max="13078" width="9.7109375" style="13" customWidth="1"/>
    <col min="13079" max="13079" width="8.85546875" style="13" customWidth="1"/>
    <col min="13080" max="13080" width="10.7109375" style="13" customWidth="1"/>
    <col min="13081" max="13081" width="16" style="13" customWidth="1"/>
    <col min="13082" max="13082" width="8.7109375" style="13" customWidth="1"/>
    <col min="13083" max="13083" width="6.5703125" style="13" bestFit="1" customWidth="1"/>
    <col min="13084" max="13084" width="8.7109375" style="13" customWidth="1"/>
    <col min="13085" max="13085" width="16" style="13" customWidth="1"/>
    <col min="13086" max="13086" width="15" style="13" customWidth="1"/>
    <col min="13087" max="13087" width="9.42578125" style="13" customWidth="1"/>
    <col min="13088" max="13312" width="9.140625" style="13"/>
    <col min="13313" max="13313" width="12.28515625" style="13" customWidth="1"/>
    <col min="13314" max="13314" width="2.42578125" style="13" customWidth="1"/>
    <col min="13315" max="13315" width="3.42578125" style="13" customWidth="1"/>
    <col min="13316" max="13316" width="13.28515625" style="13" customWidth="1"/>
    <col min="13317" max="13317" width="3.140625" style="13" customWidth="1"/>
    <col min="13318" max="13318" width="5.140625" style="13" customWidth="1"/>
    <col min="13319" max="13319" width="16.42578125" style="13" customWidth="1"/>
    <col min="13320" max="13326" width="0" style="13" hidden="1" customWidth="1"/>
    <col min="13327" max="13327" width="4.140625" style="13" customWidth="1"/>
    <col min="13328" max="13328" width="5.7109375" style="13" customWidth="1"/>
    <col min="13329" max="13329" width="0" style="13" hidden="1" customWidth="1"/>
    <col min="13330" max="13330" width="15.7109375" style="13" customWidth="1"/>
    <col min="13331" max="13331" width="7.7109375" style="13" customWidth="1"/>
    <col min="13332" max="13332" width="9.140625" style="13"/>
    <col min="13333" max="13333" width="10.85546875" style="13" customWidth="1"/>
    <col min="13334" max="13334" width="9.7109375" style="13" customWidth="1"/>
    <col min="13335" max="13335" width="8.85546875" style="13" customWidth="1"/>
    <col min="13336" max="13336" width="10.7109375" style="13" customWidth="1"/>
    <col min="13337" max="13337" width="16" style="13" customWidth="1"/>
    <col min="13338" max="13338" width="8.7109375" style="13" customWidth="1"/>
    <col min="13339" max="13339" width="6.5703125" style="13" bestFit="1" customWidth="1"/>
    <col min="13340" max="13340" width="8.7109375" style="13" customWidth="1"/>
    <col min="13341" max="13341" width="16" style="13" customWidth="1"/>
    <col min="13342" max="13342" width="15" style="13" customWidth="1"/>
    <col min="13343" max="13343" width="9.42578125" style="13" customWidth="1"/>
    <col min="13344" max="13568" width="9.140625" style="13"/>
    <col min="13569" max="13569" width="12.28515625" style="13" customWidth="1"/>
    <col min="13570" max="13570" width="2.42578125" style="13" customWidth="1"/>
    <col min="13571" max="13571" width="3.42578125" style="13" customWidth="1"/>
    <col min="13572" max="13572" width="13.28515625" style="13" customWidth="1"/>
    <col min="13573" max="13573" width="3.140625" style="13" customWidth="1"/>
    <col min="13574" max="13574" width="5.140625" style="13" customWidth="1"/>
    <col min="13575" max="13575" width="16.42578125" style="13" customWidth="1"/>
    <col min="13576" max="13582" width="0" style="13" hidden="1" customWidth="1"/>
    <col min="13583" max="13583" width="4.140625" style="13" customWidth="1"/>
    <col min="13584" max="13584" width="5.7109375" style="13" customWidth="1"/>
    <col min="13585" max="13585" width="0" style="13" hidden="1" customWidth="1"/>
    <col min="13586" max="13586" width="15.7109375" style="13" customWidth="1"/>
    <col min="13587" max="13587" width="7.7109375" style="13" customWidth="1"/>
    <col min="13588" max="13588" width="9.140625" style="13"/>
    <col min="13589" max="13589" width="10.85546875" style="13" customWidth="1"/>
    <col min="13590" max="13590" width="9.7109375" style="13" customWidth="1"/>
    <col min="13591" max="13591" width="8.85546875" style="13" customWidth="1"/>
    <col min="13592" max="13592" width="10.7109375" style="13" customWidth="1"/>
    <col min="13593" max="13593" width="16" style="13" customWidth="1"/>
    <col min="13594" max="13594" width="8.7109375" style="13" customWidth="1"/>
    <col min="13595" max="13595" width="6.5703125" style="13" bestFit="1" customWidth="1"/>
    <col min="13596" max="13596" width="8.7109375" style="13" customWidth="1"/>
    <col min="13597" max="13597" width="16" style="13" customWidth="1"/>
    <col min="13598" max="13598" width="15" style="13" customWidth="1"/>
    <col min="13599" max="13599" width="9.42578125" style="13" customWidth="1"/>
    <col min="13600" max="13824" width="9.140625" style="13"/>
    <col min="13825" max="13825" width="12.28515625" style="13" customWidth="1"/>
    <col min="13826" max="13826" width="2.42578125" style="13" customWidth="1"/>
    <col min="13827" max="13827" width="3.42578125" style="13" customWidth="1"/>
    <col min="13828" max="13828" width="13.28515625" style="13" customWidth="1"/>
    <col min="13829" max="13829" width="3.140625" style="13" customWidth="1"/>
    <col min="13830" max="13830" width="5.140625" style="13" customWidth="1"/>
    <col min="13831" max="13831" width="16.42578125" style="13" customWidth="1"/>
    <col min="13832" max="13838" width="0" style="13" hidden="1" customWidth="1"/>
    <col min="13839" max="13839" width="4.140625" style="13" customWidth="1"/>
    <col min="13840" max="13840" width="5.7109375" style="13" customWidth="1"/>
    <col min="13841" max="13841" width="0" style="13" hidden="1" customWidth="1"/>
    <col min="13842" max="13842" width="15.7109375" style="13" customWidth="1"/>
    <col min="13843" max="13843" width="7.7109375" style="13" customWidth="1"/>
    <col min="13844" max="13844" width="9.140625" style="13"/>
    <col min="13845" max="13845" width="10.85546875" style="13" customWidth="1"/>
    <col min="13846" max="13846" width="9.7109375" style="13" customWidth="1"/>
    <col min="13847" max="13847" width="8.85546875" style="13" customWidth="1"/>
    <col min="13848" max="13848" width="10.7109375" style="13" customWidth="1"/>
    <col min="13849" max="13849" width="16" style="13" customWidth="1"/>
    <col min="13850" max="13850" width="8.7109375" style="13" customWidth="1"/>
    <col min="13851" max="13851" width="6.5703125" style="13" bestFit="1" customWidth="1"/>
    <col min="13852" max="13852" width="8.7109375" style="13" customWidth="1"/>
    <col min="13853" max="13853" width="16" style="13" customWidth="1"/>
    <col min="13854" max="13854" width="15" style="13" customWidth="1"/>
    <col min="13855" max="13855" width="9.42578125" style="13" customWidth="1"/>
    <col min="13856" max="14080" width="9.140625" style="13"/>
    <col min="14081" max="14081" width="12.28515625" style="13" customWidth="1"/>
    <col min="14082" max="14082" width="2.42578125" style="13" customWidth="1"/>
    <col min="14083" max="14083" width="3.42578125" style="13" customWidth="1"/>
    <col min="14084" max="14084" width="13.28515625" style="13" customWidth="1"/>
    <col min="14085" max="14085" width="3.140625" style="13" customWidth="1"/>
    <col min="14086" max="14086" width="5.140625" style="13" customWidth="1"/>
    <col min="14087" max="14087" width="16.42578125" style="13" customWidth="1"/>
    <col min="14088" max="14094" width="0" style="13" hidden="1" customWidth="1"/>
    <col min="14095" max="14095" width="4.140625" style="13" customWidth="1"/>
    <col min="14096" max="14096" width="5.7109375" style="13" customWidth="1"/>
    <col min="14097" max="14097" width="0" style="13" hidden="1" customWidth="1"/>
    <col min="14098" max="14098" width="15.7109375" style="13" customWidth="1"/>
    <col min="14099" max="14099" width="7.7109375" style="13" customWidth="1"/>
    <col min="14100" max="14100" width="9.140625" style="13"/>
    <col min="14101" max="14101" width="10.85546875" style="13" customWidth="1"/>
    <col min="14102" max="14102" width="9.7109375" style="13" customWidth="1"/>
    <col min="14103" max="14103" width="8.85546875" style="13" customWidth="1"/>
    <col min="14104" max="14104" width="10.7109375" style="13" customWidth="1"/>
    <col min="14105" max="14105" width="16" style="13" customWidth="1"/>
    <col min="14106" max="14106" width="8.7109375" style="13" customWidth="1"/>
    <col min="14107" max="14107" width="6.5703125" style="13" bestFit="1" customWidth="1"/>
    <col min="14108" max="14108" width="8.7109375" style="13" customWidth="1"/>
    <col min="14109" max="14109" width="16" style="13" customWidth="1"/>
    <col min="14110" max="14110" width="15" style="13" customWidth="1"/>
    <col min="14111" max="14111" width="9.42578125" style="13" customWidth="1"/>
    <col min="14112" max="14336" width="9.140625" style="13"/>
    <col min="14337" max="14337" width="12.28515625" style="13" customWidth="1"/>
    <col min="14338" max="14338" width="2.42578125" style="13" customWidth="1"/>
    <col min="14339" max="14339" width="3.42578125" style="13" customWidth="1"/>
    <col min="14340" max="14340" width="13.28515625" style="13" customWidth="1"/>
    <col min="14341" max="14341" width="3.140625" style="13" customWidth="1"/>
    <col min="14342" max="14342" width="5.140625" style="13" customWidth="1"/>
    <col min="14343" max="14343" width="16.42578125" style="13" customWidth="1"/>
    <col min="14344" max="14350" width="0" style="13" hidden="1" customWidth="1"/>
    <col min="14351" max="14351" width="4.140625" style="13" customWidth="1"/>
    <col min="14352" max="14352" width="5.7109375" style="13" customWidth="1"/>
    <col min="14353" max="14353" width="0" style="13" hidden="1" customWidth="1"/>
    <col min="14354" max="14354" width="15.7109375" style="13" customWidth="1"/>
    <col min="14355" max="14355" width="7.7109375" style="13" customWidth="1"/>
    <col min="14356" max="14356" width="9.140625" style="13"/>
    <col min="14357" max="14357" width="10.85546875" style="13" customWidth="1"/>
    <col min="14358" max="14358" width="9.7109375" style="13" customWidth="1"/>
    <col min="14359" max="14359" width="8.85546875" style="13" customWidth="1"/>
    <col min="14360" max="14360" width="10.7109375" style="13" customWidth="1"/>
    <col min="14361" max="14361" width="16" style="13" customWidth="1"/>
    <col min="14362" max="14362" width="8.7109375" style="13" customWidth="1"/>
    <col min="14363" max="14363" width="6.5703125" style="13" bestFit="1" customWidth="1"/>
    <col min="14364" max="14364" width="8.7109375" style="13" customWidth="1"/>
    <col min="14365" max="14365" width="16" style="13" customWidth="1"/>
    <col min="14366" max="14366" width="15" style="13" customWidth="1"/>
    <col min="14367" max="14367" width="9.42578125" style="13" customWidth="1"/>
    <col min="14368" max="14592" width="9.140625" style="13"/>
    <col min="14593" max="14593" width="12.28515625" style="13" customWidth="1"/>
    <col min="14594" max="14594" width="2.42578125" style="13" customWidth="1"/>
    <col min="14595" max="14595" width="3.42578125" style="13" customWidth="1"/>
    <col min="14596" max="14596" width="13.28515625" style="13" customWidth="1"/>
    <col min="14597" max="14597" width="3.140625" style="13" customWidth="1"/>
    <col min="14598" max="14598" width="5.140625" style="13" customWidth="1"/>
    <col min="14599" max="14599" width="16.42578125" style="13" customWidth="1"/>
    <col min="14600" max="14606" width="0" style="13" hidden="1" customWidth="1"/>
    <col min="14607" max="14607" width="4.140625" style="13" customWidth="1"/>
    <col min="14608" max="14608" width="5.7109375" style="13" customWidth="1"/>
    <col min="14609" max="14609" width="0" style="13" hidden="1" customWidth="1"/>
    <col min="14610" max="14610" width="15.7109375" style="13" customWidth="1"/>
    <col min="14611" max="14611" width="7.7109375" style="13" customWidth="1"/>
    <col min="14612" max="14612" width="9.140625" style="13"/>
    <col min="14613" max="14613" width="10.85546875" style="13" customWidth="1"/>
    <col min="14614" max="14614" width="9.7109375" style="13" customWidth="1"/>
    <col min="14615" max="14615" width="8.85546875" style="13" customWidth="1"/>
    <col min="14616" max="14616" width="10.7109375" style="13" customWidth="1"/>
    <col min="14617" max="14617" width="16" style="13" customWidth="1"/>
    <col min="14618" max="14618" width="8.7109375" style="13" customWidth="1"/>
    <col min="14619" max="14619" width="6.5703125" style="13" bestFit="1" customWidth="1"/>
    <col min="14620" max="14620" width="8.7109375" style="13" customWidth="1"/>
    <col min="14621" max="14621" width="16" style="13" customWidth="1"/>
    <col min="14622" max="14622" width="15" style="13" customWidth="1"/>
    <col min="14623" max="14623" width="9.42578125" style="13" customWidth="1"/>
    <col min="14624" max="14848" width="9.140625" style="13"/>
    <col min="14849" max="14849" width="12.28515625" style="13" customWidth="1"/>
    <col min="14850" max="14850" width="2.42578125" style="13" customWidth="1"/>
    <col min="14851" max="14851" width="3.42578125" style="13" customWidth="1"/>
    <col min="14852" max="14852" width="13.28515625" style="13" customWidth="1"/>
    <col min="14853" max="14853" width="3.140625" style="13" customWidth="1"/>
    <col min="14854" max="14854" width="5.140625" style="13" customWidth="1"/>
    <col min="14855" max="14855" width="16.42578125" style="13" customWidth="1"/>
    <col min="14856" max="14862" width="0" style="13" hidden="1" customWidth="1"/>
    <col min="14863" max="14863" width="4.140625" style="13" customWidth="1"/>
    <col min="14864" max="14864" width="5.7109375" style="13" customWidth="1"/>
    <col min="14865" max="14865" width="0" style="13" hidden="1" customWidth="1"/>
    <col min="14866" max="14866" width="15.7109375" style="13" customWidth="1"/>
    <col min="14867" max="14867" width="7.7109375" style="13" customWidth="1"/>
    <col min="14868" max="14868" width="9.140625" style="13"/>
    <col min="14869" max="14869" width="10.85546875" style="13" customWidth="1"/>
    <col min="14870" max="14870" width="9.7109375" style="13" customWidth="1"/>
    <col min="14871" max="14871" width="8.85546875" style="13" customWidth="1"/>
    <col min="14872" max="14872" width="10.7109375" style="13" customWidth="1"/>
    <col min="14873" max="14873" width="16" style="13" customWidth="1"/>
    <col min="14874" max="14874" width="8.7109375" style="13" customWidth="1"/>
    <col min="14875" max="14875" width="6.5703125" style="13" bestFit="1" customWidth="1"/>
    <col min="14876" max="14876" width="8.7109375" style="13" customWidth="1"/>
    <col min="14877" max="14877" width="16" style="13" customWidth="1"/>
    <col min="14878" max="14878" width="15" style="13" customWidth="1"/>
    <col min="14879" max="14879" width="9.42578125" style="13" customWidth="1"/>
    <col min="14880" max="15104" width="9.140625" style="13"/>
    <col min="15105" max="15105" width="12.28515625" style="13" customWidth="1"/>
    <col min="15106" max="15106" width="2.42578125" style="13" customWidth="1"/>
    <col min="15107" max="15107" width="3.42578125" style="13" customWidth="1"/>
    <col min="15108" max="15108" width="13.28515625" style="13" customWidth="1"/>
    <col min="15109" max="15109" width="3.140625" style="13" customWidth="1"/>
    <col min="15110" max="15110" width="5.140625" style="13" customWidth="1"/>
    <col min="15111" max="15111" width="16.42578125" style="13" customWidth="1"/>
    <col min="15112" max="15118" width="0" style="13" hidden="1" customWidth="1"/>
    <col min="15119" max="15119" width="4.140625" style="13" customWidth="1"/>
    <col min="15120" max="15120" width="5.7109375" style="13" customWidth="1"/>
    <col min="15121" max="15121" width="0" style="13" hidden="1" customWidth="1"/>
    <col min="15122" max="15122" width="15.7109375" style="13" customWidth="1"/>
    <col min="15123" max="15123" width="7.7109375" style="13" customWidth="1"/>
    <col min="15124" max="15124" width="9.140625" style="13"/>
    <col min="15125" max="15125" width="10.85546875" style="13" customWidth="1"/>
    <col min="15126" max="15126" width="9.7109375" style="13" customWidth="1"/>
    <col min="15127" max="15127" width="8.85546875" style="13" customWidth="1"/>
    <col min="15128" max="15128" width="10.7109375" style="13" customWidth="1"/>
    <col min="15129" max="15129" width="16" style="13" customWidth="1"/>
    <col min="15130" max="15130" width="8.7109375" style="13" customWidth="1"/>
    <col min="15131" max="15131" width="6.5703125" style="13" bestFit="1" customWidth="1"/>
    <col min="15132" max="15132" width="8.7109375" style="13" customWidth="1"/>
    <col min="15133" max="15133" width="16" style="13" customWidth="1"/>
    <col min="15134" max="15134" width="15" style="13" customWidth="1"/>
    <col min="15135" max="15135" width="9.42578125" style="13" customWidth="1"/>
    <col min="15136" max="15360" width="9.140625" style="13"/>
    <col min="15361" max="15361" width="12.28515625" style="13" customWidth="1"/>
    <col min="15362" max="15362" width="2.42578125" style="13" customWidth="1"/>
    <col min="15363" max="15363" width="3.42578125" style="13" customWidth="1"/>
    <col min="15364" max="15364" width="13.28515625" style="13" customWidth="1"/>
    <col min="15365" max="15365" width="3.140625" style="13" customWidth="1"/>
    <col min="15366" max="15366" width="5.140625" style="13" customWidth="1"/>
    <col min="15367" max="15367" width="16.42578125" style="13" customWidth="1"/>
    <col min="15368" max="15374" width="0" style="13" hidden="1" customWidth="1"/>
    <col min="15375" max="15375" width="4.140625" style="13" customWidth="1"/>
    <col min="15376" max="15376" width="5.7109375" style="13" customWidth="1"/>
    <col min="15377" max="15377" width="0" style="13" hidden="1" customWidth="1"/>
    <col min="15378" max="15378" width="15.7109375" style="13" customWidth="1"/>
    <col min="15379" max="15379" width="7.7109375" style="13" customWidth="1"/>
    <col min="15380" max="15380" width="9.140625" style="13"/>
    <col min="15381" max="15381" width="10.85546875" style="13" customWidth="1"/>
    <col min="15382" max="15382" width="9.7109375" style="13" customWidth="1"/>
    <col min="15383" max="15383" width="8.85546875" style="13" customWidth="1"/>
    <col min="15384" max="15384" width="10.7109375" style="13" customWidth="1"/>
    <col min="15385" max="15385" width="16" style="13" customWidth="1"/>
    <col min="15386" max="15386" width="8.7109375" style="13" customWidth="1"/>
    <col min="15387" max="15387" width="6.5703125" style="13" bestFit="1" customWidth="1"/>
    <col min="15388" max="15388" width="8.7109375" style="13" customWidth="1"/>
    <col min="15389" max="15389" width="16" style="13" customWidth="1"/>
    <col min="15390" max="15390" width="15" style="13" customWidth="1"/>
    <col min="15391" max="15391" width="9.42578125" style="13" customWidth="1"/>
    <col min="15392" max="15616" width="9.140625" style="13"/>
    <col min="15617" max="15617" width="12.28515625" style="13" customWidth="1"/>
    <col min="15618" max="15618" width="2.42578125" style="13" customWidth="1"/>
    <col min="15619" max="15619" width="3.42578125" style="13" customWidth="1"/>
    <col min="15620" max="15620" width="13.28515625" style="13" customWidth="1"/>
    <col min="15621" max="15621" width="3.140625" style="13" customWidth="1"/>
    <col min="15622" max="15622" width="5.140625" style="13" customWidth="1"/>
    <col min="15623" max="15623" width="16.42578125" style="13" customWidth="1"/>
    <col min="15624" max="15630" width="0" style="13" hidden="1" customWidth="1"/>
    <col min="15631" max="15631" width="4.140625" style="13" customWidth="1"/>
    <col min="15632" max="15632" width="5.7109375" style="13" customWidth="1"/>
    <col min="15633" max="15633" width="0" style="13" hidden="1" customWidth="1"/>
    <col min="15634" max="15634" width="15.7109375" style="13" customWidth="1"/>
    <col min="15635" max="15635" width="7.7109375" style="13" customWidth="1"/>
    <col min="15636" max="15636" width="9.140625" style="13"/>
    <col min="15637" max="15637" width="10.85546875" style="13" customWidth="1"/>
    <col min="15638" max="15638" width="9.7109375" style="13" customWidth="1"/>
    <col min="15639" max="15639" width="8.85546875" style="13" customWidth="1"/>
    <col min="15640" max="15640" width="10.7109375" style="13" customWidth="1"/>
    <col min="15641" max="15641" width="16" style="13" customWidth="1"/>
    <col min="15642" max="15642" width="8.7109375" style="13" customWidth="1"/>
    <col min="15643" max="15643" width="6.5703125" style="13" bestFit="1" customWidth="1"/>
    <col min="15644" max="15644" width="8.7109375" style="13" customWidth="1"/>
    <col min="15645" max="15645" width="16" style="13" customWidth="1"/>
    <col min="15646" max="15646" width="15" style="13" customWidth="1"/>
    <col min="15647" max="15647" width="9.42578125" style="13" customWidth="1"/>
    <col min="15648" max="15872" width="9.140625" style="13"/>
    <col min="15873" max="15873" width="12.28515625" style="13" customWidth="1"/>
    <col min="15874" max="15874" width="2.42578125" style="13" customWidth="1"/>
    <col min="15875" max="15875" width="3.42578125" style="13" customWidth="1"/>
    <col min="15876" max="15876" width="13.28515625" style="13" customWidth="1"/>
    <col min="15877" max="15877" width="3.140625" style="13" customWidth="1"/>
    <col min="15878" max="15878" width="5.140625" style="13" customWidth="1"/>
    <col min="15879" max="15879" width="16.42578125" style="13" customWidth="1"/>
    <col min="15880" max="15886" width="0" style="13" hidden="1" customWidth="1"/>
    <col min="15887" max="15887" width="4.140625" style="13" customWidth="1"/>
    <col min="15888" max="15888" width="5.7109375" style="13" customWidth="1"/>
    <col min="15889" max="15889" width="0" style="13" hidden="1" customWidth="1"/>
    <col min="15890" max="15890" width="15.7109375" style="13" customWidth="1"/>
    <col min="15891" max="15891" width="7.7109375" style="13" customWidth="1"/>
    <col min="15892" max="15892" width="9.140625" style="13"/>
    <col min="15893" max="15893" width="10.85546875" style="13" customWidth="1"/>
    <col min="15894" max="15894" width="9.7109375" style="13" customWidth="1"/>
    <col min="15895" max="15895" width="8.85546875" style="13" customWidth="1"/>
    <col min="15896" max="15896" width="10.7109375" style="13" customWidth="1"/>
    <col min="15897" max="15897" width="16" style="13" customWidth="1"/>
    <col min="15898" max="15898" width="8.7109375" style="13" customWidth="1"/>
    <col min="15899" max="15899" width="6.5703125" style="13" bestFit="1" customWidth="1"/>
    <col min="15900" max="15900" width="8.7109375" style="13" customWidth="1"/>
    <col min="15901" max="15901" width="16" style="13" customWidth="1"/>
    <col min="15902" max="15902" width="15" style="13" customWidth="1"/>
    <col min="15903" max="15903" width="9.42578125" style="13" customWidth="1"/>
    <col min="15904" max="16128" width="9.140625" style="13"/>
    <col min="16129" max="16129" width="12.28515625" style="13" customWidth="1"/>
    <col min="16130" max="16130" width="2.42578125" style="13" customWidth="1"/>
    <col min="16131" max="16131" width="3.42578125" style="13" customWidth="1"/>
    <col min="16132" max="16132" width="13.28515625" style="13" customWidth="1"/>
    <col min="16133" max="16133" width="3.140625" style="13" customWidth="1"/>
    <col min="16134" max="16134" width="5.140625" style="13" customWidth="1"/>
    <col min="16135" max="16135" width="16.42578125" style="13" customWidth="1"/>
    <col min="16136" max="16142" width="0" style="13" hidden="1" customWidth="1"/>
    <col min="16143" max="16143" width="4.140625" style="13" customWidth="1"/>
    <col min="16144" max="16144" width="5.7109375" style="13" customWidth="1"/>
    <col min="16145" max="16145" width="0" style="13" hidden="1" customWidth="1"/>
    <col min="16146" max="16146" width="15.7109375" style="13" customWidth="1"/>
    <col min="16147" max="16147" width="7.7109375" style="13" customWidth="1"/>
    <col min="16148" max="16148" width="9.140625" style="13"/>
    <col min="16149" max="16149" width="10.85546875" style="13" customWidth="1"/>
    <col min="16150" max="16150" width="9.7109375" style="13" customWidth="1"/>
    <col min="16151" max="16151" width="8.85546875" style="13" customWidth="1"/>
    <col min="16152" max="16152" width="10.7109375" style="13" customWidth="1"/>
    <col min="16153" max="16153" width="16" style="13" customWidth="1"/>
    <col min="16154" max="16154" width="8.7109375" style="13" customWidth="1"/>
    <col min="16155" max="16155" width="6.5703125" style="13" bestFit="1" customWidth="1"/>
    <col min="16156" max="16156" width="8.7109375" style="13" customWidth="1"/>
    <col min="16157" max="16157" width="16" style="13" customWidth="1"/>
    <col min="16158" max="16158" width="15" style="13" customWidth="1"/>
    <col min="16159" max="16159" width="9.42578125" style="13" customWidth="1"/>
    <col min="16160" max="16384" width="9.140625" style="13"/>
  </cols>
  <sheetData>
    <row r="1" spans="1:31" ht="12.95" customHeight="1" x14ac:dyDescent="0.35">
      <c r="A1" s="533"/>
      <c r="B1" s="533"/>
      <c r="C1" s="533"/>
      <c r="D1" s="533"/>
      <c r="E1" s="533"/>
      <c r="F1" s="533"/>
      <c r="G1" s="533"/>
      <c r="H1" s="533"/>
      <c r="I1" s="533"/>
      <c r="J1" s="533"/>
      <c r="K1" s="533"/>
      <c r="L1" s="533"/>
      <c r="M1" s="533"/>
      <c r="N1" s="533"/>
      <c r="O1" s="533"/>
      <c r="P1" s="533"/>
      <c r="Q1" s="533"/>
      <c r="R1" s="533"/>
      <c r="S1" s="533"/>
    </row>
    <row r="2" spans="1:31" s="14" customFormat="1" ht="15" customHeight="1" x14ac:dyDescent="0.35">
      <c r="A2" s="533" t="s">
        <v>31</v>
      </c>
      <c r="B2" s="533"/>
      <c r="C2" s="533"/>
      <c r="D2" s="533"/>
      <c r="E2" s="533"/>
      <c r="F2" s="533"/>
      <c r="G2" s="533"/>
      <c r="H2" s="533"/>
      <c r="I2" s="533"/>
      <c r="J2" s="533"/>
      <c r="K2" s="533"/>
      <c r="L2" s="533"/>
      <c r="M2" s="533"/>
      <c r="N2" s="533"/>
      <c r="O2" s="533"/>
      <c r="P2" s="533"/>
      <c r="Q2" s="533"/>
      <c r="R2" s="533"/>
      <c r="S2" s="533"/>
      <c r="T2" s="533"/>
      <c r="U2" s="533"/>
      <c r="V2" s="533"/>
      <c r="W2" s="533"/>
      <c r="X2" s="533"/>
      <c r="Y2" s="533"/>
      <c r="Z2" s="533"/>
      <c r="AA2" s="533"/>
      <c r="AB2" s="533"/>
      <c r="AC2" s="533"/>
      <c r="AD2" s="533"/>
      <c r="AE2" s="533"/>
    </row>
    <row r="3" spans="1:31" s="14" customFormat="1" ht="15" customHeight="1" x14ac:dyDescent="0.35">
      <c r="A3" s="534" t="s">
        <v>271</v>
      </c>
      <c r="B3" s="533"/>
      <c r="C3" s="533"/>
      <c r="D3" s="533"/>
      <c r="E3" s="533"/>
      <c r="F3" s="533"/>
      <c r="G3" s="533"/>
      <c r="H3" s="533"/>
      <c r="I3" s="533"/>
      <c r="J3" s="533"/>
      <c r="K3" s="533"/>
      <c r="L3" s="533"/>
      <c r="M3" s="533"/>
      <c r="N3" s="533"/>
      <c r="O3" s="533"/>
      <c r="P3" s="533"/>
      <c r="Q3" s="533"/>
      <c r="R3" s="533"/>
      <c r="S3" s="533"/>
      <c r="T3" s="533"/>
      <c r="U3" s="533"/>
      <c r="V3" s="533"/>
      <c r="W3" s="533"/>
      <c r="X3" s="533"/>
      <c r="Y3" s="533"/>
      <c r="Z3" s="533"/>
      <c r="AA3" s="533"/>
      <c r="AB3" s="533"/>
      <c r="AC3" s="533"/>
      <c r="AD3" s="533"/>
      <c r="AE3" s="533"/>
    </row>
    <row r="4" spans="1:31" s="14" customFormat="1" ht="12.95" customHeight="1" x14ac:dyDescent="0.35">
      <c r="A4" s="465"/>
      <c r="B4" s="465"/>
      <c r="C4" s="465"/>
      <c r="D4" s="465"/>
      <c r="E4" s="465"/>
      <c r="F4" s="465"/>
      <c r="G4" s="465"/>
      <c r="H4" s="465"/>
      <c r="I4" s="465"/>
      <c r="J4" s="465"/>
      <c r="K4" s="465"/>
      <c r="L4" s="465"/>
      <c r="M4" s="465"/>
      <c r="N4" s="465"/>
      <c r="O4" s="465"/>
      <c r="P4" s="465"/>
      <c r="Q4" s="465"/>
      <c r="R4" s="465"/>
      <c r="S4" s="465"/>
    </row>
    <row r="5" spans="1:31" s="14" customFormat="1" ht="12.95" customHeight="1" x14ac:dyDescent="0.35">
      <c r="A5" s="16" t="s">
        <v>32</v>
      </c>
      <c r="B5" s="465"/>
      <c r="C5" s="465"/>
      <c r="D5" s="465"/>
      <c r="E5" s="465" t="s">
        <v>33</v>
      </c>
      <c r="F5" s="16" t="s">
        <v>34</v>
      </c>
      <c r="G5" s="465"/>
      <c r="H5" s="465"/>
      <c r="I5" s="465"/>
      <c r="J5" s="465"/>
      <c r="K5" s="465"/>
      <c r="L5" s="465"/>
      <c r="M5" s="465"/>
      <c r="N5" s="465"/>
      <c r="O5" s="465"/>
      <c r="P5" s="465"/>
      <c r="Q5" s="465"/>
      <c r="R5" s="465"/>
      <c r="S5" s="465"/>
    </row>
    <row r="6" spans="1:31" s="14" customFormat="1" ht="12.95" customHeight="1" x14ac:dyDescent="0.35">
      <c r="A6" s="16" t="s">
        <v>35</v>
      </c>
      <c r="B6" s="465"/>
      <c r="C6" s="465"/>
      <c r="D6" s="465"/>
      <c r="E6" s="465" t="s">
        <v>33</v>
      </c>
      <c r="F6" s="16" t="s">
        <v>179</v>
      </c>
      <c r="G6" s="465"/>
      <c r="H6" s="465"/>
      <c r="I6" s="465"/>
      <c r="J6" s="465"/>
      <c r="K6" s="465"/>
      <c r="L6" s="465"/>
      <c r="M6" s="465"/>
      <c r="N6" s="465"/>
      <c r="O6" s="465"/>
      <c r="P6" s="465"/>
      <c r="Q6" s="465"/>
      <c r="R6" s="465"/>
      <c r="S6" s="465"/>
    </row>
    <row r="7" spans="1:31" s="14" customFormat="1" ht="12.95" customHeight="1" x14ac:dyDescent="0.35">
      <c r="A7" s="16" t="s">
        <v>36</v>
      </c>
      <c r="B7" s="465"/>
      <c r="C7" s="465"/>
      <c r="D7" s="465"/>
      <c r="E7" s="465" t="s">
        <v>33</v>
      </c>
      <c r="F7" s="535">
        <v>2239183000</v>
      </c>
      <c r="G7" s="535"/>
      <c r="H7" s="17"/>
      <c r="I7" s="17"/>
      <c r="J7" s="17"/>
      <c r="K7" s="17"/>
      <c r="L7" s="17"/>
      <c r="M7" s="17"/>
      <c r="N7" s="17"/>
      <c r="O7" s="17"/>
      <c r="P7" s="17"/>
      <c r="Q7" s="465"/>
      <c r="R7" s="465"/>
      <c r="S7" s="465"/>
    </row>
    <row r="8" spans="1:31" s="14" customFormat="1" ht="12.95" customHeight="1" x14ac:dyDescent="0.35">
      <c r="A8" s="16" t="s">
        <v>37</v>
      </c>
      <c r="B8" s="465"/>
      <c r="C8" s="465"/>
      <c r="D8" s="465"/>
      <c r="E8" s="465" t="s">
        <v>33</v>
      </c>
      <c r="F8" s="16" t="s">
        <v>38</v>
      </c>
      <c r="G8" s="465"/>
      <c r="H8" s="465"/>
      <c r="I8" s="465"/>
      <c r="J8" s="465"/>
      <c r="K8" s="465"/>
      <c r="L8" s="465"/>
      <c r="M8" s="465"/>
      <c r="N8" s="465"/>
      <c r="O8" s="465"/>
      <c r="P8" s="465"/>
      <c r="Q8" s="465"/>
      <c r="R8" s="465"/>
      <c r="S8" s="465"/>
    </row>
    <row r="9" spans="1:31" s="14" customFormat="1" ht="12.95" customHeight="1" x14ac:dyDescent="0.35">
      <c r="A9" s="16" t="s">
        <v>39</v>
      </c>
      <c r="B9" s="465"/>
      <c r="C9" s="465"/>
      <c r="D9" s="465"/>
      <c r="E9" s="465" t="s">
        <v>33</v>
      </c>
      <c r="F9" s="16" t="s">
        <v>40</v>
      </c>
      <c r="G9" s="465"/>
      <c r="H9" s="465"/>
      <c r="I9" s="465"/>
      <c r="J9" s="465"/>
      <c r="K9" s="465"/>
      <c r="L9" s="465"/>
      <c r="M9" s="465"/>
      <c r="N9" s="465"/>
      <c r="O9" s="465"/>
      <c r="P9" s="465"/>
      <c r="Q9" s="465"/>
      <c r="R9" s="465"/>
      <c r="S9" s="465"/>
    </row>
    <row r="10" spans="1:31" ht="12.95" customHeight="1" x14ac:dyDescent="0.35">
      <c r="A10" s="464"/>
      <c r="B10" s="464"/>
      <c r="C10" s="464"/>
      <c r="D10" s="464"/>
      <c r="E10" s="464"/>
      <c r="F10" s="464"/>
      <c r="G10" s="464"/>
      <c r="H10" s="464"/>
      <c r="I10" s="464"/>
      <c r="J10" s="464"/>
      <c r="K10" s="464"/>
      <c r="L10" s="464"/>
      <c r="M10" s="464"/>
      <c r="N10" s="464"/>
      <c r="O10" s="464"/>
      <c r="P10" s="464"/>
      <c r="Q10" s="464"/>
      <c r="R10" s="464"/>
      <c r="S10" s="464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</row>
    <row r="11" spans="1:31" ht="12.95" customHeight="1" x14ac:dyDescent="0.35">
      <c r="A11" s="19"/>
      <c r="B11" s="20"/>
      <c r="C11" s="21"/>
      <c r="D11" s="21"/>
      <c r="E11" s="21"/>
      <c r="F11" s="21"/>
      <c r="G11" s="22"/>
      <c r="H11" s="23"/>
      <c r="I11" s="23"/>
      <c r="J11" s="24"/>
      <c r="K11" s="25"/>
      <c r="L11" s="23"/>
      <c r="M11" s="23"/>
      <c r="N11" s="23"/>
      <c r="O11" s="20"/>
      <c r="P11" s="22"/>
      <c r="Q11" s="23"/>
      <c r="R11" s="23"/>
      <c r="S11" s="26"/>
      <c r="T11" s="21"/>
      <c r="U11" s="22"/>
      <c r="V11" s="22"/>
      <c r="W11" s="536" t="s">
        <v>41</v>
      </c>
      <c r="X11" s="537"/>
      <c r="Y11" s="540" t="s">
        <v>42</v>
      </c>
      <c r="Z11" s="541"/>
      <c r="AA11" s="542" t="s">
        <v>43</v>
      </c>
      <c r="AB11" s="543"/>
      <c r="AC11" s="536" t="s">
        <v>44</v>
      </c>
      <c r="AD11" s="544"/>
      <c r="AE11" s="546" t="s">
        <v>45</v>
      </c>
    </row>
    <row r="12" spans="1:31" s="28" customFormat="1" ht="12.95" customHeight="1" x14ac:dyDescent="0.35">
      <c r="A12" s="549" t="s">
        <v>46</v>
      </c>
      <c r="B12" s="551" t="s">
        <v>47</v>
      </c>
      <c r="C12" s="551"/>
      <c r="D12" s="551"/>
      <c r="E12" s="551"/>
      <c r="F12" s="551"/>
      <c r="G12" s="551"/>
      <c r="H12" s="518" t="s">
        <v>48</v>
      </c>
      <c r="I12" s="519"/>
      <c r="J12" s="519"/>
      <c r="K12" s="553"/>
      <c r="O12" s="554" t="s">
        <v>49</v>
      </c>
      <c r="P12" s="551"/>
      <c r="Q12" s="556" t="s">
        <v>50</v>
      </c>
      <c r="R12" s="558" t="s">
        <v>51</v>
      </c>
      <c r="S12" s="531" t="s">
        <v>52</v>
      </c>
      <c r="T12" s="518" t="s">
        <v>53</v>
      </c>
      <c r="U12" s="553"/>
      <c r="V12" s="29" t="s">
        <v>54</v>
      </c>
      <c r="W12" s="538"/>
      <c r="X12" s="539"/>
      <c r="Y12" s="518" t="s">
        <v>55</v>
      </c>
      <c r="Z12" s="519"/>
      <c r="AA12" s="520" t="s">
        <v>56</v>
      </c>
      <c r="AB12" s="521"/>
      <c r="AC12" s="538"/>
      <c r="AD12" s="545"/>
      <c r="AE12" s="547"/>
    </row>
    <row r="13" spans="1:31" s="30" customFormat="1" ht="12.95" customHeight="1" x14ac:dyDescent="0.35">
      <c r="A13" s="549"/>
      <c r="B13" s="551"/>
      <c r="C13" s="551"/>
      <c r="D13" s="551"/>
      <c r="E13" s="551"/>
      <c r="F13" s="551"/>
      <c r="G13" s="551"/>
      <c r="H13" s="522" t="s">
        <v>49</v>
      </c>
      <c r="I13" s="522"/>
      <c r="J13" s="525" t="s">
        <v>50</v>
      </c>
      <c r="K13" s="528" t="s">
        <v>57</v>
      </c>
      <c r="O13" s="554"/>
      <c r="P13" s="551"/>
      <c r="Q13" s="556"/>
      <c r="R13" s="558"/>
      <c r="S13" s="531"/>
      <c r="T13" s="31" t="s">
        <v>58</v>
      </c>
      <c r="U13" s="31" t="s">
        <v>59</v>
      </c>
      <c r="V13" s="32"/>
      <c r="W13" s="32"/>
      <c r="X13" s="32" t="s">
        <v>60</v>
      </c>
      <c r="Y13" s="32"/>
      <c r="Z13" s="32" t="s">
        <v>61</v>
      </c>
      <c r="AA13" s="32" t="s">
        <v>62</v>
      </c>
      <c r="AB13" s="32" t="s">
        <v>63</v>
      </c>
      <c r="AC13" s="32" t="s">
        <v>64</v>
      </c>
      <c r="AD13" s="33" t="s">
        <v>65</v>
      </c>
      <c r="AE13" s="547"/>
    </row>
    <row r="14" spans="1:31" s="30" customFormat="1" ht="12.95" customHeight="1" x14ac:dyDescent="0.35">
      <c r="A14" s="549"/>
      <c r="B14" s="551"/>
      <c r="C14" s="551"/>
      <c r="D14" s="551"/>
      <c r="E14" s="551"/>
      <c r="F14" s="551"/>
      <c r="G14" s="551"/>
      <c r="H14" s="523"/>
      <c r="I14" s="523"/>
      <c r="J14" s="526"/>
      <c r="K14" s="529"/>
      <c r="O14" s="554"/>
      <c r="P14" s="551"/>
      <c r="Q14" s="556"/>
      <c r="R14" s="558"/>
      <c r="S14" s="531"/>
      <c r="T14" s="31" t="s">
        <v>66</v>
      </c>
      <c r="U14" s="31" t="s">
        <v>67</v>
      </c>
      <c r="V14" s="31" t="s">
        <v>68</v>
      </c>
      <c r="W14" s="32" t="s">
        <v>69</v>
      </c>
      <c r="X14" s="32" t="s">
        <v>60</v>
      </c>
      <c r="Y14" s="32" t="s">
        <v>70</v>
      </c>
      <c r="Z14" s="32" t="s">
        <v>71</v>
      </c>
      <c r="AA14" s="32" t="s">
        <v>72</v>
      </c>
      <c r="AB14" s="32" t="s">
        <v>73</v>
      </c>
      <c r="AC14" s="32" t="s">
        <v>74</v>
      </c>
      <c r="AD14" s="33" t="s">
        <v>75</v>
      </c>
      <c r="AE14" s="547"/>
    </row>
    <row r="15" spans="1:31" s="30" customFormat="1" ht="12.95" customHeight="1" thickBot="1" x14ac:dyDescent="0.4">
      <c r="A15" s="550"/>
      <c r="B15" s="552"/>
      <c r="C15" s="552"/>
      <c r="D15" s="552"/>
      <c r="E15" s="552"/>
      <c r="F15" s="552"/>
      <c r="G15" s="552"/>
      <c r="H15" s="524"/>
      <c r="I15" s="524"/>
      <c r="J15" s="527"/>
      <c r="K15" s="530"/>
      <c r="O15" s="555"/>
      <c r="P15" s="552"/>
      <c r="Q15" s="557"/>
      <c r="R15" s="559"/>
      <c r="S15" s="532"/>
      <c r="T15" s="34" t="s">
        <v>76</v>
      </c>
      <c r="U15" s="34"/>
      <c r="V15" s="35"/>
      <c r="W15" s="35"/>
      <c r="X15" s="35"/>
      <c r="Y15" s="35"/>
      <c r="Z15" s="35"/>
      <c r="AA15" s="35"/>
      <c r="AB15" s="35"/>
      <c r="AC15" s="35" t="s">
        <v>77</v>
      </c>
      <c r="AD15" s="36" t="s">
        <v>78</v>
      </c>
      <c r="AE15" s="548"/>
    </row>
    <row r="16" spans="1:31" s="40" customFormat="1" ht="12.95" customHeight="1" thickTop="1" x14ac:dyDescent="0.35">
      <c r="A16" s="37">
        <v>1</v>
      </c>
      <c r="B16" s="503">
        <v>2</v>
      </c>
      <c r="C16" s="504"/>
      <c r="D16" s="504"/>
      <c r="E16" s="504"/>
      <c r="F16" s="504"/>
      <c r="G16" s="505"/>
      <c r="H16" s="503">
        <v>3</v>
      </c>
      <c r="I16" s="505"/>
      <c r="J16" s="456">
        <v>4</v>
      </c>
      <c r="K16" s="39">
        <v>5</v>
      </c>
      <c r="O16" s="503">
        <v>3</v>
      </c>
      <c r="P16" s="505"/>
      <c r="Q16" s="456">
        <v>4</v>
      </c>
      <c r="R16" s="41">
        <v>4</v>
      </c>
      <c r="S16" s="42">
        <v>5</v>
      </c>
      <c r="T16" s="43">
        <v>6</v>
      </c>
      <c r="U16" s="43">
        <v>7</v>
      </c>
      <c r="V16" s="43">
        <v>8</v>
      </c>
      <c r="W16" s="43">
        <v>9</v>
      </c>
      <c r="X16" s="43">
        <v>10</v>
      </c>
      <c r="Y16" s="43">
        <v>11</v>
      </c>
      <c r="Z16" s="43">
        <v>12</v>
      </c>
      <c r="AA16" s="43">
        <v>13</v>
      </c>
      <c r="AB16" s="43">
        <v>14</v>
      </c>
      <c r="AC16" s="43">
        <v>15</v>
      </c>
      <c r="AD16" s="43">
        <v>16</v>
      </c>
      <c r="AE16" s="43">
        <v>17</v>
      </c>
    </row>
    <row r="17" spans="1:37" ht="12" customHeight="1" x14ac:dyDescent="0.35">
      <c r="A17" s="44"/>
      <c r="B17" s="45"/>
      <c r="C17" s="45"/>
      <c r="D17" s="45"/>
      <c r="E17" s="45"/>
      <c r="F17" s="45"/>
      <c r="G17" s="46"/>
      <c r="H17" s="47"/>
      <c r="I17" s="46"/>
      <c r="J17" s="48"/>
      <c r="K17" s="49"/>
      <c r="L17" s="50"/>
      <c r="M17" s="50"/>
      <c r="N17" s="50"/>
      <c r="O17" s="51"/>
      <c r="P17" s="52"/>
      <c r="Q17" s="53"/>
      <c r="R17" s="54"/>
      <c r="S17" s="55"/>
      <c r="T17" s="56"/>
      <c r="U17" s="57"/>
      <c r="V17" s="57"/>
      <c r="W17" s="57"/>
      <c r="X17" s="57"/>
      <c r="Y17" s="58"/>
      <c r="Z17" s="56"/>
      <c r="AA17" s="56"/>
      <c r="AB17" s="56"/>
      <c r="AC17" s="58"/>
      <c r="AD17" s="58"/>
      <c r="AE17" s="56"/>
    </row>
    <row r="18" spans="1:37" ht="12" customHeight="1" x14ac:dyDescent="0.35">
      <c r="A18" s="59" t="s">
        <v>79</v>
      </c>
      <c r="B18" s="60" t="s">
        <v>80</v>
      </c>
      <c r="C18" s="60"/>
      <c r="D18" s="60"/>
      <c r="E18" s="60"/>
      <c r="F18" s="60"/>
      <c r="G18" s="61"/>
      <c r="H18" s="62"/>
      <c r="I18" s="63"/>
      <c r="J18" s="64"/>
      <c r="K18" s="65"/>
      <c r="L18" s="66"/>
      <c r="M18" s="66"/>
      <c r="N18" s="66"/>
      <c r="O18" s="67"/>
      <c r="P18" s="60"/>
      <c r="Q18" s="68"/>
      <c r="R18" s="69"/>
      <c r="S18" s="70"/>
      <c r="T18" s="71"/>
      <c r="U18" s="72"/>
      <c r="V18" s="72"/>
      <c r="W18" s="72"/>
      <c r="X18" s="72"/>
      <c r="Y18" s="73"/>
      <c r="Z18" s="71"/>
      <c r="AA18" s="71"/>
      <c r="AB18" s="71"/>
      <c r="AC18" s="73"/>
      <c r="AD18" s="73"/>
      <c r="AE18" s="71"/>
    </row>
    <row r="19" spans="1:37" ht="12" customHeight="1" x14ac:dyDescent="0.35">
      <c r="A19" s="74"/>
      <c r="B19" s="75"/>
      <c r="C19" s="75"/>
      <c r="D19" s="75"/>
      <c r="E19" s="75"/>
      <c r="F19" s="75"/>
      <c r="G19" s="76"/>
      <c r="H19" s="77"/>
      <c r="I19" s="78"/>
      <c r="J19" s="79"/>
      <c r="K19" s="80"/>
      <c r="L19" s="81"/>
      <c r="M19" s="81"/>
      <c r="N19" s="81"/>
      <c r="O19" s="82"/>
      <c r="P19" s="75"/>
      <c r="Q19" s="83"/>
      <c r="R19" s="84"/>
      <c r="S19" s="85"/>
      <c r="T19" s="86"/>
      <c r="U19" s="87"/>
      <c r="V19" s="87"/>
      <c r="W19" s="87"/>
      <c r="X19" s="87"/>
      <c r="Y19" s="88"/>
      <c r="Z19" s="86"/>
      <c r="AA19" s="86"/>
      <c r="AB19" s="86"/>
      <c r="AC19" s="88"/>
      <c r="AD19" s="88"/>
      <c r="AE19" s="86"/>
    </row>
    <row r="20" spans="1:37" ht="12" customHeight="1" x14ac:dyDescent="0.35">
      <c r="A20" s="89" t="s">
        <v>180</v>
      </c>
      <c r="B20" s="60" t="s">
        <v>181</v>
      </c>
      <c r="C20" s="60"/>
      <c r="D20" s="60"/>
      <c r="E20" s="60"/>
      <c r="F20" s="60"/>
      <c r="G20" s="61"/>
      <c r="H20" s="62"/>
      <c r="I20" s="63"/>
      <c r="J20" s="64"/>
      <c r="K20" s="65"/>
      <c r="L20" s="66"/>
      <c r="M20" s="66"/>
      <c r="N20" s="66"/>
      <c r="O20" s="67"/>
      <c r="P20" s="60"/>
      <c r="Q20" s="68"/>
      <c r="R20" s="69"/>
      <c r="S20" s="70"/>
      <c r="T20" s="71"/>
      <c r="U20" s="72"/>
      <c r="V20" s="72"/>
      <c r="W20" s="72"/>
      <c r="X20" s="72"/>
      <c r="Y20" s="73"/>
      <c r="Z20" s="71"/>
      <c r="AA20" s="71"/>
      <c r="AB20" s="71"/>
      <c r="AC20" s="73"/>
      <c r="AD20" s="73"/>
      <c r="AE20" s="71"/>
      <c r="AF20" s="90"/>
      <c r="AG20" s="90"/>
      <c r="AH20" s="90"/>
      <c r="AI20" s="90"/>
      <c r="AJ20" s="90"/>
      <c r="AK20" s="90"/>
    </row>
    <row r="21" spans="1:37" ht="12" customHeight="1" x14ac:dyDescent="0.35">
      <c r="A21" s="74"/>
      <c r="B21" s="75"/>
      <c r="C21" s="75"/>
      <c r="D21" s="75"/>
      <c r="E21" s="75"/>
      <c r="F21" s="75"/>
      <c r="G21" s="76"/>
      <c r="H21" s="77"/>
      <c r="I21" s="78"/>
      <c r="J21" s="79"/>
      <c r="K21" s="80"/>
      <c r="L21" s="81"/>
      <c r="M21" s="81"/>
      <c r="N21" s="81"/>
      <c r="O21" s="82"/>
      <c r="P21" s="75"/>
      <c r="Q21" s="83"/>
      <c r="R21" s="84"/>
      <c r="S21" s="85"/>
      <c r="T21" s="86"/>
      <c r="U21" s="87"/>
      <c r="V21" s="87"/>
      <c r="W21" s="87"/>
      <c r="X21" s="87"/>
      <c r="Y21" s="88"/>
      <c r="Z21" s="86"/>
      <c r="AA21" s="86"/>
      <c r="AB21" s="86"/>
      <c r="AC21" s="88"/>
      <c r="AD21" s="88"/>
      <c r="AE21" s="86"/>
    </row>
    <row r="22" spans="1:37" ht="12" customHeight="1" x14ac:dyDescent="0.35">
      <c r="A22" s="91" t="s">
        <v>182</v>
      </c>
      <c r="B22" s="75" t="s">
        <v>183</v>
      </c>
      <c r="C22" s="75"/>
      <c r="D22" s="75"/>
      <c r="E22" s="75"/>
      <c r="F22" s="75"/>
      <c r="G22" s="76"/>
      <c r="H22" s="77"/>
      <c r="I22" s="78"/>
      <c r="J22" s="79"/>
      <c r="K22" s="80"/>
      <c r="L22" s="81"/>
      <c r="M22" s="81"/>
      <c r="N22" s="81"/>
      <c r="O22" s="82"/>
      <c r="P22" s="75"/>
      <c r="Q22" s="83"/>
      <c r="R22" s="84"/>
      <c r="S22" s="85"/>
      <c r="T22" s="86"/>
      <c r="U22" s="87"/>
      <c r="V22" s="87"/>
      <c r="W22" s="87"/>
      <c r="X22" s="87"/>
      <c r="Y22" s="88"/>
      <c r="Z22" s="86"/>
      <c r="AA22" s="86"/>
      <c r="AB22" s="86"/>
      <c r="AC22" s="88"/>
      <c r="AD22" s="88"/>
      <c r="AE22" s="86"/>
    </row>
    <row r="23" spans="1:37" ht="12" customHeight="1" x14ac:dyDescent="0.35">
      <c r="A23" s="74"/>
      <c r="B23" s="75"/>
      <c r="C23" s="75"/>
      <c r="D23" s="75"/>
      <c r="E23" s="75"/>
      <c r="F23" s="75"/>
      <c r="G23" s="76"/>
      <c r="H23" s="77"/>
      <c r="I23" s="78"/>
      <c r="J23" s="79"/>
      <c r="K23" s="80"/>
      <c r="L23" s="81"/>
      <c r="M23" s="81"/>
      <c r="N23" s="81"/>
      <c r="O23" s="82"/>
      <c r="P23" s="75"/>
      <c r="Q23" s="83"/>
      <c r="R23" s="84"/>
      <c r="S23" s="85"/>
      <c r="T23" s="86"/>
      <c r="U23" s="87"/>
      <c r="V23" s="87"/>
      <c r="W23" s="87"/>
      <c r="X23" s="87"/>
      <c r="Y23" s="88"/>
      <c r="Z23" s="86"/>
      <c r="AA23" s="86"/>
      <c r="AB23" s="86"/>
      <c r="AC23" s="88"/>
      <c r="AD23" s="88"/>
      <c r="AE23" s="86"/>
    </row>
    <row r="24" spans="1:37" ht="12" customHeight="1" x14ac:dyDescent="0.35">
      <c r="A24" s="415" t="s">
        <v>184</v>
      </c>
      <c r="B24" s="416" t="s">
        <v>185</v>
      </c>
      <c r="C24" s="416"/>
      <c r="D24" s="416"/>
      <c r="E24" s="416"/>
      <c r="F24" s="416"/>
      <c r="G24" s="417"/>
      <c r="H24" s="408"/>
      <c r="I24" s="405"/>
      <c r="J24" s="404"/>
      <c r="K24" s="418"/>
      <c r="L24" s="402"/>
      <c r="M24" s="402"/>
      <c r="N24" s="402"/>
      <c r="O24" s="419"/>
      <c r="P24" s="416"/>
      <c r="Q24" s="420"/>
      <c r="R24" s="421"/>
      <c r="S24" s="409"/>
      <c r="T24" s="414"/>
      <c r="U24" s="411"/>
      <c r="V24" s="411"/>
      <c r="W24" s="411"/>
      <c r="X24" s="411"/>
      <c r="Y24" s="412"/>
      <c r="Z24" s="414"/>
      <c r="AA24" s="414"/>
      <c r="AB24" s="414"/>
      <c r="AC24" s="412"/>
      <c r="AD24" s="412"/>
      <c r="AE24" s="414"/>
    </row>
    <row r="25" spans="1:37" ht="12" customHeight="1" x14ac:dyDescent="0.35">
      <c r="A25" s="422">
        <v>521211</v>
      </c>
      <c r="B25" s="423" t="s">
        <v>186</v>
      </c>
      <c r="C25" s="407"/>
      <c r="D25" s="407"/>
      <c r="E25" s="407"/>
      <c r="F25" s="407"/>
      <c r="G25" s="424"/>
      <c r="H25" s="408"/>
      <c r="I25" s="405"/>
      <c r="J25" s="404"/>
      <c r="K25" s="418"/>
      <c r="L25" s="402"/>
      <c r="M25" s="402"/>
      <c r="N25" s="402"/>
      <c r="O25" s="419"/>
      <c r="P25" s="416"/>
      <c r="Q25" s="420"/>
      <c r="R25" s="421"/>
      <c r="S25" s="409"/>
      <c r="T25" s="414"/>
      <c r="U25" s="411"/>
      <c r="V25" s="411"/>
      <c r="W25" s="411"/>
      <c r="X25" s="411"/>
      <c r="Y25" s="412"/>
      <c r="Z25" s="414"/>
      <c r="AA25" s="414"/>
      <c r="AB25" s="414"/>
      <c r="AC25" s="412"/>
      <c r="AD25" s="412"/>
      <c r="AE25" s="414"/>
    </row>
    <row r="26" spans="1:37" ht="12" customHeight="1" x14ac:dyDescent="0.35">
      <c r="A26" s="425"/>
      <c r="B26" s="426" t="s">
        <v>82</v>
      </c>
      <c r="C26" s="407" t="s">
        <v>189</v>
      </c>
      <c r="D26" s="407"/>
      <c r="E26" s="407"/>
      <c r="F26" s="407"/>
      <c r="G26" s="424"/>
      <c r="H26" s="408"/>
      <c r="I26" s="405"/>
      <c r="J26" s="404"/>
      <c r="K26" s="418"/>
      <c r="L26" s="402"/>
      <c r="M26" s="402"/>
      <c r="N26" s="402"/>
      <c r="O26" s="427">
        <v>1</v>
      </c>
      <c r="P26" s="407" t="s">
        <v>83</v>
      </c>
      <c r="Q26" s="428"/>
      <c r="R26" s="429">
        <f>O26*2730000</f>
        <v>2730000</v>
      </c>
      <c r="S26" s="409">
        <f>+R26/$R$184*100</f>
        <v>0.12191946794880097</v>
      </c>
      <c r="T26" s="410">
        <v>0</v>
      </c>
      <c r="U26" s="411"/>
      <c r="V26" s="411"/>
      <c r="W26" s="411"/>
      <c r="X26" s="411"/>
      <c r="Y26" s="412">
        <v>0</v>
      </c>
      <c r="Z26" s="410">
        <f>+Y26/R26*100</f>
        <v>0</v>
      </c>
      <c r="AA26" s="413">
        <f>Z26</f>
        <v>0</v>
      </c>
      <c r="AB26" s="410">
        <f>AA26*S26/100</f>
        <v>0</v>
      </c>
      <c r="AC26" s="412"/>
      <c r="AD26" s="412">
        <f>+R26-Y26</f>
        <v>2730000</v>
      </c>
      <c r="AE26" s="414"/>
    </row>
    <row r="27" spans="1:37" ht="12" customHeight="1" x14ac:dyDescent="0.35">
      <c r="A27" s="425"/>
      <c r="B27" s="426" t="s">
        <v>82</v>
      </c>
      <c r="C27" s="407" t="s">
        <v>187</v>
      </c>
      <c r="D27" s="407"/>
      <c r="E27" s="407"/>
      <c r="F27" s="407"/>
      <c r="G27" s="424"/>
      <c r="H27" s="408"/>
      <c r="I27" s="405"/>
      <c r="J27" s="404"/>
      <c r="K27" s="418"/>
      <c r="L27" s="402"/>
      <c r="M27" s="402"/>
      <c r="N27" s="402"/>
      <c r="O27" s="427">
        <v>1</v>
      </c>
      <c r="P27" s="407" t="s">
        <v>83</v>
      </c>
      <c r="Q27" s="428"/>
      <c r="R27" s="429">
        <f>O27*2810000</f>
        <v>2810000</v>
      </c>
      <c r="S27" s="409">
        <f>+R27/$R$184*100</f>
        <v>0.12549219961030428</v>
      </c>
      <c r="T27" s="410"/>
      <c r="U27" s="411"/>
      <c r="V27" s="411"/>
      <c r="W27" s="411"/>
      <c r="X27" s="411"/>
      <c r="Y27" s="412">
        <v>0</v>
      </c>
      <c r="Z27" s="410">
        <f t="shared" ref="Z27:Z30" si="0">+Y27/R27*100</f>
        <v>0</v>
      </c>
      <c r="AA27" s="413">
        <f t="shared" ref="AA27:AA61" si="1">Z27</f>
        <v>0</v>
      </c>
      <c r="AB27" s="410">
        <f t="shared" ref="AB27:AB30" si="2">AA27*S27/100</f>
        <v>0</v>
      </c>
      <c r="AC27" s="412"/>
      <c r="AD27" s="412">
        <f t="shared" ref="AD27:AD34" si="3">+R27-Y27</f>
        <v>2810000</v>
      </c>
      <c r="AE27" s="414"/>
    </row>
    <row r="28" spans="1:37" ht="12" customHeight="1" x14ac:dyDescent="0.35">
      <c r="A28" s="425"/>
      <c r="B28" s="426" t="s">
        <v>82</v>
      </c>
      <c r="C28" s="407" t="s">
        <v>190</v>
      </c>
      <c r="D28" s="407"/>
      <c r="E28" s="407"/>
      <c r="F28" s="407"/>
      <c r="G28" s="424"/>
      <c r="H28" s="408"/>
      <c r="I28" s="405"/>
      <c r="J28" s="404"/>
      <c r="K28" s="418"/>
      <c r="L28" s="402"/>
      <c r="M28" s="402"/>
      <c r="N28" s="402"/>
      <c r="O28" s="427">
        <v>1</v>
      </c>
      <c r="P28" s="407" t="s">
        <v>83</v>
      </c>
      <c r="Q28" s="428"/>
      <c r="R28" s="429">
        <f>O28*8490000</f>
        <v>8490000</v>
      </c>
      <c r="S28" s="409">
        <f>+R28/$R$184*100</f>
        <v>0.37915614757704036</v>
      </c>
      <c r="T28" s="410"/>
      <c r="U28" s="411"/>
      <c r="V28" s="411"/>
      <c r="W28" s="411"/>
      <c r="X28" s="411"/>
      <c r="Y28" s="412">
        <v>0</v>
      </c>
      <c r="Z28" s="410">
        <f t="shared" si="0"/>
        <v>0</v>
      </c>
      <c r="AA28" s="413">
        <f t="shared" si="1"/>
        <v>0</v>
      </c>
      <c r="AB28" s="410">
        <f t="shared" si="2"/>
        <v>0</v>
      </c>
      <c r="AC28" s="412"/>
      <c r="AD28" s="412">
        <f t="shared" si="3"/>
        <v>8490000</v>
      </c>
      <c r="AE28" s="414"/>
    </row>
    <row r="29" spans="1:37" ht="12" customHeight="1" x14ac:dyDescent="0.35">
      <c r="A29" s="425"/>
      <c r="B29" s="426" t="s">
        <v>82</v>
      </c>
      <c r="C29" s="407" t="s">
        <v>188</v>
      </c>
      <c r="D29" s="407"/>
      <c r="E29" s="407"/>
      <c r="F29" s="407"/>
      <c r="G29" s="424"/>
      <c r="H29" s="408"/>
      <c r="I29" s="405"/>
      <c r="J29" s="404"/>
      <c r="K29" s="418"/>
      <c r="L29" s="402"/>
      <c r="M29" s="402"/>
      <c r="N29" s="402"/>
      <c r="O29" s="427">
        <v>1</v>
      </c>
      <c r="P29" s="407" t="s">
        <v>83</v>
      </c>
      <c r="Q29" s="428"/>
      <c r="R29" s="429">
        <f>O29*9990000</f>
        <v>9990000</v>
      </c>
      <c r="S29" s="409">
        <f>+R29/$R$184*100</f>
        <v>0.4461448662302277</v>
      </c>
      <c r="T29" s="410"/>
      <c r="U29" s="411"/>
      <c r="V29" s="411"/>
      <c r="W29" s="411"/>
      <c r="X29" s="411"/>
      <c r="Y29" s="412">
        <v>0</v>
      </c>
      <c r="Z29" s="410">
        <f t="shared" si="0"/>
        <v>0</v>
      </c>
      <c r="AA29" s="413">
        <f t="shared" si="1"/>
        <v>0</v>
      </c>
      <c r="AB29" s="410">
        <f t="shared" si="2"/>
        <v>0</v>
      </c>
      <c r="AC29" s="412"/>
      <c r="AD29" s="412">
        <f t="shared" si="3"/>
        <v>9990000</v>
      </c>
      <c r="AE29" s="414"/>
    </row>
    <row r="30" spans="1:37" ht="12" customHeight="1" x14ac:dyDescent="0.35">
      <c r="A30" s="425"/>
      <c r="B30" s="426" t="s">
        <v>191</v>
      </c>
      <c r="C30" s="407" t="s">
        <v>192</v>
      </c>
      <c r="D30" s="407"/>
      <c r="E30" s="407"/>
      <c r="F30" s="407"/>
      <c r="G30" s="424"/>
      <c r="H30" s="408"/>
      <c r="I30" s="405"/>
      <c r="J30" s="404"/>
      <c r="K30" s="418"/>
      <c r="L30" s="402"/>
      <c r="M30" s="402"/>
      <c r="N30" s="402"/>
      <c r="O30" s="427">
        <v>1</v>
      </c>
      <c r="P30" s="407" t="s">
        <v>83</v>
      </c>
      <c r="Q30" s="428"/>
      <c r="R30" s="429">
        <f>O30*2480000</f>
        <v>2480000</v>
      </c>
      <c r="S30" s="409">
        <f>+R30/$R$184*100</f>
        <v>0.11075468150660307</v>
      </c>
      <c r="T30" s="410"/>
      <c r="U30" s="411"/>
      <c r="V30" s="411"/>
      <c r="W30" s="411"/>
      <c r="X30" s="411"/>
      <c r="Y30" s="412">
        <f>210000+240000</f>
        <v>450000</v>
      </c>
      <c r="Z30" s="410">
        <f t="shared" si="0"/>
        <v>18.14516129032258</v>
      </c>
      <c r="AA30" s="413">
        <f t="shared" si="1"/>
        <v>18.14516129032258</v>
      </c>
      <c r="AB30" s="410">
        <f t="shared" si="2"/>
        <v>2.0096615595956203E-2</v>
      </c>
      <c r="AC30" s="412"/>
      <c r="AD30" s="412">
        <f t="shared" si="3"/>
        <v>2030000</v>
      </c>
      <c r="AE30" s="414"/>
    </row>
    <row r="31" spans="1:37" ht="12" customHeight="1" x14ac:dyDescent="0.35">
      <c r="A31" s="422">
        <v>521213</v>
      </c>
      <c r="B31" s="423" t="s">
        <v>193</v>
      </c>
      <c r="C31" s="407"/>
      <c r="D31" s="407"/>
      <c r="E31" s="407"/>
      <c r="F31" s="407"/>
      <c r="G31" s="424"/>
      <c r="H31" s="408"/>
      <c r="I31" s="405"/>
      <c r="J31" s="404"/>
      <c r="K31" s="418"/>
      <c r="L31" s="402"/>
      <c r="M31" s="402"/>
      <c r="N31" s="402"/>
      <c r="O31" s="427"/>
      <c r="P31" s="407"/>
      <c r="Q31" s="428"/>
      <c r="R31" s="429"/>
      <c r="S31" s="409"/>
      <c r="T31" s="410"/>
      <c r="U31" s="411"/>
      <c r="V31" s="411"/>
      <c r="W31" s="411"/>
      <c r="X31" s="411"/>
      <c r="Y31" s="412"/>
      <c r="Z31" s="410"/>
      <c r="AA31" s="413"/>
      <c r="AB31" s="410"/>
      <c r="AC31" s="412"/>
      <c r="AD31" s="412"/>
      <c r="AE31" s="414"/>
    </row>
    <row r="32" spans="1:37" ht="12" customHeight="1" x14ac:dyDescent="0.35">
      <c r="A32" s="425"/>
      <c r="B32" s="426" t="s">
        <v>82</v>
      </c>
      <c r="C32" s="407" t="s">
        <v>194</v>
      </c>
      <c r="D32" s="407"/>
      <c r="E32" s="407"/>
      <c r="F32" s="407"/>
      <c r="G32" s="424"/>
      <c r="H32" s="408"/>
      <c r="I32" s="405"/>
      <c r="J32" s="404"/>
      <c r="K32" s="418"/>
      <c r="L32" s="402"/>
      <c r="M32" s="402"/>
      <c r="N32" s="402"/>
      <c r="O32" s="427">
        <v>6</v>
      </c>
      <c r="P32" s="407" t="s">
        <v>147</v>
      </c>
      <c r="Q32" s="428"/>
      <c r="R32" s="429">
        <f>O32*300000</f>
        <v>1800000</v>
      </c>
      <c r="S32" s="409">
        <f>+R32/$R$184*100</f>
        <v>8.0386462383824811E-2</v>
      </c>
      <c r="T32" s="410"/>
      <c r="U32" s="411"/>
      <c r="V32" s="411"/>
      <c r="W32" s="411"/>
      <c r="X32" s="411"/>
      <c r="Y32" s="412">
        <v>0</v>
      </c>
      <c r="Z32" s="410">
        <f t="shared" ref="Z32:Z34" si="4">+Y32/R32*100</f>
        <v>0</v>
      </c>
      <c r="AA32" s="413">
        <f t="shared" si="1"/>
        <v>0</v>
      </c>
      <c r="AB32" s="410">
        <f t="shared" ref="AB32:AB34" si="5">AA32*S32/100</f>
        <v>0</v>
      </c>
      <c r="AC32" s="412"/>
      <c r="AD32" s="412">
        <f t="shared" si="3"/>
        <v>1800000</v>
      </c>
      <c r="AE32" s="414"/>
    </row>
    <row r="33" spans="1:32" ht="12" customHeight="1" x14ac:dyDescent="0.35">
      <c r="A33" s="425"/>
      <c r="B33" s="426" t="s">
        <v>82</v>
      </c>
      <c r="C33" s="407" t="s">
        <v>195</v>
      </c>
      <c r="D33" s="407"/>
      <c r="E33" s="407"/>
      <c r="F33" s="407"/>
      <c r="G33" s="424"/>
      <c r="H33" s="408"/>
      <c r="I33" s="405"/>
      <c r="J33" s="404"/>
      <c r="K33" s="418"/>
      <c r="L33" s="402"/>
      <c r="M33" s="402"/>
      <c r="N33" s="402"/>
      <c r="O33" s="427">
        <v>6</v>
      </c>
      <c r="P33" s="407" t="s">
        <v>147</v>
      </c>
      <c r="Q33" s="428"/>
      <c r="R33" s="429">
        <f>O33*250000</f>
        <v>1500000</v>
      </c>
      <c r="S33" s="409">
        <f>+R33/$R$184*100</f>
        <v>6.6988718653187354E-2</v>
      </c>
      <c r="T33" s="410"/>
      <c r="U33" s="411"/>
      <c r="V33" s="411"/>
      <c r="W33" s="411"/>
      <c r="X33" s="411"/>
      <c r="Y33" s="412">
        <v>0</v>
      </c>
      <c r="Z33" s="410">
        <f t="shared" si="4"/>
        <v>0</v>
      </c>
      <c r="AA33" s="413">
        <f t="shared" si="1"/>
        <v>0</v>
      </c>
      <c r="AB33" s="410">
        <f t="shared" si="5"/>
        <v>0</v>
      </c>
      <c r="AC33" s="412"/>
      <c r="AD33" s="412">
        <f t="shared" si="3"/>
        <v>1500000</v>
      </c>
      <c r="AE33" s="414"/>
    </row>
    <row r="34" spans="1:32" ht="12" customHeight="1" x14ac:dyDescent="0.35">
      <c r="A34" s="425"/>
      <c r="B34" s="426" t="s">
        <v>82</v>
      </c>
      <c r="C34" s="407" t="s">
        <v>196</v>
      </c>
      <c r="D34" s="407"/>
      <c r="E34" s="407"/>
      <c r="F34" s="407"/>
      <c r="G34" s="424"/>
      <c r="H34" s="408"/>
      <c r="I34" s="405"/>
      <c r="J34" s="404"/>
      <c r="K34" s="418"/>
      <c r="L34" s="402"/>
      <c r="M34" s="402"/>
      <c r="N34" s="402"/>
      <c r="O34" s="427">
        <v>30</v>
      </c>
      <c r="P34" s="407" t="s">
        <v>147</v>
      </c>
      <c r="Q34" s="428"/>
      <c r="R34" s="429">
        <f>O34*200000</f>
        <v>6000000</v>
      </c>
      <c r="S34" s="409">
        <f>+R34/$R$184*100</f>
        <v>0.26795487461274942</v>
      </c>
      <c r="T34" s="410"/>
      <c r="U34" s="411"/>
      <c r="V34" s="411"/>
      <c r="W34" s="411"/>
      <c r="X34" s="411"/>
      <c r="Y34" s="412">
        <v>0</v>
      </c>
      <c r="Z34" s="410">
        <f t="shared" si="4"/>
        <v>0</v>
      </c>
      <c r="AA34" s="413">
        <f t="shared" si="1"/>
        <v>0</v>
      </c>
      <c r="AB34" s="410">
        <f t="shared" si="5"/>
        <v>0</v>
      </c>
      <c r="AC34" s="412"/>
      <c r="AD34" s="412">
        <f t="shared" si="3"/>
        <v>6000000</v>
      </c>
      <c r="AE34" s="414"/>
    </row>
    <row r="35" spans="1:32" ht="12" customHeight="1" x14ac:dyDescent="0.35">
      <c r="A35" s="422">
        <v>521219</v>
      </c>
      <c r="B35" s="423" t="s">
        <v>197</v>
      </c>
      <c r="C35" s="407"/>
      <c r="D35" s="407"/>
      <c r="E35" s="407"/>
      <c r="F35" s="407"/>
      <c r="G35" s="424"/>
      <c r="H35" s="408"/>
      <c r="I35" s="405"/>
      <c r="J35" s="404"/>
      <c r="K35" s="418"/>
      <c r="L35" s="402"/>
      <c r="M35" s="402"/>
      <c r="N35" s="402"/>
      <c r="O35" s="427"/>
      <c r="P35" s="407"/>
      <c r="Q35" s="428"/>
      <c r="R35" s="429"/>
      <c r="S35" s="409"/>
      <c r="T35" s="410"/>
      <c r="U35" s="411"/>
      <c r="V35" s="411"/>
      <c r="W35" s="411"/>
      <c r="X35" s="411"/>
      <c r="Y35" s="412"/>
      <c r="Z35" s="410"/>
      <c r="AA35" s="413"/>
      <c r="AB35" s="410"/>
      <c r="AC35" s="412"/>
      <c r="AD35" s="412"/>
      <c r="AE35" s="414"/>
    </row>
    <row r="36" spans="1:32" ht="12" customHeight="1" x14ac:dyDescent="0.35">
      <c r="A36" s="425"/>
      <c r="B36" s="426" t="s">
        <v>82</v>
      </c>
      <c r="C36" s="407" t="s">
        <v>198</v>
      </c>
      <c r="D36" s="407"/>
      <c r="E36" s="407"/>
      <c r="F36" s="407"/>
      <c r="G36" s="424"/>
      <c r="H36" s="408"/>
      <c r="I36" s="405"/>
      <c r="J36" s="404"/>
      <c r="K36" s="418"/>
      <c r="L36" s="402"/>
      <c r="M36" s="402"/>
      <c r="N36" s="402"/>
      <c r="O36" s="427">
        <v>25</v>
      </c>
      <c r="P36" s="407" t="s">
        <v>200</v>
      </c>
      <c r="Q36" s="420"/>
      <c r="R36" s="429">
        <f>O36*50000</f>
        <v>1250000</v>
      </c>
      <c r="S36" s="409">
        <f>+R36/$R$184*100</f>
        <v>5.5823932210989448E-2</v>
      </c>
      <c r="T36" s="410"/>
      <c r="U36" s="411"/>
      <c r="V36" s="411"/>
      <c r="W36" s="411"/>
      <c r="X36" s="411"/>
      <c r="Y36" s="412">
        <v>0</v>
      </c>
      <c r="Z36" s="410">
        <f t="shared" ref="Z36:Z37" si="6">+Y36/R36*100</f>
        <v>0</v>
      </c>
      <c r="AA36" s="413">
        <f t="shared" si="1"/>
        <v>0</v>
      </c>
      <c r="AB36" s="410">
        <f t="shared" ref="AB36:AB37" si="7">AA36*S36/100</f>
        <v>0</v>
      </c>
      <c r="AC36" s="412"/>
      <c r="AD36" s="412">
        <f t="shared" ref="AD36:AD37" si="8">+R36-Y36</f>
        <v>1250000</v>
      </c>
      <c r="AE36" s="414"/>
    </row>
    <row r="37" spans="1:32" ht="12" customHeight="1" x14ac:dyDescent="0.35">
      <c r="A37" s="425"/>
      <c r="B37" s="426" t="s">
        <v>82</v>
      </c>
      <c r="C37" s="407" t="s">
        <v>199</v>
      </c>
      <c r="D37" s="407"/>
      <c r="E37" s="407"/>
      <c r="F37" s="407"/>
      <c r="G37" s="424"/>
      <c r="H37" s="408"/>
      <c r="I37" s="405"/>
      <c r="J37" s="404"/>
      <c r="K37" s="418"/>
      <c r="L37" s="402"/>
      <c r="M37" s="402"/>
      <c r="N37" s="402"/>
      <c r="O37" s="427">
        <v>30</v>
      </c>
      <c r="P37" s="407" t="s">
        <v>200</v>
      </c>
      <c r="Q37" s="428"/>
      <c r="R37" s="429">
        <f>O37*50000</f>
        <v>1500000</v>
      </c>
      <c r="S37" s="409">
        <f>+R37/$R$184*100</f>
        <v>6.6988718653187354E-2</v>
      </c>
      <c r="T37" s="410"/>
      <c r="U37" s="411"/>
      <c r="V37" s="411"/>
      <c r="W37" s="411"/>
      <c r="X37" s="411"/>
      <c r="Y37" s="412">
        <v>0</v>
      </c>
      <c r="Z37" s="410">
        <f t="shared" si="6"/>
        <v>0</v>
      </c>
      <c r="AA37" s="413">
        <f t="shared" si="1"/>
        <v>0</v>
      </c>
      <c r="AB37" s="410">
        <f t="shared" si="7"/>
        <v>0</v>
      </c>
      <c r="AC37" s="412"/>
      <c r="AD37" s="412">
        <f t="shared" si="8"/>
        <v>1500000</v>
      </c>
      <c r="AE37" s="414"/>
    </row>
    <row r="38" spans="1:32" ht="12" customHeight="1" x14ac:dyDescent="0.35">
      <c r="A38" s="422">
        <v>522141</v>
      </c>
      <c r="B38" s="423" t="s">
        <v>168</v>
      </c>
      <c r="C38" s="407"/>
      <c r="D38" s="407"/>
      <c r="E38" s="407"/>
      <c r="F38" s="407"/>
      <c r="G38" s="424"/>
      <c r="H38" s="408"/>
      <c r="I38" s="405"/>
      <c r="J38" s="404"/>
      <c r="K38" s="418"/>
      <c r="L38" s="402"/>
      <c r="M38" s="402"/>
      <c r="N38" s="402"/>
      <c r="O38" s="419"/>
      <c r="P38" s="416"/>
      <c r="Q38" s="420"/>
      <c r="R38" s="421"/>
      <c r="S38" s="409"/>
      <c r="T38" s="414"/>
      <c r="U38" s="411"/>
      <c r="V38" s="411"/>
      <c r="W38" s="411"/>
      <c r="X38" s="411"/>
      <c r="Y38" s="412"/>
      <c r="Z38" s="414"/>
      <c r="AA38" s="414"/>
      <c r="AB38" s="414"/>
      <c r="AC38" s="412"/>
      <c r="AD38" s="412"/>
      <c r="AE38" s="414"/>
    </row>
    <row r="39" spans="1:32" ht="12" customHeight="1" x14ac:dyDescent="0.35">
      <c r="A39" s="425"/>
      <c r="B39" s="426" t="s">
        <v>82</v>
      </c>
      <c r="C39" s="407" t="s">
        <v>201</v>
      </c>
      <c r="D39" s="407"/>
      <c r="E39" s="407"/>
      <c r="F39" s="407"/>
      <c r="G39" s="424"/>
      <c r="H39" s="408"/>
      <c r="I39" s="405"/>
      <c r="J39" s="404"/>
      <c r="K39" s="418"/>
      <c r="L39" s="402"/>
      <c r="M39" s="402"/>
      <c r="N39" s="402"/>
      <c r="O39" s="427">
        <v>1</v>
      </c>
      <c r="P39" s="407" t="s">
        <v>205</v>
      </c>
      <c r="Q39" s="428"/>
      <c r="R39" s="429">
        <f>O39*2000000</f>
        <v>2000000</v>
      </c>
      <c r="S39" s="409">
        <f>+R39/$R$184*100</f>
        <v>8.9318291537583125E-2</v>
      </c>
      <c r="T39" s="410"/>
      <c r="U39" s="411"/>
      <c r="V39" s="411"/>
      <c r="W39" s="411"/>
      <c r="X39" s="411"/>
      <c r="Y39" s="412">
        <v>0</v>
      </c>
      <c r="Z39" s="410">
        <f t="shared" ref="Z39:Z42" si="9">+Y39/R39*100</f>
        <v>0</v>
      </c>
      <c r="AA39" s="413">
        <f t="shared" si="1"/>
        <v>0</v>
      </c>
      <c r="AB39" s="410">
        <f t="shared" ref="AB39:AB42" si="10">AA39*S39/100</f>
        <v>0</v>
      </c>
      <c r="AC39" s="412"/>
      <c r="AD39" s="412">
        <f t="shared" ref="AD39:AD42" si="11">+R39-Y39</f>
        <v>2000000</v>
      </c>
      <c r="AE39" s="414"/>
    </row>
    <row r="40" spans="1:32" ht="12" customHeight="1" x14ac:dyDescent="0.35">
      <c r="A40" s="425"/>
      <c r="B40" s="426" t="s">
        <v>82</v>
      </c>
      <c r="C40" s="407" t="s">
        <v>202</v>
      </c>
      <c r="D40" s="407"/>
      <c r="E40" s="407"/>
      <c r="F40" s="407"/>
      <c r="G40" s="424"/>
      <c r="H40" s="408"/>
      <c r="I40" s="405"/>
      <c r="J40" s="404"/>
      <c r="K40" s="418"/>
      <c r="L40" s="402"/>
      <c r="M40" s="402"/>
      <c r="N40" s="402"/>
      <c r="O40" s="427">
        <v>6</v>
      </c>
      <c r="P40" s="407" t="s">
        <v>205</v>
      </c>
      <c r="Q40" s="428"/>
      <c r="R40" s="429">
        <f>O40*700000</f>
        <v>4200000</v>
      </c>
      <c r="S40" s="409">
        <f>+R40/$R$184*100</f>
        <v>0.18756841222892456</v>
      </c>
      <c r="T40" s="410"/>
      <c r="U40" s="411"/>
      <c r="V40" s="411"/>
      <c r="W40" s="411"/>
      <c r="X40" s="411"/>
      <c r="Y40" s="412">
        <v>0</v>
      </c>
      <c r="Z40" s="410">
        <f t="shared" si="9"/>
        <v>0</v>
      </c>
      <c r="AA40" s="413">
        <f t="shared" si="1"/>
        <v>0</v>
      </c>
      <c r="AB40" s="410">
        <f t="shared" si="10"/>
        <v>0</v>
      </c>
      <c r="AC40" s="412"/>
      <c r="AD40" s="412">
        <f t="shared" si="11"/>
        <v>4200000</v>
      </c>
      <c r="AE40" s="414"/>
      <c r="AF40" s="90"/>
    </row>
    <row r="41" spans="1:32" ht="12" customHeight="1" x14ac:dyDescent="0.35">
      <c r="A41" s="425"/>
      <c r="B41" s="426" t="s">
        <v>82</v>
      </c>
      <c r="C41" s="407" t="s">
        <v>203</v>
      </c>
      <c r="D41" s="407"/>
      <c r="E41" s="407"/>
      <c r="F41" s="407"/>
      <c r="G41" s="424"/>
      <c r="H41" s="408"/>
      <c r="I41" s="405"/>
      <c r="J41" s="404"/>
      <c r="K41" s="418"/>
      <c r="L41" s="402"/>
      <c r="M41" s="402"/>
      <c r="N41" s="402"/>
      <c r="O41" s="427">
        <v>1</v>
      </c>
      <c r="P41" s="407" t="s">
        <v>205</v>
      </c>
      <c r="Q41" s="428"/>
      <c r="R41" s="429">
        <f>O41*2000000</f>
        <v>2000000</v>
      </c>
      <c r="S41" s="409">
        <f>+R41/$R$184*100</f>
        <v>8.9318291537583125E-2</v>
      </c>
      <c r="T41" s="410"/>
      <c r="U41" s="411"/>
      <c r="V41" s="411"/>
      <c r="W41" s="411"/>
      <c r="X41" s="411"/>
      <c r="Y41" s="412">
        <v>0</v>
      </c>
      <c r="Z41" s="410">
        <f t="shared" si="9"/>
        <v>0</v>
      </c>
      <c r="AA41" s="413">
        <f t="shared" si="1"/>
        <v>0</v>
      </c>
      <c r="AB41" s="410">
        <f t="shared" si="10"/>
        <v>0</v>
      </c>
      <c r="AC41" s="412"/>
      <c r="AD41" s="412">
        <f t="shared" si="11"/>
        <v>2000000</v>
      </c>
      <c r="AE41" s="414"/>
      <c r="AF41" s="90"/>
    </row>
    <row r="42" spans="1:32" ht="12" customHeight="1" x14ac:dyDescent="0.35">
      <c r="A42" s="425"/>
      <c r="B42" s="426" t="s">
        <v>82</v>
      </c>
      <c r="C42" s="407" t="s">
        <v>204</v>
      </c>
      <c r="D42" s="407"/>
      <c r="E42" s="407"/>
      <c r="F42" s="407"/>
      <c r="G42" s="424"/>
      <c r="H42" s="408"/>
      <c r="I42" s="405"/>
      <c r="J42" s="404"/>
      <c r="K42" s="418"/>
      <c r="L42" s="402"/>
      <c r="M42" s="402"/>
      <c r="N42" s="402"/>
      <c r="O42" s="427">
        <v>6</v>
      </c>
      <c r="P42" s="407" t="s">
        <v>205</v>
      </c>
      <c r="Q42" s="428"/>
      <c r="R42" s="429">
        <f>O42*700000</f>
        <v>4200000</v>
      </c>
      <c r="S42" s="409">
        <f>+R42/$R$184*100</f>
        <v>0.18756841222892456</v>
      </c>
      <c r="T42" s="410"/>
      <c r="U42" s="411"/>
      <c r="V42" s="411"/>
      <c r="W42" s="411"/>
      <c r="X42" s="411"/>
      <c r="Y42" s="412">
        <v>0</v>
      </c>
      <c r="Z42" s="410">
        <f t="shared" si="9"/>
        <v>0</v>
      </c>
      <c r="AA42" s="413">
        <f t="shared" si="1"/>
        <v>0</v>
      </c>
      <c r="AB42" s="410">
        <f t="shared" si="10"/>
        <v>0</v>
      </c>
      <c r="AC42" s="412"/>
      <c r="AD42" s="412">
        <f t="shared" si="11"/>
        <v>4200000</v>
      </c>
      <c r="AE42" s="414"/>
      <c r="AF42" s="90"/>
    </row>
    <row r="43" spans="1:32" ht="12" customHeight="1" x14ac:dyDescent="0.35">
      <c r="A43" s="422">
        <v>522151</v>
      </c>
      <c r="B43" s="430" t="s">
        <v>84</v>
      </c>
      <c r="C43" s="407"/>
      <c r="D43" s="407"/>
      <c r="E43" s="407"/>
      <c r="F43" s="407"/>
      <c r="G43" s="424"/>
      <c r="H43" s="408"/>
      <c r="I43" s="405"/>
      <c r="J43" s="404"/>
      <c r="K43" s="418"/>
      <c r="L43" s="402"/>
      <c r="M43" s="402"/>
      <c r="N43" s="402"/>
      <c r="O43" s="427"/>
      <c r="P43" s="407"/>
      <c r="Q43" s="428"/>
      <c r="R43" s="429"/>
      <c r="S43" s="409"/>
      <c r="T43" s="414"/>
      <c r="U43" s="411"/>
      <c r="V43" s="411"/>
      <c r="W43" s="411"/>
      <c r="X43" s="411"/>
      <c r="Y43" s="412"/>
      <c r="Z43" s="414"/>
      <c r="AA43" s="414"/>
      <c r="AB43" s="414"/>
      <c r="AC43" s="412"/>
      <c r="AD43" s="412"/>
      <c r="AE43" s="414"/>
      <c r="AF43" s="90"/>
    </row>
    <row r="44" spans="1:32" ht="12" customHeight="1" x14ac:dyDescent="0.35">
      <c r="A44" s="425"/>
      <c r="B44" s="426" t="s">
        <v>82</v>
      </c>
      <c r="C44" s="407" t="s">
        <v>206</v>
      </c>
      <c r="D44" s="407"/>
      <c r="E44" s="407"/>
      <c r="F44" s="407"/>
      <c r="G44" s="424"/>
      <c r="H44" s="408"/>
      <c r="I44" s="405"/>
      <c r="J44" s="404"/>
      <c r="K44" s="418"/>
      <c r="L44" s="402"/>
      <c r="M44" s="402"/>
      <c r="N44" s="402"/>
      <c r="O44" s="427">
        <v>2</v>
      </c>
      <c r="P44" s="407" t="s">
        <v>210</v>
      </c>
      <c r="Q44" s="428"/>
      <c r="R44" s="429">
        <f>O44*1300000</f>
        <v>2600000</v>
      </c>
      <c r="S44" s="409">
        <f>+R44/$R$184*100</f>
        <v>0.11611377899885807</v>
      </c>
      <c r="T44" s="410"/>
      <c r="U44" s="411"/>
      <c r="V44" s="411"/>
      <c r="W44" s="411"/>
      <c r="X44" s="411"/>
      <c r="Y44" s="412">
        <v>0</v>
      </c>
      <c r="Z44" s="410">
        <f t="shared" ref="Z44:Z47" si="12">+Y44/R44*100</f>
        <v>0</v>
      </c>
      <c r="AA44" s="413">
        <f t="shared" si="1"/>
        <v>0</v>
      </c>
      <c r="AB44" s="410">
        <f t="shared" ref="AB44:AB47" si="13">AA44*S44/100</f>
        <v>0</v>
      </c>
      <c r="AC44" s="412"/>
      <c r="AD44" s="412">
        <f t="shared" ref="AD44:AD47" si="14">+R44-Y44</f>
        <v>2600000</v>
      </c>
      <c r="AE44" s="414"/>
      <c r="AF44" s="90"/>
    </row>
    <row r="45" spans="1:32" ht="12" customHeight="1" x14ac:dyDescent="0.35">
      <c r="A45" s="425"/>
      <c r="B45" s="426" t="s">
        <v>82</v>
      </c>
      <c r="C45" s="407" t="s">
        <v>207</v>
      </c>
      <c r="D45" s="407"/>
      <c r="E45" s="407"/>
      <c r="F45" s="407"/>
      <c r="G45" s="424"/>
      <c r="H45" s="408"/>
      <c r="I45" s="405"/>
      <c r="J45" s="404"/>
      <c r="K45" s="418"/>
      <c r="L45" s="402"/>
      <c r="M45" s="402"/>
      <c r="N45" s="402"/>
      <c r="O45" s="427">
        <v>10</v>
      </c>
      <c r="P45" s="407" t="s">
        <v>210</v>
      </c>
      <c r="Q45" s="428"/>
      <c r="R45" s="429">
        <f>O45*900000</f>
        <v>9000000</v>
      </c>
      <c r="S45" s="409">
        <f>+R45/$R$184*100</f>
        <v>0.4019323119191241</v>
      </c>
      <c r="T45" s="410"/>
      <c r="U45" s="411"/>
      <c r="V45" s="411"/>
      <c r="W45" s="411"/>
      <c r="X45" s="411"/>
      <c r="Y45" s="412">
        <v>0</v>
      </c>
      <c r="Z45" s="410">
        <f t="shared" si="12"/>
        <v>0</v>
      </c>
      <c r="AA45" s="413">
        <f t="shared" si="1"/>
        <v>0</v>
      </c>
      <c r="AB45" s="410">
        <f t="shared" si="13"/>
        <v>0</v>
      </c>
      <c r="AC45" s="412"/>
      <c r="AD45" s="412">
        <f t="shared" si="14"/>
        <v>9000000</v>
      </c>
      <c r="AE45" s="414"/>
      <c r="AF45" s="90"/>
    </row>
    <row r="46" spans="1:32" ht="12" customHeight="1" x14ac:dyDescent="0.35">
      <c r="A46" s="425"/>
      <c r="B46" s="426" t="s">
        <v>82</v>
      </c>
      <c r="C46" s="407" t="s">
        <v>208</v>
      </c>
      <c r="D46" s="407"/>
      <c r="E46" s="407"/>
      <c r="F46" s="407"/>
      <c r="G46" s="424"/>
      <c r="H46" s="408"/>
      <c r="I46" s="405"/>
      <c r="J46" s="404"/>
      <c r="K46" s="418"/>
      <c r="L46" s="402"/>
      <c r="M46" s="402"/>
      <c r="N46" s="402"/>
      <c r="O46" s="427">
        <v>2</v>
      </c>
      <c r="P46" s="407" t="s">
        <v>210</v>
      </c>
      <c r="Q46" s="428"/>
      <c r="R46" s="429">
        <f>O46*1300000</f>
        <v>2600000</v>
      </c>
      <c r="S46" s="409">
        <f>+R46/$R$184*100</f>
        <v>0.11611377899885807</v>
      </c>
      <c r="T46" s="410"/>
      <c r="U46" s="411"/>
      <c r="V46" s="411"/>
      <c r="W46" s="411"/>
      <c r="X46" s="411"/>
      <c r="Y46" s="412">
        <v>0</v>
      </c>
      <c r="Z46" s="410">
        <f t="shared" si="12"/>
        <v>0</v>
      </c>
      <c r="AA46" s="413">
        <f t="shared" si="1"/>
        <v>0</v>
      </c>
      <c r="AB46" s="410">
        <f t="shared" si="13"/>
        <v>0</v>
      </c>
      <c r="AC46" s="412"/>
      <c r="AD46" s="412">
        <f t="shared" si="14"/>
        <v>2600000</v>
      </c>
      <c r="AE46" s="414"/>
      <c r="AF46" s="90"/>
    </row>
    <row r="47" spans="1:32" ht="12" customHeight="1" x14ac:dyDescent="0.35">
      <c r="A47" s="425"/>
      <c r="B47" s="426" t="s">
        <v>82</v>
      </c>
      <c r="C47" s="407" t="s">
        <v>209</v>
      </c>
      <c r="D47" s="407"/>
      <c r="E47" s="407"/>
      <c r="F47" s="407"/>
      <c r="G47" s="424"/>
      <c r="H47" s="408"/>
      <c r="I47" s="405"/>
      <c r="J47" s="404"/>
      <c r="K47" s="418"/>
      <c r="L47" s="402"/>
      <c r="M47" s="402"/>
      <c r="N47" s="402"/>
      <c r="O47" s="427">
        <v>10</v>
      </c>
      <c r="P47" s="407" t="s">
        <v>210</v>
      </c>
      <c r="Q47" s="428"/>
      <c r="R47" s="429">
        <f>O47*900000</f>
        <v>9000000</v>
      </c>
      <c r="S47" s="409">
        <f>+R47/$R$184*100</f>
        <v>0.4019323119191241</v>
      </c>
      <c r="T47" s="410"/>
      <c r="U47" s="411"/>
      <c r="V47" s="411"/>
      <c r="W47" s="411"/>
      <c r="X47" s="411"/>
      <c r="Y47" s="412">
        <v>0</v>
      </c>
      <c r="Z47" s="410">
        <f t="shared" si="12"/>
        <v>0</v>
      </c>
      <c r="AA47" s="413">
        <f t="shared" si="1"/>
        <v>0</v>
      </c>
      <c r="AB47" s="410">
        <f t="shared" si="13"/>
        <v>0</v>
      </c>
      <c r="AC47" s="412"/>
      <c r="AD47" s="412">
        <f t="shared" si="14"/>
        <v>9000000</v>
      </c>
      <c r="AE47" s="414"/>
      <c r="AF47" s="90"/>
    </row>
    <row r="48" spans="1:32" ht="12" customHeight="1" x14ac:dyDescent="0.35">
      <c r="A48" s="422">
        <v>524111</v>
      </c>
      <c r="B48" s="430" t="s">
        <v>85</v>
      </c>
      <c r="C48" s="407"/>
      <c r="D48" s="407"/>
      <c r="E48" s="407"/>
      <c r="F48" s="407"/>
      <c r="G48" s="424"/>
      <c r="H48" s="408"/>
      <c r="I48" s="405"/>
      <c r="J48" s="404"/>
      <c r="K48" s="418"/>
      <c r="L48" s="402"/>
      <c r="M48" s="402"/>
      <c r="N48" s="402"/>
      <c r="O48" s="427"/>
      <c r="P48" s="407"/>
      <c r="Q48" s="428"/>
      <c r="R48" s="429"/>
      <c r="S48" s="409"/>
      <c r="T48" s="410"/>
      <c r="U48" s="411"/>
      <c r="V48" s="411"/>
      <c r="W48" s="411"/>
      <c r="X48" s="411"/>
      <c r="Y48" s="412"/>
      <c r="Z48" s="410"/>
      <c r="AA48" s="413"/>
      <c r="AB48" s="410"/>
      <c r="AC48" s="412"/>
      <c r="AD48" s="412"/>
      <c r="AE48" s="414"/>
      <c r="AF48" s="90"/>
    </row>
    <row r="49" spans="1:32" ht="12" customHeight="1" x14ac:dyDescent="0.35">
      <c r="A49" s="425"/>
      <c r="B49" s="426" t="s">
        <v>82</v>
      </c>
      <c r="C49" s="407" t="s">
        <v>211</v>
      </c>
      <c r="D49" s="407"/>
      <c r="E49" s="407"/>
      <c r="F49" s="407"/>
      <c r="G49" s="424"/>
      <c r="H49" s="408"/>
      <c r="I49" s="405"/>
      <c r="J49" s="404"/>
      <c r="K49" s="418"/>
      <c r="L49" s="402"/>
      <c r="M49" s="402"/>
      <c r="N49" s="402"/>
      <c r="O49" s="427">
        <v>6</v>
      </c>
      <c r="P49" s="407" t="s">
        <v>217</v>
      </c>
      <c r="Q49" s="428"/>
      <c r="R49" s="429">
        <f>O49*430000</f>
        <v>2580000</v>
      </c>
      <c r="S49" s="409">
        <f t="shared" ref="S49:S54" si="15">+R49/$R$184*100</f>
        <v>0.11522059608348224</v>
      </c>
      <c r="T49" s="410"/>
      <c r="U49" s="411"/>
      <c r="V49" s="411"/>
      <c r="W49" s="411"/>
      <c r="X49" s="411"/>
      <c r="Y49" s="412">
        <v>0</v>
      </c>
      <c r="Z49" s="410">
        <f t="shared" ref="Z49:Z54" si="16">+Y49/R49*100</f>
        <v>0</v>
      </c>
      <c r="AA49" s="413">
        <f t="shared" si="1"/>
        <v>0</v>
      </c>
      <c r="AB49" s="410">
        <f t="shared" ref="AB49:AB54" si="17">AA49*S49/100</f>
        <v>0</v>
      </c>
      <c r="AC49" s="412"/>
      <c r="AD49" s="412">
        <f t="shared" ref="AD49:AD54" si="18">+R49-Y49</f>
        <v>2580000</v>
      </c>
      <c r="AE49" s="414"/>
      <c r="AF49" s="90"/>
    </row>
    <row r="50" spans="1:32" ht="12" customHeight="1" x14ac:dyDescent="0.35">
      <c r="A50" s="425"/>
      <c r="B50" s="426" t="s">
        <v>82</v>
      </c>
      <c r="C50" s="407" t="s">
        <v>212</v>
      </c>
      <c r="D50" s="407"/>
      <c r="E50" s="407"/>
      <c r="F50" s="407"/>
      <c r="G50" s="424"/>
      <c r="H50" s="408"/>
      <c r="I50" s="405"/>
      <c r="J50" s="404"/>
      <c r="K50" s="418"/>
      <c r="L50" s="402"/>
      <c r="M50" s="402"/>
      <c r="N50" s="402"/>
      <c r="O50" s="427">
        <v>4</v>
      </c>
      <c r="P50" s="407" t="s">
        <v>217</v>
      </c>
      <c r="Q50" s="428"/>
      <c r="R50" s="429">
        <f>O50*580000</f>
        <v>2320000</v>
      </c>
      <c r="S50" s="409">
        <f t="shared" si="15"/>
        <v>0.10360921818359642</v>
      </c>
      <c r="T50" s="410"/>
      <c r="U50" s="411"/>
      <c r="V50" s="411"/>
      <c r="W50" s="411"/>
      <c r="X50" s="411"/>
      <c r="Y50" s="412">
        <v>0</v>
      </c>
      <c r="Z50" s="410">
        <f t="shared" si="16"/>
        <v>0</v>
      </c>
      <c r="AA50" s="413">
        <f t="shared" si="1"/>
        <v>0</v>
      </c>
      <c r="AB50" s="410">
        <f t="shared" si="17"/>
        <v>0</v>
      </c>
      <c r="AC50" s="412"/>
      <c r="AD50" s="412">
        <f t="shared" si="18"/>
        <v>2320000</v>
      </c>
      <c r="AE50" s="414"/>
      <c r="AF50" s="90"/>
    </row>
    <row r="51" spans="1:32" ht="12" customHeight="1" x14ac:dyDescent="0.35">
      <c r="A51" s="425"/>
      <c r="B51" s="426" t="s">
        <v>82</v>
      </c>
      <c r="C51" s="407" t="s">
        <v>213</v>
      </c>
      <c r="D51" s="407"/>
      <c r="E51" s="407"/>
      <c r="F51" s="407"/>
      <c r="G51" s="424"/>
      <c r="H51" s="408"/>
      <c r="I51" s="405"/>
      <c r="J51" s="404"/>
      <c r="K51" s="418"/>
      <c r="L51" s="402"/>
      <c r="M51" s="402"/>
      <c r="N51" s="402"/>
      <c r="O51" s="427">
        <v>2</v>
      </c>
      <c r="P51" s="407" t="s">
        <v>147</v>
      </c>
      <c r="Q51" s="428"/>
      <c r="R51" s="429">
        <f>O51*400000</f>
        <v>800000</v>
      </c>
      <c r="S51" s="409">
        <f t="shared" si="15"/>
        <v>3.5727316615033249E-2</v>
      </c>
      <c r="T51" s="410"/>
      <c r="U51" s="411"/>
      <c r="V51" s="411"/>
      <c r="W51" s="411"/>
      <c r="X51" s="411"/>
      <c r="Y51" s="412">
        <v>0</v>
      </c>
      <c r="Z51" s="410">
        <f t="shared" si="16"/>
        <v>0</v>
      </c>
      <c r="AA51" s="413">
        <f t="shared" si="1"/>
        <v>0</v>
      </c>
      <c r="AB51" s="410">
        <f t="shared" si="17"/>
        <v>0</v>
      </c>
      <c r="AC51" s="412"/>
      <c r="AD51" s="412">
        <f t="shared" si="18"/>
        <v>800000</v>
      </c>
      <c r="AE51" s="414"/>
      <c r="AF51" s="90"/>
    </row>
    <row r="52" spans="1:32" ht="12" customHeight="1" x14ac:dyDescent="0.35">
      <c r="A52" s="425"/>
      <c r="B52" s="426" t="s">
        <v>82</v>
      </c>
      <c r="C52" s="407" t="s">
        <v>214</v>
      </c>
      <c r="D52" s="407"/>
      <c r="E52" s="407"/>
      <c r="F52" s="407"/>
      <c r="G52" s="424"/>
      <c r="H52" s="408"/>
      <c r="I52" s="405"/>
      <c r="J52" s="404"/>
      <c r="K52" s="418"/>
      <c r="L52" s="402"/>
      <c r="M52" s="402"/>
      <c r="N52" s="402"/>
      <c r="O52" s="427">
        <v>5</v>
      </c>
      <c r="P52" s="407" t="s">
        <v>217</v>
      </c>
      <c r="Q52" s="428"/>
      <c r="R52" s="429">
        <f>O52*430000</f>
        <v>2150000</v>
      </c>
      <c r="S52" s="409">
        <f t="shared" si="15"/>
        <v>9.6017163402901867E-2</v>
      </c>
      <c r="T52" s="410"/>
      <c r="U52" s="411"/>
      <c r="V52" s="411"/>
      <c r="W52" s="411"/>
      <c r="X52" s="411"/>
      <c r="Y52" s="412">
        <v>0</v>
      </c>
      <c r="Z52" s="410">
        <f t="shared" si="16"/>
        <v>0</v>
      </c>
      <c r="AA52" s="413">
        <f t="shared" si="1"/>
        <v>0</v>
      </c>
      <c r="AB52" s="410">
        <f t="shared" si="17"/>
        <v>0</v>
      </c>
      <c r="AC52" s="412"/>
      <c r="AD52" s="412">
        <f t="shared" si="18"/>
        <v>2150000</v>
      </c>
      <c r="AE52" s="414"/>
      <c r="AF52" s="90"/>
    </row>
    <row r="53" spans="1:32" ht="12" customHeight="1" x14ac:dyDescent="0.35">
      <c r="A53" s="425"/>
      <c r="B53" s="426" t="s">
        <v>82</v>
      </c>
      <c r="C53" s="407" t="s">
        <v>215</v>
      </c>
      <c r="D53" s="407"/>
      <c r="E53" s="407"/>
      <c r="F53" s="407"/>
      <c r="G53" s="424"/>
      <c r="H53" s="408"/>
      <c r="I53" s="405"/>
      <c r="J53" s="404"/>
      <c r="K53" s="418"/>
      <c r="L53" s="402"/>
      <c r="M53" s="402"/>
      <c r="N53" s="402"/>
      <c r="O53" s="427">
        <v>2</v>
      </c>
      <c r="P53" s="407" t="s">
        <v>218</v>
      </c>
      <c r="Q53" s="428"/>
      <c r="R53" s="429">
        <f>O53*3000000</f>
        <v>6000000</v>
      </c>
      <c r="S53" s="409">
        <f t="shared" si="15"/>
        <v>0.26795487461274942</v>
      </c>
      <c r="T53" s="410"/>
      <c r="U53" s="411"/>
      <c r="V53" s="411"/>
      <c r="W53" s="411"/>
      <c r="X53" s="411"/>
      <c r="Y53" s="412">
        <v>0</v>
      </c>
      <c r="Z53" s="410">
        <f t="shared" si="16"/>
        <v>0</v>
      </c>
      <c r="AA53" s="413">
        <f t="shared" si="1"/>
        <v>0</v>
      </c>
      <c r="AB53" s="410">
        <f t="shared" si="17"/>
        <v>0</v>
      </c>
      <c r="AC53" s="412"/>
      <c r="AD53" s="412">
        <f t="shared" si="18"/>
        <v>6000000</v>
      </c>
      <c r="AE53" s="414"/>
      <c r="AF53" s="90"/>
    </row>
    <row r="54" spans="1:32" ht="12" customHeight="1" x14ac:dyDescent="0.35">
      <c r="A54" s="425"/>
      <c r="B54" s="426" t="s">
        <v>82</v>
      </c>
      <c r="C54" s="407" t="s">
        <v>216</v>
      </c>
      <c r="D54" s="407"/>
      <c r="E54" s="407"/>
      <c r="F54" s="407"/>
      <c r="G54" s="424"/>
      <c r="H54" s="408"/>
      <c r="I54" s="405"/>
      <c r="J54" s="404"/>
      <c r="K54" s="418"/>
      <c r="L54" s="402"/>
      <c r="M54" s="402"/>
      <c r="N54" s="402"/>
      <c r="O54" s="427">
        <v>5</v>
      </c>
      <c r="P54" s="407" t="s">
        <v>147</v>
      </c>
      <c r="Q54" s="428"/>
      <c r="R54" s="429">
        <f>O54*200000</f>
        <v>1000000</v>
      </c>
      <c r="S54" s="409">
        <f t="shared" si="15"/>
        <v>4.4659145768791562E-2</v>
      </c>
      <c r="T54" s="410"/>
      <c r="U54" s="411"/>
      <c r="V54" s="411"/>
      <c r="W54" s="411"/>
      <c r="X54" s="411"/>
      <c r="Y54" s="412">
        <v>0</v>
      </c>
      <c r="Z54" s="410">
        <f t="shared" si="16"/>
        <v>0</v>
      </c>
      <c r="AA54" s="413">
        <f t="shared" si="1"/>
        <v>0</v>
      </c>
      <c r="AB54" s="410">
        <f t="shared" si="17"/>
        <v>0</v>
      </c>
      <c r="AC54" s="412"/>
      <c r="AD54" s="412">
        <f t="shared" si="18"/>
        <v>1000000</v>
      </c>
      <c r="AE54" s="414"/>
      <c r="AF54" s="90"/>
    </row>
    <row r="55" spans="1:32" ht="12" customHeight="1" x14ac:dyDescent="0.35">
      <c r="A55" s="422">
        <v>524119</v>
      </c>
      <c r="B55" s="430" t="s">
        <v>219</v>
      </c>
      <c r="C55" s="407"/>
      <c r="D55" s="407"/>
      <c r="E55" s="407"/>
      <c r="F55" s="407"/>
      <c r="G55" s="424"/>
      <c r="H55" s="408"/>
      <c r="I55" s="405"/>
      <c r="J55" s="404"/>
      <c r="K55" s="418"/>
      <c r="L55" s="402"/>
      <c r="M55" s="402"/>
      <c r="N55" s="402"/>
      <c r="O55" s="427"/>
      <c r="P55" s="407"/>
      <c r="Q55" s="428"/>
      <c r="R55" s="429"/>
      <c r="S55" s="409"/>
      <c r="T55" s="410"/>
      <c r="U55" s="411"/>
      <c r="V55" s="411"/>
      <c r="W55" s="411"/>
      <c r="X55" s="411"/>
      <c r="Y55" s="412"/>
      <c r="Z55" s="410"/>
      <c r="AA55" s="413"/>
      <c r="AB55" s="410"/>
      <c r="AC55" s="412"/>
      <c r="AD55" s="412"/>
      <c r="AE55" s="414"/>
      <c r="AF55" s="90"/>
    </row>
    <row r="56" spans="1:32" ht="12" customHeight="1" x14ac:dyDescent="0.35">
      <c r="A56" s="425"/>
      <c r="B56" s="426" t="s">
        <v>82</v>
      </c>
      <c r="C56" s="407" t="s">
        <v>220</v>
      </c>
      <c r="D56" s="407"/>
      <c r="E56" s="407"/>
      <c r="F56" s="407"/>
      <c r="G56" s="424"/>
      <c r="H56" s="408"/>
      <c r="I56" s="405"/>
      <c r="J56" s="404"/>
      <c r="K56" s="418"/>
      <c r="L56" s="402"/>
      <c r="M56" s="402"/>
      <c r="N56" s="402"/>
      <c r="O56" s="427">
        <v>100</v>
      </c>
      <c r="P56" s="407" t="s">
        <v>217</v>
      </c>
      <c r="Q56" s="428"/>
      <c r="R56" s="429">
        <f>O56*700000</f>
        <v>70000000</v>
      </c>
      <c r="S56" s="409">
        <f t="shared" ref="S56:S61" si="19">+R56/$R$184*100</f>
        <v>3.1261402038154094</v>
      </c>
      <c r="T56" s="410"/>
      <c r="U56" s="411"/>
      <c r="V56" s="411"/>
      <c r="W56" s="411"/>
      <c r="X56" s="411"/>
      <c r="Y56" s="412">
        <v>0</v>
      </c>
      <c r="Z56" s="410">
        <f t="shared" ref="Z56:Z61" si="20">+Y56/R56*100</f>
        <v>0</v>
      </c>
      <c r="AA56" s="413">
        <f t="shared" si="1"/>
        <v>0</v>
      </c>
      <c r="AB56" s="410">
        <f t="shared" ref="AB56:AB61" si="21">AA56*S56/100</f>
        <v>0</v>
      </c>
      <c r="AC56" s="412"/>
      <c r="AD56" s="412">
        <f t="shared" ref="AD56:AD61" si="22">+R56-Y56</f>
        <v>70000000</v>
      </c>
      <c r="AE56" s="414"/>
      <c r="AF56" s="90"/>
    </row>
    <row r="57" spans="1:32" ht="12" customHeight="1" x14ac:dyDescent="0.35">
      <c r="A57" s="425"/>
      <c r="B57" s="426" t="s">
        <v>82</v>
      </c>
      <c r="C57" s="407" t="s">
        <v>221</v>
      </c>
      <c r="D57" s="407"/>
      <c r="E57" s="407"/>
      <c r="F57" s="407"/>
      <c r="G57" s="424"/>
      <c r="H57" s="408"/>
      <c r="I57" s="405"/>
      <c r="J57" s="404"/>
      <c r="K57" s="418"/>
      <c r="L57" s="402"/>
      <c r="M57" s="402"/>
      <c r="N57" s="402"/>
      <c r="O57" s="427">
        <v>80</v>
      </c>
      <c r="P57" s="407" t="s">
        <v>217</v>
      </c>
      <c r="Q57" s="428"/>
      <c r="R57" s="429">
        <f>O57*150000</f>
        <v>12000000</v>
      </c>
      <c r="S57" s="409">
        <f t="shared" si="19"/>
        <v>0.53590974922549883</v>
      </c>
      <c r="T57" s="410"/>
      <c r="U57" s="411"/>
      <c r="V57" s="411"/>
      <c r="W57" s="411"/>
      <c r="X57" s="411"/>
      <c r="Y57" s="412">
        <v>0</v>
      </c>
      <c r="Z57" s="410">
        <f t="shared" si="20"/>
        <v>0</v>
      </c>
      <c r="AA57" s="413">
        <f t="shared" si="1"/>
        <v>0</v>
      </c>
      <c r="AB57" s="410">
        <f t="shared" si="21"/>
        <v>0</v>
      </c>
      <c r="AC57" s="412"/>
      <c r="AD57" s="412">
        <f t="shared" si="22"/>
        <v>12000000</v>
      </c>
      <c r="AE57" s="414"/>
      <c r="AF57" s="90"/>
    </row>
    <row r="58" spans="1:32" ht="12" customHeight="1" x14ac:dyDescent="0.35">
      <c r="A58" s="425"/>
      <c r="B58" s="426" t="s">
        <v>82</v>
      </c>
      <c r="C58" s="407" t="s">
        <v>222</v>
      </c>
      <c r="D58" s="407"/>
      <c r="E58" s="407"/>
      <c r="F58" s="407"/>
      <c r="G58" s="424"/>
      <c r="H58" s="408"/>
      <c r="I58" s="405"/>
      <c r="J58" s="404"/>
      <c r="K58" s="418"/>
      <c r="L58" s="402"/>
      <c r="M58" s="402"/>
      <c r="N58" s="402"/>
      <c r="O58" s="427">
        <v>50</v>
      </c>
      <c r="P58" s="407" t="s">
        <v>147</v>
      </c>
      <c r="Q58" s="428"/>
      <c r="R58" s="429">
        <f>O58*500000</f>
        <v>25000000</v>
      </c>
      <c r="S58" s="409">
        <f t="shared" si="19"/>
        <v>1.1164786442197892</v>
      </c>
      <c r="T58" s="410"/>
      <c r="U58" s="411"/>
      <c r="V58" s="411"/>
      <c r="W58" s="411"/>
      <c r="X58" s="411"/>
      <c r="Y58" s="412">
        <v>0</v>
      </c>
      <c r="Z58" s="410">
        <f t="shared" si="20"/>
        <v>0</v>
      </c>
      <c r="AA58" s="413">
        <f t="shared" si="1"/>
        <v>0</v>
      </c>
      <c r="AB58" s="410">
        <f t="shared" si="21"/>
        <v>0</v>
      </c>
      <c r="AC58" s="412"/>
      <c r="AD58" s="412">
        <f t="shared" si="22"/>
        <v>25000000</v>
      </c>
      <c r="AE58" s="414"/>
      <c r="AF58" s="90"/>
    </row>
    <row r="59" spans="1:32" ht="12" customHeight="1" x14ac:dyDescent="0.35">
      <c r="A59" s="425"/>
      <c r="B59" s="426" t="s">
        <v>82</v>
      </c>
      <c r="C59" s="407" t="s">
        <v>223</v>
      </c>
      <c r="D59" s="407"/>
      <c r="E59" s="407"/>
      <c r="F59" s="407"/>
      <c r="G59" s="424"/>
      <c r="H59" s="408"/>
      <c r="I59" s="405"/>
      <c r="J59" s="404"/>
      <c r="K59" s="418"/>
      <c r="L59" s="402"/>
      <c r="M59" s="402"/>
      <c r="N59" s="402"/>
      <c r="O59" s="427">
        <v>100</v>
      </c>
      <c r="P59" s="407" t="s">
        <v>217</v>
      </c>
      <c r="Q59" s="428"/>
      <c r="R59" s="429">
        <f>O59*150000</f>
        <v>15000000</v>
      </c>
      <c r="S59" s="409">
        <f t="shared" si="19"/>
        <v>0.6698871865318734</v>
      </c>
      <c r="T59" s="410"/>
      <c r="U59" s="411"/>
      <c r="V59" s="411"/>
      <c r="W59" s="411"/>
      <c r="X59" s="411"/>
      <c r="Y59" s="412">
        <v>0</v>
      </c>
      <c r="Z59" s="410">
        <f t="shared" si="20"/>
        <v>0</v>
      </c>
      <c r="AA59" s="413">
        <f t="shared" si="1"/>
        <v>0</v>
      </c>
      <c r="AB59" s="410">
        <f t="shared" si="21"/>
        <v>0</v>
      </c>
      <c r="AC59" s="412"/>
      <c r="AD59" s="412">
        <f t="shared" si="22"/>
        <v>15000000</v>
      </c>
      <c r="AE59" s="414"/>
      <c r="AF59" s="90"/>
    </row>
    <row r="60" spans="1:32" ht="12" customHeight="1" x14ac:dyDescent="0.35">
      <c r="A60" s="425"/>
      <c r="B60" s="426" t="s">
        <v>82</v>
      </c>
      <c r="C60" s="407" t="s">
        <v>224</v>
      </c>
      <c r="D60" s="407"/>
      <c r="E60" s="407"/>
      <c r="F60" s="407"/>
      <c r="G60" s="424"/>
      <c r="H60" s="408"/>
      <c r="I60" s="405"/>
      <c r="J60" s="404"/>
      <c r="K60" s="418"/>
      <c r="L60" s="402"/>
      <c r="M60" s="402"/>
      <c r="N60" s="402"/>
      <c r="O60" s="427">
        <v>120</v>
      </c>
      <c r="P60" s="407" t="s">
        <v>217</v>
      </c>
      <c r="Q60" s="428"/>
      <c r="R60" s="429">
        <f>O60*700000</f>
        <v>84000000</v>
      </c>
      <c r="S60" s="409">
        <f t="shared" si="19"/>
        <v>3.7513682445784915</v>
      </c>
      <c r="T60" s="410"/>
      <c r="U60" s="411"/>
      <c r="V60" s="411"/>
      <c r="W60" s="411"/>
      <c r="X60" s="411"/>
      <c r="Y60" s="412">
        <v>0</v>
      </c>
      <c r="Z60" s="410">
        <f t="shared" si="20"/>
        <v>0</v>
      </c>
      <c r="AA60" s="413">
        <f t="shared" si="1"/>
        <v>0</v>
      </c>
      <c r="AB60" s="410">
        <f t="shared" si="21"/>
        <v>0</v>
      </c>
      <c r="AC60" s="412"/>
      <c r="AD60" s="412">
        <f t="shared" si="22"/>
        <v>84000000</v>
      </c>
      <c r="AE60" s="414"/>
      <c r="AF60" s="90"/>
    </row>
    <row r="61" spans="1:32" ht="12" customHeight="1" x14ac:dyDescent="0.35">
      <c r="A61" s="425"/>
      <c r="B61" s="426" t="s">
        <v>82</v>
      </c>
      <c r="C61" s="407" t="s">
        <v>225</v>
      </c>
      <c r="D61" s="407"/>
      <c r="E61" s="407"/>
      <c r="F61" s="407"/>
      <c r="G61" s="424"/>
      <c r="H61" s="408"/>
      <c r="I61" s="405"/>
      <c r="J61" s="404"/>
      <c r="K61" s="418"/>
      <c r="L61" s="402"/>
      <c r="M61" s="402"/>
      <c r="N61" s="402"/>
      <c r="O61" s="427">
        <v>60</v>
      </c>
      <c r="P61" s="407" t="s">
        <v>147</v>
      </c>
      <c r="Q61" s="428"/>
      <c r="R61" s="429">
        <f>O61*500000</f>
        <v>30000000</v>
      </c>
      <c r="S61" s="409">
        <f t="shared" si="19"/>
        <v>1.3397743730637468</v>
      </c>
      <c r="T61" s="410"/>
      <c r="U61" s="411"/>
      <c r="V61" s="411"/>
      <c r="W61" s="411"/>
      <c r="X61" s="411"/>
      <c r="Y61" s="412">
        <v>0</v>
      </c>
      <c r="Z61" s="410">
        <f t="shared" si="20"/>
        <v>0</v>
      </c>
      <c r="AA61" s="413">
        <f t="shared" si="1"/>
        <v>0</v>
      </c>
      <c r="AB61" s="410">
        <f t="shared" si="21"/>
        <v>0</v>
      </c>
      <c r="AC61" s="412"/>
      <c r="AD61" s="412">
        <f t="shared" si="22"/>
        <v>30000000</v>
      </c>
      <c r="AE61" s="414"/>
      <c r="AF61" s="90"/>
    </row>
    <row r="62" spans="1:32" ht="12" customHeight="1" x14ac:dyDescent="0.35">
      <c r="A62" s="93"/>
      <c r="B62" s="102"/>
      <c r="C62" s="94"/>
      <c r="D62" s="94"/>
      <c r="E62" s="94"/>
      <c r="F62" s="94"/>
      <c r="G62" s="95"/>
      <c r="H62" s="77"/>
      <c r="I62" s="78"/>
      <c r="J62" s="79"/>
      <c r="K62" s="80"/>
      <c r="L62" s="81"/>
      <c r="M62" s="81"/>
      <c r="N62" s="81"/>
      <c r="O62" s="96"/>
      <c r="P62" s="94"/>
      <c r="Q62" s="97"/>
      <c r="R62" s="98"/>
      <c r="S62" s="85"/>
      <c r="T62" s="86"/>
      <c r="U62" s="87"/>
      <c r="V62" s="87"/>
      <c r="W62" s="87"/>
      <c r="X62" s="87"/>
      <c r="Y62" s="88"/>
      <c r="Z62" s="86"/>
      <c r="AA62" s="86"/>
      <c r="AB62" s="86"/>
      <c r="AC62" s="88"/>
      <c r="AD62" s="88"/>
      <c r="AE62" s="86"/>
      <c r="AF62" s="90"/>
    </row>
    <row r="63" spans="1:32" ht="12.95" customHeight="1" x14ac:dyDescent="0.35">
      <c r="A63" s="117" t="s">
        <v>226</v>
      </c>
      <c r="B63" s="118" t="s">
        <v>227</v>
      </c>
      <c r="C63" s="119"/>
      <c r="D63" s="119"/>
      <c r="E63" s="119"/>
      <c r="F63" s="119"/>
      <c r="G63" s="119"/>
      <c r="H63" s="120"/>
      <c r="I63" s="121"/>
      <c r="J63" s="122"/>
      <c r="K63" s="123"/>
      <c r="L63" s="124"/>
      <c r="M63" s="124"/>
      <c r="N63" s="124"/>
      <c r="O63" s="125"/>
      <c r="P63" s="119"/>
      <c r="Q63" s="126"/>
      <c r="R63" s="127"/>
      <c r="S63" s="128"/>
      <c r="T63" s="129"/>
      <c r="U63" s="130"/>
      <c r="V63" s="130"/>
      <c r="W63" s="130"/>
      <c r="X63" s="130"/>
      <c r="Y63" s="131"/>
      <c r="Z63" s="129"/>
      <c r="AA63" s="129"/>
      <c r="AB63" s="129"/>
      <c r="AC63" s="131"/>
      <c r="AD63" s="131"/>
      <c r="AE63" s="129"/>
    </row>
    <row r="64" spans="1:32" ht="12.95" customHeight="1" x14ac:dyDescent="0.35">
      <c r="A64" s="132"/>
      <c r="B64" s="104"/>
      <c r="C64" s="105"/>
      <c r="D64" s="105"/>
      <c r="E64" s="111"/>
      <c r="F64" s="111"/>
      <c r="G64" s="111"/>
      <c r="H64" s="107"/>
      <c r="I64" s="108"/>
      <c r="J64" s="109"/>
      <c r="K64" s="110"/>
      <c r="L64" s="111"/>
      <c r="M64" s="111"/>
      <c r="N64" s="111"/>
      <c r="O64" s="133"/>
      <c r="P64" s="108"/>
      <c r="Q64" s="114"/>
      <c r="R64" s="133"/>
      <c r="S64" s="113"/>
      <c r="T64" s="114"/>
      <c r="U64" s="115"/>
      <c r="V64" s="115"/>
      <c r="W64" s="115"/>
      <c r="X64" s="115"/>
      <c r="Y64" s="116"/>
      <c r="Z64" s="114"/>
      <c r="AA64" s="114"/>
      <c r="AB64" s="114"/>
      <c r="AC64" s="116"/>
      <c r="AD64" s="116"/>
      <c r="AE64" s="114"/>
    </row>
    <row r="65" spans="1:41" ht="12.95" customHeight="1" x14ac:dyDescent="0.35">
      <c r="A65" s="132" t="s">
        <v>228</v>
      </c>
      <c r="B65" s="104" t="s">
        <v>229</v>
      </c>
      <c r="C65" s="105"/>
      <c r="D65" s="105"/>
      <c r="E65" s="105"/>
      <c r="F65" s="105"/>
      <c r="G65" s="106"/>
      <c r="H65" s="107"/>
      <c r="I65" s="108"/>
      <c r="J65" s="109"/>
      <c r="K65" s="110"/>
      <c r="L65" s="111"/>
      <c r="M65" s="111"/>
      <c r="N65" s="111"/>
      <c r="O65" s="134"/>
      <c r="P65" s="111"/>
      <c r="Q65" s="135"/>
      <c r="R65" s="136"/>
      <c r="S65" s="113"/>
      <c r="T65" s="114"/>
      <c r="U65" s="115"/>
      <c r="V65" s="115"/>
      <c r="W65" s="115"/>
      <c r="X65" s="115"/>
      <c r="Y65" s="116"/>
      <c r="Z65" s="114"/>
      <c r="AA65" s="114"/>
      <c r="AB65" s="114"/>
      <c r="AC65" s="116"/>
      <c r="AD65" s="116"/>
      <c r="AE65" s="114"/>
    </row>
    <row r="66" spans="1:41" s="164" customFormat="1" ht="12.95" hidden="1" customHeight="1" x14ac:dyDescent="0.35">
      <c r="A66" s="146"/>
      <c r="B66" s="147"/>
      <c r="C66" s="148" t="s">
        <v>89</v>
      </c>
      <c r="D66" s="149" t="s">
        <v>90</v>
      </c>
      <c r="E66" s="140"/>
      <c r="F66" s="140"/>
      <c r="G66" s="150"/>
      <c r="H66" s="151"/>
      <c r="I66" s="152"/>
      <c r="J66" s="153"/>
      <c r="K66" s="153"/>
      <c r="L66" s="154"/>
      <c r="M66" s="140"/>
      <c r="N66" s="140"/>
      <c r="O66" s="98"/>
      <c r="P66" s="155"/>
      <c r="Q66" s="156"/>
      <c r="R66" s="157"/>
      <c r="S66" s="158"/>
      <c r="T66" s="159"/>
      <c r="U66" s="160"/>
      <c r="V66" s="160"/>
      <c r="W66" s="160"/>
      <c r="X66" s="160"/>
      <c r="Y66" s="161"/>
      <c r="Z66" s="159"/>
      <c r="AA66" s="162"/>
      <c r="AB66" s="159"/>
      <c r="AC66" s="88"/>
      <c r="AD66" s="161"/>
      <c r="AE66" s="163"/>
    </row>
    <row r="67" spans="1:41" s="164" customFormat="1" ht="12.95" hidden="1" customHeight="1" x14ac:dyDescent="0.35">
      <c r="A67" s="146"/>
      <c r="B67" s="147"/>
      <c r="C67" s="148" t="s">
        <v>89</v>
      </c>
      <c r="D67" s="149" t="s">
        <v>91</v>
      </c>
      <c r="E67" s="140"/>
      <c r="F67" s="140"/>
      <c r="G67" s="150"/>
      <c r="H67" s="151"/>
      <c r="I67" s="152"/>
      <c r="J67" s="153"/>
      <c r="K67" s="153"/>
      <c r="L67" s="154"/>
      <c r="M67" s="140"/>
      <c r="N67" s="140"/>
      <c r="O67" s="98"/>
      <c r="P67" s="155"/>
      <c r="Q67" s="156"/>
      <c r="R67" s="157"/>
      <c r="S67" s="158"/>
      <c r="T67" s="159"/>
      <c r="U67" s="160"/>
      <c r="V67" s="160"/>
      <c r="W67" s="160"/>
      <c r="X67" s="160"/>
      <c r="Y67" s="161"/>
      <c r="Z67" s="159"/>
      <c r="AA67" s="162"/>
      <c r="AB67" s="159"/>
      <c r="AC67" s="88"/>
      <c r="AD67" s="161"/>
      <c r="AE67" s="163"/>
    </row>
    <row r="68" spans="1:41" s="169" customFormat="1" ht="12.95" hidden="1" customHeight="1" x14ac:dyDescent="0.35">
      <c r="A68" s="146"/>
      <c r="B68" s="147"/>
      <c r="C68" s="165" t="s">
        <v>89</v>
      </c>
      <c r="D68" s="506" t="s">
        <v>92</v>
      </c>
      <c r="E68" s="506"/>
      <c r="F68" s="506"/>
      <c r="G68" s="507"/>
      <c r="H68" s="151"/>
      <c r="I68" s="152"/>
      <c r="J68" s="153"/>
      <c r="K68" s="153"/>
      <c r="L68" s="154"/>
      <c r="M68" s="140"/>
      <c r="N68" s="140"/>
      <c r="O68" s="98"/>
      <c r="P68" s="155"/>
      <c r="Q68" s="156"/>
      <c r="R68" s="157"/>
      <c r="S68" s="158"/>
      <c r="T68" s="159"/>
      <c r="U68" s="160"/>
      <c r="V68" s="160"/>
      <c r="W68" s="160"/>
      <c r="X68" s="160"/>
      <c r="Y68" s="161"/>
      <c r="Z68" s="159"/>
      <c r="AA68" s="162"/>
      <c r="AB68" s="159"/>
      <c r="AC68" s="88"/>
      <c r="AD68" s="161"/>
      <c r="AE68" s="163"/>
      <c r="AF68" s="168"/>
      <c r="AG68" s="168"/>
      <c r="AH68" s="168"/>
      <c r="AI68" s="168"/>
      <c r="AJ68" s="168"/>
      <c r="AK68" s="168"/>
      <c r="AL68" s="168"/>
      <c r="AM68" s="168"/>
      <c r="AN68" s="168"/>
      <c r="AO68" s="168"/>
    </row>
    <row r="69" spans="1:41" s="169" customFormat="1" ht="12.95" customHeight="1" x14ac:dyDescent="0.35">
      <c r="A69" s="282">
        <v>521211</v>
      </c>
      <c r="B69" s="283" t="s">
        <v>186</v>
      </c>
      <c r="C69" s="165"/>
      <c r="D69" s="457"/>
      <c r="E69" s="457"/>
      <c r="F69" s="457"/>
      <c r="G69" s="458"/>
      <c r="H69" s="151"/>
      <c r="I69" s="152"/>
      <c r="J69" s="280"/>
      <c r="K69" s="153"/>
      <c r="L69" s="140"/>
      <c r="M69" s="140"/>
      <c r="N69" s="140"/>
      <c r="O69" s="98"/>
      <c r="P69" s="281"/>
      <c r="Q69" s="156"/>
      <c r="R69" s="157"/>
      <c r="S69" s="158"/>
      <c r="T69" s="159"/>
      <c r="U69" s="160"/>
      <c r="V69" s="160"/>
      <c r="W69" s="160"/>
      <c r="X69" s="160"/>
      <c r="Y69" s="161"/>
      <c r="Z69" s="159"/>
      <c r="AA69" s="162"/>
      <c r="AB69" s="159"/>
      <c r="AC69" s="88"/>
      <c r="AD69" s="161"/>
      <c r="AE69" s="163"/>
      <c r="AF69" s="168"/>
      <c r="AG69" s="168"/>
      <c r="AH69" s="168"/>
      <c r="AI69" s="168"/>
      <c r="AJ69" s="168"/>
      <c r="AK69" s="168"/>
      <c r="AL69" s="168"/>
      <c r="AM69" s="168"/>
      <c r="AN69" s="168"/>
      <c r="AO69" s="168"/>
    </row>
    <row r="70" spans="1:41" s="169" customFormat="1" ht="12.95" customHeight="1" x14ac:dyDescent="0.35">
      <c r="A70" s="138"/>
      <c r="B70" s="139" t="s">
        <v>82</v>
      </c>
      <c r="C70" s="140" t="s">
        <v>87</v>
      </c>
      <c r="D70" s="141"/>
      <c r="E70" s="141"/>
      <c r="F70" s="141"/>
      <c r="G70" s="142"/>
      <c r="H70" s="107"/>
      <c r="I70" s="108"/>
      <c r="J70" s="109"/>
      <c r="K70" s="110"/>
      <c r="L70" s="111"/>
      <c r="M70" s="111"/>
      <c r="N70" s="111"/>
      <c r="O70" s="143">
        <v>12</v>
      </c>
      <c r="P70" s="94" t="s">
        <v>88</v>
      </c>
      <c r="Q70" s="144">
        <v>1500000</v>
      </c>
      <c r="R70" s="77">
        <f>O70*6750000</f>
        <v>81000000</v>
      </c>
      <c r="S70" s="85">
        <f t="shared" ref="S70" si="23">+R70/$R$184*100</f>
        <v>3.6173908072721166</v>
      </c>
      <c r="T70" s="99"/>
      <c r="U70" s="87"/>
      <c r="V70" s="87"/>
      <c r="W70" s="87"/>
      <c r="X70" s="87"/>
      <c r="Y70" s="88">
        <f>844000+20000000</f>
        <v>20844000</v>
      </c>
      <c r="Z70" s="99">
        <f t="shared" ref="Z70" si="24">+Y70/R70*100</f>
        <v>25.733333333333334</v>
      </c>
      <c r="AA70" s="100">
        <f>4/12*100</f>
        <v>33.333333333333329</v>
      </c>
      <c r="AB70" s="99">
        <f t="shared" ref="AB70" si="25">AA70*S70/100</f>
        <v>1.2057969357573721</v>
      </c>
      <c r="AC70" s="88"/>
      <c r="AD70" s="88">
        <f t="shared" ref="AD70" si="26">+R70-Y70</f>
        <v>60156000</v>
      </c>
      <c r="AE70" s="86"/>
      <c r="AF70" s="168"/>
      <c r="AG70" s="168"/>
      <c r="AH70" s="168"/>
      <c r="AI70" s="168"/>
      <c r="AJ70" s="168"/>
      <c r="AK70" s="168"/>
      <c r="AL70" s="168"/>
      <c r="AM70" s="168"/>
      <c r="AN70" s="168"/>
      <c r="AO70" s="168"/>
    </row>
    <row r="71" spans="1:41" s="181" customFormat="1" ht="12.95" customHeight="1" x14ac:dyDescent="0.35">
      <c r="A71" s="210">
        <v>521219</v>
      </c>
      <c r="B71" s="211" t="s">
        <v>93</v>
      </c>
      <c r="C71" s="105"/>
      <c r="D71" s="105"/>
      <c r="E71" s="105"/>
      <c r="F71" s="105"/>
      <c r="G71" s="106"/>
      <c r="H71" s="170"/>
      <c r="I71" s="171"/>
      <c r="J71" s="170"/>
      <c r="K71" s="172"/>
      <c r="L71" s="112"/>
      <c r="M71" s="105"/>
      <c r="N71" s="103"/>
      <c r="O71" s="173"/>
      <c r="P71" s="101"/>
      <c r="Q71" s="174"/>
      <c r="R71" s="173"/>
      <c r="S71" s="85"/>
      <c r="T71" s="175"/>
      <c r="U71" s="176"/>
      <c r="V71" s="176"/>
      <c r="W71" s="176"/>
      <c r="X71" s="176"/>
      <c r="Y71" s="177"/>
      <c r="Z71" s="175"/>
      <c r="AA71" s="178"/>
      <c r="AB71" s="175"/>
      <c r="AC71" s="88"/>
      <c r="AD71" s="177"/>
      <c r="AE71" s="179"/>
      <c r="AF71" s="180"/>
      <c r="AG71" s="28"/>
      <c r="AH71" s="28"/>
      <c r="AI71" s="28"/>
      <c r="AJ71" s="28"/>
      <c r="AK71" s="28"/>
      <c r="AL71" s="28"/>
      <c r="AM71" s="28"/>
      <c r="AN71" s="28"/>
      <c r="AO71" s="28"/>
    </row>
    <row r="72" spans="1:41" ht="12.95" customHeight="1" x14ac:dyDescent="0.35">
      <c r="A72" s="135"/>
      <c r="B72" s="139" t="s">
        <v>82</v>
      </c>
      <c r="C72" s="111" t="s">
        <v>94</v>
      </c>
      <c r="D72" s="105"/>
      <c r="E72" s="111"/>
      <c r="F72" s="111"/>
      <c r="G72" s="137"/>
      <c r="H72" s="109"/>
      <c r="I72" s="108"/>
      <c r="J72" s="109"/>
      <c r="K72" s="172"/>
      <c r="L72" s="182">
        <v>1095</v>
      </c>
      <c r="M72" s="140" t="s">
        <v>95</v>
      </c>
      <c r="N72" s="183">
        <v>53000</v>
      </c>
      <c r="O72" s="143">
        <v>12</v>
      </c>
      <c r="P72" s="94" t="s">
        <v>96</v>
      </c>
      <c r="Q72" s="144">
        <v>100000</v>
      </c>
      <c r="R72" s="77">
        <f>O72*3500000</f>
        <v>42000000</v>
      </c>
      <c r="S72" s="85">
        <f t="shared" ref="S72:S74" si="27">+R72/$R$184*100</f>
        <v>1.8756841222892457</v>
      </c>
      <c r="T72" s="99"/>
      <c r="U72" s="87"/>
      <c r="V72" s="87"/>
      <c r="W72" s="87"/>
      <c r="X72" s="87"/>
      <c r="Y72" s="88">
        <f>5820000+13876000</f>
        <v>19696000</v>
      </c>
      <c r="Z72" s="99">
        <f t="shared" ref="Z72:Z74" si="28">+Y72/R72*100</f>
        <v>46.895238095238092</v>
      </c>
      <c r="AA72" s="100">
        <f t="shared" ref="AA72:AA74" si="29">Z72</f>
        <v>46.895238095238092</v>
      </c>
      <c r="AB72" s="99">
        <f t="shared" ref="AB72:AB74" si="30">AA72*S72/100</f>
        <v>0.8796065350621185</v>
      </c>
      <c r="AC72" s="88"/>
      <c r="AD72" s="88">
        <f t="shared" ref="AD72:AD74" si="31">+R72-Y72</f>
        <v>22304000</v>
      </c>
      <c r="AE72" s="86"/>
    </row>
    <row r="73" spans="1:41" ht="12.95" customHeight="1" x14ac:dyDescent="0.35">
      <c r="A73" s="135"/>
      <c r="B73" s="139" t="s">
        <v>82</v>
      </c>
      <c r="C73" s="111" t="s">
        <v>97</v>
      </c>
      <c r="D73" s="105"/>
      <c r="E73" s="111"/>
      <c r="F73" s="111"/>
      <c r="G73" s="137"/>
      <c r="H73" s="109"/>
      <c r="I73" s="108"/>
      <c r="J73" s="109"/>
      <c r="K73" s="172"/>
      <c r="L73" s="182"/>
      <c r="M73" s="140"/>
      <c r="N73" s="183"/>
      <c r="O73" s="143">
        <v>12</v>
      </c>
      <c r="P73" s="94" t="s">
        <v>96</v>
      </c>
      <c r="Q73" s="144"/>
      <c r="R73" s="77">
        <f>O73*600000</f>
        <v>7200000</v>
      </c>
      <c r="S73" s="85">
        <f t="shared" si="27"/>
        <v>0.32154584953529924</v>
      </c>
      <c r="T73" s="99"/>
      <c r="U73" s="87"/>
      <c r="V73" s="87"/>
      <c r="W73" s="87"/>
      <c r="X73" s="87"/>
      <c r="Y73" s="88">
        <v>0</v>
      </c>
      <c r="Z73" s="99">
        <f t="shared" si="28"/>
        <v>0</v>
      </c>
      <c r="AA73" s="100">
        <f t="shared" si="29"/>
        <v>0</v>
      </c>
      <c r="AB73" s="99">
        <f t="shared" si="30"/>
        <v>0</v>
      </c>
      <c r="AC73" s="88"/>
      <c r="AD73" s="88">
        <f t="shared" si="31"/>
        <v>7200000</v>
      </c>
      <c r="AE73" s="114"/>
    </row>
    <row r="74" spans="1:41" ht="12.95" customHeight="1" x14ac:dyDescent="0.35">
      <c r="A74" s="400"/>
      <c r="B74" s="401" t="s">
        <v>82</v>
      </c>
      <c r="C74" s="403" t="s">
        <v>230</v>
      </c>
      <c r="D74" s="403"/>
      <c r="E74" s="403"/>
      <c r="F74" s="403"/>
      <c r="G74" s="431"/>
      <c r="H74" s="432"/>
      <c r="I74" s="433"/>
      <c r="J74" s="432"/>
      <c r="K74" s="406"/>
      <c r="L74" s="434"/>
      <c r="M74" s="416"/>
      <c r="N74" s="435"/>
      <c r="O74" s="434">
        <v>1</v>
      </c>
      <c r="P74" s="416" t="s">
        <v>231</v>
      </c>
      <c r="Q74" s="436"/>
      <c r="R74" s="437">
        <f>O74*50000000</f>
        <v>50000000</v>
      </c>
      <c r="S74" s="438">
        <f t="shared" si="27"/>
        <v>2.2329572884395783</v>
      </c>
      <c r="T74" s="439"/>
      <c r="U74" s="440"/>
      <c r="V74" s="440"/>
      <c r="W74" s="440"/>
      <c r="X74" s="440"/>
      <c r="Y74" s="441">
        <f>5000000*2</f>
        <v>10000000</v>
      </c>
      <c r="Z74" s="439">
        <f t="shared" si="28"/>
        <v>20</v>
      </c>
      <c r="AA74" s="442">
        <f t="shared" si="29"/>
        <v>20</v>
      </c>
      <c r="AB74" s="439">
        <f t="shared" si="30"/>
        <v>0.44659145768791569</v>
      </c>
      <c r="AC74" s="441"/>
      <c r="AD74" s="441">
        <f t="shared" si="31"/>
        <v>40000000</v>
      </c>
      <c r="AE74" s="443"/>
      <c r="AF74" s="28"/>
      <c r="AG74" s="28"/>
      <c r="AH74" s="28"/>
      <c r="AI74" s="28"/>
    </row>
    <row r="75" spans="1:41" ht="12.95" customHeight="1" x14ac:dyDescent="0.35">
      <c r="A75" s="210">
        <v>523121</v>
      </c>
      <c r="B75" s="211" t="s">
        <v>98</v>
      </c>
      <c r="C75" s="105"/>
      <c r="D75" s="105"/>
      <c r="E75" s="105"/>
      <c r="F75" s="105"/>
      <c r="G75" s="106"/>
      <c r="H75" s="170"/>
      <c r="I75" s="171"/>
      <c r="J75" s="170"/>
      <c r="K75" s="172"/>
      <c r="L75" s="112"/>
      <c r="M75" s="105"/>
      <c r="N75" s="103"/>
      <c r="O75" s="173"/>
      <c r="P75" s="101"/>
      <c r="Q75" s="174"/>
      <c r="R75" s="173"/>
      <c r="S75" s="85"/>
      <c r="T75" s="175"/>
      <c r="U75" s="176"/>
      <c r="V75" s="176"/>
      <c r="W75" s="176"/>
      <c r="X75" s="176"/>
      <c r="Y75" s="177"/>
      <c r="Z75" s="175"/>
      <c r="AA75" s="178"/>
      <c r="AB75" s="175"/>
      <c r="AC75" s="88"/>
      <c r="AD75" s="177"/>
      <c r="AE75" s="179"/>
    </row>
    <row r="76" spans="1:41" ht="12.95" customHeight="1" x14ac:dyDescent="0.35">
      <c r="A76" s="135"/>
      <c r="B76" s="139" t="s">
        <v>82</v>
      </c>
      <c r="C76" s="111" t="s">
        <v>99</v>
      </c>
      <c r="D76" s="105"/>
      <c r="E76" s="111"/>
      <c r="F76" s="111"/>
      <c r="G76" s="137"/>
      <c r="H76" s="109"/>
      <c r="I76" s="108"/>
      <c r="J76" s="109"/>
      <c r="K76" s="172"/>
      <c r="L76" s="182">
        <v>1095</v>
      </c>
      <c r="M76" s="140" t="s">
        <v>95</v>
      </c>
      <c r="N76" s="183">
        <v>53000</v>
      </c>
      <c r="O76" s="143">
        <v>1</v>
      </c>
      <c r="P76" s="94" t="s">
        <v>86</v>
      </c>
      <c r="Q76" s="144">
        <v>100000</v>
      </c>
      <c r="R76" s="77">
        <f>O76*600000</f>
        <v>600000</v>
      </c>
      <c r="S76" s="85">
        <f t="shared" ref="S76" si="32">+R76/$R$184*100</f>
        <v>2.6795487461274942E-2</v>
      </c>
      <c r="T76" s="99"/>
      <c r="U76" s="87"/>
      <c r="V76" s="87"/>
      <c r="W76" s="87"/>
      <c r="X76" s="87"/>
      <c r="Y76" s="88">
        <v>0</v>
      </c>
      <c r="Z76" s="99">
        <f t="shared" ref="Z76" si="33">+Y76/R76*100</f>
        <v>0</v>
      </c>
      <c r="AA76" s="100">
        <f t="shared" ref="AA76" si="34">Z76</f>
        <v>0</v>
      </c>
      <c r="AB76" s="99">
        <f t="shared" ref="AB76" si="35">AA76*S76/100</f>
        <v>0</v>
      </c>
      <c r="AC76" s="88"/>
      <c r="AD76" s="88">
        <f t="shared" ref="AD76" si="36">+R76-Y76</f>
        <v>600000</v>
      </c>
      <c r="AE76" s="86"/>
    </row>
    <row r="77" spans="1:41" ht="12.95" customHeight="1" x14ac:dyDescent="0.35">
      <c r="A77" s="132" t="s">
        <v>232</v>
      </c>
      <c r="B77" s="104" t="s">
        <v>233</v>
      </c>
      <c r="C77" s="105"/>
      <c r="D77" s="105"/>
      <c r="E77" s="111"/>
      <c r="F77" s="111"/>
      <c r="G77" s="137"/>
      <c r="H77" s="107"/>
      <c r="I77" s="108"/>
      <c r="J77" s="109"/>
      <c r="K77" s="110"/>
      <c r="L77" s="111"/>
      <c r="M77" s="111"/>
      <c r="N77" s="111"/>
      <c r="O77" s="185"/>
      <c r="P77" s="81"/>
      <c r="Q77" s="186"/>
      <c r="R77" s="187"/>
      <c r="S77" s="85"/>
      <c r="T77" s="99"/>
      <c r="U77" s="145"/>
      <c r="V77" s="145"/>
      <c r="W77" s="145"/>
      <c r="X77" s="145"/>
      <c r="Y77" s="88"/>
      <c r="Z77" s="99"/>
      <c r="AA77" s="100"/>
      <c r="AB77" s="184"/>
      <c r="AC77" s="88"/>
      <c r="AD77" s="88"/>
      <c r="AE77" s="114"/>
    </row>
    <row r="78" spans="1:41" s="28" customFormat="1" ht="12.95" customHeight="1" x14ac:dyDescent="0.35">
      <c r="A78" s="279">
        <v>521119</v>
      </c>
      <c r="B78" s="211" t="s">
        <v>100</v>
      </c>
      <c r="C78" s="105"/>
      <c r="D78" s="105"/>
      <c r="E78" s="105"/>
      <c r="F78" s="105"/>
      <c r="G78" s="106"/>
      <c r="H78" s="188"/>
      <c r="I78" s="171"/>
      <c r="J78" s="170"/>
      <c r="K78" s="189"/>
      <c r="L78" s="105"/>
      <c r="M78" s="105"/>
      <c r="N78" s="105"/>
      <c r="O78" s="112"/>
      <c r="P78" s="105"/>
      <c r="Q78" s="103"/>
      <c r="R78" s="188"/>
      <c r="S78" s="113"/>
      <c r="T78" s="190"/>
      <c r="U78" s="191"/>
      <c r="V78" s="191"/>
      <c r="W78" s="191"/>
      <c r="X78" s="191"/>
      <c r="Y78" s="192"/>
      <c r="Z78" s="190"/>
      <c r="AA78" s="178"/>
      <c r="AB78" s="193"/>
      <c r="AC78" s="192"/>
      <c r="AD78" s="192"/>
      <c r="AE78" s="179"/>
    </row>
    <row r="79" spans="1:41" s="28" customFormat="1" ht="12.95" customHeight="1" x14ac:dyDescent="0.35">
      <c r="A79" s="114"/>
      <c r="B79" s="194" t="s">
        <v>82</v>
      </c>
      <c r="C79" s="111" t="s">
        <v>101</v>
      </c>
      <c r="D79" s="105"/>
      <c r="E79" s="111"/>
      <c r="F79" s="111"/>
      <c r="G79" s="137"/>
      <c r="H79" s="107"/>
      <c r="I79" s="108"/>
      <c r="J79" s="109"/>
      <c r="K79" s="110"/>
      <c r="L79" s="111"/>
      <c r="M79" s="111"/>
      <c r="N79" s="111"/>
      <c r="O79" s="182">
        <v>12</v>
      </c>
      <c r="P79" s="140" t="s">
        <v>96</v>
      </c>
      <c r="Q79" s="183">
        <v>125000</v>
      </c>
      <c r="R79" s="151">
        <f>O79*600000</f>
        <v>7200000</v>
      </c>
      <c r="S79" s="85">
        <f t="shared" ref="S79" si="37">+R79/$R$184*100</f>
        <v>0.32154584953529924</v>
      </c>
      <c r="T79" s="99"/>
      <c r="U79" s="87"/>
      <c r="V79" s="87"/>
      <c r="W79" s="87"/>
      <c r="X79" s="87"/>
      <c r="Y79" s="88">
        <v>0</v>
      </c>
      <c r="Z79" s="99">
        <f t="shared" ref="Z79" si="38">+Y79/R79*100</f>
        <v>0</v>
      </c>
      <c r="AA79" s="100">
        <f t="shared" ref="AA79" si="39">Z79</f>
        <v>0</v>
      </c>
      <c r="AB79" s="99">
        <f t="shared" ref="AB79" si="40">AA79*S79/100</f>
        <v>0</v>
      </c>
      <c r="AC79" s="88"/>
      <c r="AD79" s="88">
        <f t="shared" ref="AD79" si="41">+R79-Y79</f>
        <v>7200000</v>
      </c>
      <c r="AE79" s="86"/>
    </row>
    <row r="80" spans="1:41" ht="12.95" customHeight="1" x14ac:dyDescent="0.35">
      <c r="A80" s="132" t="s">
        <v>184</v>
      </c>
      <c r="B80" s="104" t="s">
        <v>234</v>
      </c>
      <c r="C80" s="105"/>
      <c r="D80" s="105"/>
      <c r="E80" s="111"/>
      <c r="F80" s="111"/>
      <c r="G80" s="137"/>
      <c r="H80" s="107"/>
      <c r="I80" s="108"/>
      <c r="J80" s="109"/>
      <c r="K80" s="110"/>
      <c r="L80" s="111"/>
      <c r="M80" s="111"/>
      <c r="N80" s="111"/>
      <c r="O80" s="134"/>
      <c r="P80" s="111"/>
      <c r="Q80" s="135"/>
      <c r="R80" s="136"/>
      <c r="S80" s="113"/>
      <c r="T80" s="195"/>
      <c r="U80" s="198"/>
      <c r="V80" s="198"/>
      <c r="W80" s="198"/>
      <c r="X80" s="198"/>
      <c r="Y80" s="116"/>
      <c r="Z80" s="195"/>
      <c r="AA80" s="100"/>
      <c r="AB80" s="197"/>
      <c r="AC80" s="116"/>
      <c r="AD80" s="116"/>
      <c r="AE80" s="114"/>
    </row>
    <row r="81" spans="1:32" ht="12.95" customHeight="1" x14ac:dyDescent="0.35">
      <c r="A81" s="219">
        <v>523119</v>
      </c>
      <c r="B81" s="211" t="s">
        <v>103</v>
      </c>
      <c r="C81" s="105"/>
      <c r="D81" s="105"/>
      <c r="E81" s="111"/>
      <c r="F81" s="111"/>
      <c r="G81" s="137"/>
      <c r="H81" s="107"/>
      <c r="I81" s="108"/>
      <c r="J81" s="109"/>
      <c r="K81" s="110"/>
      <c r="L81" s="111"/>
      <c r="M81" s="111"/>
      <c r="N81" s="111"/>
      <c r="O81" s="111"/>
      <c r="P81" s="111"/>
      <c r="Q81" s="135"/>
      <c r="R81" s="188"/>
      <c r="S81" s="113"/>
      <c r="T81" s="195"/>
      <c r="U81" s="198"/>
      <c r="V81" s="198"/>
      <c r="W81" s="198"/>
      <c r="X81" s="198"/>
      <c r="Y81" s="116"/>
      <c r="Z81" s="195"/>
      <c r="AA81" s="100"/>
      <c r="AB81" s="197"/>
      <c r="AC81" s="116"/>
      <c r="AD81" s="116"/>
      <c r="AE81" s="114"/>
    </row>
    <row r="82" spans="1:32" ht="12.95" customHeight="1" x14ac:dyDescent="0.35">
      <c r="A82" s="132"/>
      <c r="B82" s="194" t="s">
        <v>82</v>
      </c>
      <c r="C82" s="111" t="s">
        <v>104</v>
      </c>
      <c r="D82" s="105"/>
      <c r="E82" s="111"/>
      <c r="F82" s="111"/>
      <c r="G82" s="137"/>
      <c r="H82" s="107"/>
      <c r="I82" s="108"/>
      <c r="J82" s="109"/>
      <c r="K82" s="110"/>
      <c r="L82" s="111"/>
      <c r="M82" s="111"/>
      <c r="N82" s="111"/>
      <c r="O82" s="134">
        <v>70</v>
      </c>
      <c r="P82" s="111" t="s">
        <v>105</v>
      </c>
      <c r="Q82" s="200">
        <v>10000</v>
      </c>
      <c r="R82" s="151">
        <f>O82*15000</f>
        <v>1050000</v>
      </c>
      <c r="S82" s="85">
        <f t="shared" ref="S82" si="42">+R82/$R$184*100</f>
        <v>4.6892103057231141E-2</v>
      </c>
      <c r="T82" s="99"/>
      <c r="U82" s="87"/>
      <c r="V82" s="87"/>
      <c r="W82" s="87"/>
      <c r="X82" s="87"/>
      <c r="Y82" s="88">
        <v>0</v>
      </c>
      <c r="Z82" s="99">
        <f t="shared" ref="Z82" si="43">+Y82/R82*100</f>
        <v>0</v>
      </c>
      <c r="AA82" s="100">
        <f t="shared" ref="AA82" si="44">Z82</f>
        <v>0</v>
      </c>
      <c r="AB82" s="99">
        <f t="shared" ref="AB82" si="45">AA82*S82/100</f>
        <v>0</v>
      </c>
      <c r="AC82" s="88"/>
      <c r="AD82" s="88">
        <f t="shared" ref="AD82" si="46">+R82-Y82</f>
        <v>1050000</v>
      </c>
      <c r="AE82" s="86"/>
    </row>
    <row r="83" spans="1:32" ht="12.95" customHeight="1" x14ac:dyDescent="0.35">
      <c r="A83" s="219">
        <v>523121</v>
      </c>
      <c r="B83" s="211" t="s">
        <v>106</v>
      </c>
      <c r="C83" s="105"/>
      <c r="D83" s="105"/>
      <c r="E83" s="111"/>
      <c r="F83" s="111"/>
      <c r="G83" s="137"/>
      <c r="H83" s="107"/>
      <c r="I83" s="108"/>
      <c r="J83" s="109"/>
      <c r="K83" s="110"/>
      <c r="L83" s="111"/>
      <c r="M83" s="111"/>
      <c r="N83" s="111"/>
      <c r="O83" s="182"/>
      <c r="P83" s="140"/>
      <c r="Q83" s="183"/>
      <c r="R83" s="201"/>
      <c r="S83" s="113"/>
      <c r="T83" s="195"/>
      <c r="U83" s="198"/>
      <c r="V83" s="198"/>
      <c r="W83" s="198"/>
      <c r="X83" s="198"/>
      <c r="Y83" s="116"/>
      <c r="Z83" s="195"/>
      <c r="AA83" s="100"/>
      <c r="AB83" s="197"/>
      <c r="AC83" s="116"/>
      <c r="AD83" s="116"/>
      <c r="AE83" s="114"/>
    </row>
    <row r="84" spans="1:32" ht="12.95" customHeight="1" x14ac:dyDescent="0.35">
      <c r="A84" s="132"/>
      <c r="B84" s="194" t="s">
        <v>82</v>
      </c>
      <c r="C84" s="111" t="s">
        <v>107</v>
      </c>
      <c r="D84" s="105"/>
      <c r="E84" s="111"/>
      <c r="F84" s="111"/>
      <c r="G84" s="137"/>
      <c r="H84" s="107"/>
      <c r="I84" s="108"/>
      <c r="J84" s="109"/>
      <c r="K84" s="110"/>
      <c r="L84" s="111"/>
      <c r="M84" s="111"/>
      <c r="N84" s="111"/>
      <c r="O84" s="182">
        <v>12</v>
      </c>
      <c r="P84" s="111" t="s">
        <v>88</v>
      </c>
      <c r="Q84" s="183">
        <v>600000</v>
      </c>
      <c r="R84" s="151">
        <f>O84*1500000</f>
        <v>18000000</v>
      </c>
      <c r="S84" s="85">
        <f t="shared" ref="S84:S85" si="47">+R84/$R$184*100</f>
        <v>0.80386462383824819</v>
      </c>
      <c r="T84" s="99"/>
      <c r="U84" s="87"/>
      <c r="V84" s="87"/>
      <c r="W84" s="87"/>
      <c r="X84" s="87"/>
      <c r="Y84" s="88">
        <v>0</v>
      </c>
      <c r="Z84" s="99">
        <f t="shared" ref="Z84:Z85" si="48">+Y84/R84*100</f>
        <v>0</v>
      </c>
      <c r="AA84" s="100">
        <f t="shared" ref="AA84:AA85" si="49">Z84</f>
        <v>0</v>
      </c>
      <c r="AB84" s="99">
        <f t="shared" ref="AB84:AB85" si="50">AA84*S84/100</f>
        <v>0</v>
      </c>
      <c r="AC84" s="88"/>
      <c r="AD84" s="88">
        <f t="shared" ref="AD84:AD85" si="51">+R84-Y84</f>
        <v>18000000</v>
      </c>
      <c r="AE84" s="86"/>
    </row>
    <row r="85" spans="1:32" ht="12.95" customHeight="1" x14ac:dyDescent="0.35">
      <c r="A85" s="132"/>
      <c r="B85" s="194" t="s">
        <v>82</v>
      </c>
      <c r="C85" s="111" t="s">
        <v>108</v>
      </c>
      <c r="D85" s="105"/>
      <c r="E85" s="111"/>
      <c r="F85" s="111"/>
      <c r="G85" s="137"/>
      <c r="H85" s="107"/>
      <c r="I85" s="108"/>
      <c r="J85" s="109"/>
      <c r="K85" s="110"/>
      <c r="L85" s="111"/>
      <c r="M85" s="111"/>
      <c r="N85" s="111"/>
      <c r="O85" s="182">
        <v>12</v>
      </c>
      <c r="P85" s="111" t="s">
        <v>88</v>
      </c>
      <c r="Q85" s="183">
        <v>1000000</v>
      </c>
      <c r="R85" s="151">
        <f>O85*500000</f>
        <v>6000000</v>
      </c>
      <c r="S85" s="85">
        <f t="shared" si="47"/>
        <v>0.26795487461274942</v>
      </c>
      <c r="T85" s="99"/>
      <c r="U85" s="87"/>
      <c r="V85" s="87"/>
      <c r="W85" s="87"/>
      <c r="X85" s="87"/>
      <c r="Y85" s="88">
        <v>0</v>
      </c>
      <c r="Z85" s="99">
        <f t="shared" si="48"/>
        <v>0</v>
      </c>
      <c r="AA85" s="100">
        <f t="shared" si="49"/>
        <v>0</v>
      </c>
      <c r="AB85" s="99">
        <f t="shared" si="50"/>
        <v>0</v>
      </c>
      <c r="AC85" s="88"/>
      <c r="AD85" s="88">
        <f t="shared" si="51"/>
        <v>6000000</v>
      </c>
      <c r="AE85" s="114"/>
    </row>
    <row r="86" spans="1:32" ht="12.95" customHeight="1" x14ac:dyDescent="0.35">
      <c r="A86" s="333">
        <v>532111</v>
      </c>
      <c r="B86" s="334" t="s">
        <v>170</v>
      </c>
      <c r="C86" s="335"/>
      <c r="D86" s="336"/>
      <c r="E86" s="337"/>
      <c r="F86" s="337"/>
      <c r="G86" s="338"/>
      <c r="H86" s="339"/>
      <c r="I86" s="340"/>
      <c r="J86" s="341"/>
      <c r="K86" s="342"/>
      <c r="L86" s="337"/>
      <c r="M86" s="337"/>
      <c r="N86" s="337"/>
      <c r="O86" s="343"/>
      <c r="P86" s="337"/>
      <c r="Q86" s="344"/>
      <c r="R86" s="345"/>
      <c r="S86" s="346"/>
      <c r="T86" s="347"/>
      <c r="U86" s="348"/>
      <c r="V86" s="348"/>
      <c r="W86" s="348"/>
      <c r="X86" s="348"/>
      <c r="Y86" s="349"/>
      <c r="Z86" s="347"/>
      <c r="AA86" s="350"/>
      <c r="AB86" s="351"/>
      <c r="AC86" s="349"/>
      <c r="AD86" s="349"/>
      <c r="AE86" s="352"/>
    </row>
    <row r="87" spans="1:32" ht="12.95" customHeight="1" x14ac:dyDescent="0.35">
      <c r="A87" s="333"/>
      <c r="B87" s="353" t="s">
        <v>82</v>
      </c>
      <c r="C87" s="335" t="s">
        <v>235</v>
      </c>
      <c r="D87" s="336"/>
      <c r="E87" s="337"/>
      <c r="F87" s="337"/>
      <c r="G87" s="338"/>
      <c r="H87" s="339"/>
      <c r="I87" s="340"/>
      <c r="J87" s="341"/>
      <c r="K87" s="342"/>
      <c r="L87" s="337"/>
      <c r="M87" s="337"/>
      <c r="N87" s="337"/>
      <c r="O87" s="343">
        <v>1</v>
      </c>
      <c r="P87" s="337" t="s">
        <v>127</v>
      </c>
      <c r="Q87" s="344"/>
      <c r="R87" s="345">
        <f>O87*12000000</f>
        <v>12000000</v>
      </c>
      <c r="S87" s="346">
        <f t="shared" ref="S87:S91" si="52">+R87/$R$184*100</f>
        <v>0.53590974922549883</v>
      </c>
      <c r="T87" s="347"/>
      <c r="U87" s="354"/>
      <c r="V87" s="354"/>
      <c r="W87" s="354"/>
      <c r="X87" s="354"/>
      <c r="Y87" s="349">
        <v>0</v>
      </c>
      <c r="Z87" s="347">
        <f t="shared" ref="Z87:Z91" si="53">+Y87/R87*100</f>
        <v>0</v>
      </c>
      <c r="AA87" s="350">
        <f t="shared" ref="AA87:AA91" si="54">Z87</f>
        <v>0</v>
      </c>
      <c r="AB87" s="347">
        <f t="shared" ref="AB87:AB91" si="55">AA87*S87/100</f>
        <v>0</v>
      </c>
      <c r="AC87" s="349"/>
      <c r="AD87" s="349">
        <f t="shared" ref="AD87:AD91" si="56">+R87-Y87</f>
        <v>12000000</v>
      </c>
      <c r="AE87" s="352"/>
    </row>
    <row r="88" spans="1:32" ht="12.95" customHeight="1" x14ac:dyDescent="0.35">
      <c r="A88" s="333"/>
      <c r="B88" s="353" t="s">
        <v>82</v>
      </c>
      <c r="C88" s="335" t="s">
        <v>236</v>
      </c>
      <c r="D88" s="336"/>
      <c r="E88" s="337"/>
      <c r="F88" s="337"/>
      <c r="G88" s="338"/>
      <c r="H88" s="339"/>
      <c r="I88" s="340"/>
      <c r="J88" s="341"/>
      <c r="K88" s="342"/>
      <c r="L88" s="337"/>
      <c r="M88" s="337"/>
      <c r="N88" s="337"/>
      <c r="O88" s="343">
        <v>1</v>
      </c>
      <c r="P88" s="337" t="s">
        <v>127</v>
      </c>
      <c r="Q88" s="344"/>
      <c r="R88" s="345">
        <f>O88*3300000</f>
        <v>3300000</v>
      </c>
      <c r="S88" s="346">
        <f t="shared" si="52"/>
        <v>0.14737518103701217</v>
      </c>
      <c r="T88" s="347"/>
      <c r="U88" s="354"/>
      <c r="V88" s="354"/>
      <c r="W88" s="354"/>
      <c r="X88" s="354"/>
      <c r="Y88" s="349">
        <v>0</v>
      </c>
      <c r="Z88" s="347">
        <f t="shared" si="53"/>
        <v>0</v>
      </c>
      <c r="AA88" s="350">
        <f t="shared" si="54"/>
        <v>0</v>
      </c>
      <c r="AB88" s="347">
        <f t="shared" si="55"/>
        <v>0</v>
      </c>
      <c r="AC88" s="349"/>
      <c r="AD88" s="349">
        <f t="shared" si="56"/>
        <v>3300000</v>
      </c>
      <c r="AE88" s="352"/>
    </row>
    <row r="89" spans="1:32" ht="12.95" customHeight="1" x14ac:dyDescent="0.35">
      <c r="A89" s="333"/>
      <c r="B89" s="353" t="s">
        <v>82</v>
      </c>
      <c r="C89" s="335" t="s">
        <v>237</v>
      </c>
      <c r="D89" s="336"/>
      <c r="E89" s="337"/>
      <c r="F89" s="337"/>
      <c r="G89" s="338"/>
      <c r="H89" s="339"/>
      <c r="I89" s="340"/>
      <c r="J89" s="341"/>
      <c r="K89" s="342"/>
      <c r="L89" s="337"/>
      <c r="M89" s="337"/>
      <c r="N89" s="337"/>
      <c r="O89" s="343">
        <v>1</v>
      </c>
      <c r="P89" s="337" t="s">
        <v>127</v>
      </c>
      <c r="Q89" s="344"/>
      <c r="R89" s="345">
        <f>O89*8700000</f>
        <v>8700000</v>
      </c>
      <c r="S89" s="346">
        <f t="shared" si="52"/>
        <v>0.38853456818848658</v>
      </c>
      <c r="T89" s="347"/>
      <c r="U89" s="354"/>
      <c r="V89" s="354"/>
      <c r="W89" s="354"/>
      <c r="X89" s="354"/>
      <c r="Y89" s="349">
        <v>0</v>
      </c>
      <c r="Z89" s="347">
        <f t="shared" si="53"/>
        <v>0</v>
      </c>
      <c r="AA89" s="350">
        <f t="shared" si="54"/>
        <v>0</v>
      </c>
      <c r="AB89" s="347">
        <f t="shared" si="55"/>
        <v>0</v>
      </c>
      <c r="AC89" s="349"/>
      <c r="AD89" s="349">
        <f t="shared" si="56"/>
        <v>8700000</v>
      </c>
      <c r="AE89" s="352"/>
    </row>
    <row r="90" spans="1:32" ht="12.95" customHeight="1" x14ac:dyDescent="0.35">
      <c r="A90" s="333"/>
      <c r="B90" s="353" t="s">
        <v>82</v>
      </c>
      <c r="C90" s="335" t="s">
        <v>238</v>
      </c>
      <c r="D90" s="336"/>
      <c r="E90" s="337"/>
      <c r="F90" s="337"/>
      <c r="G90" s="338"/>
      <c r="H90" s="339"/>
      <c r="I90" s="340"/>
      <c r="J90" s="341"/>
      <c r="K90" s="342"/>
      <c r="L90" s="337"/>
      <c r="M90" s="337"/>
      <c r="N90" s="337"/>
      <c r="O90" s="343">
        <v>10</v>
      </c>
      <c r="P90" s="337" t="s">
        <v>127</v>
      </c>
      <c r="Q90" s="344"/>
      <c r="R90" s="345">
        <f>O90*600000</f>
        <v>6000000</v>
      </c>
      <c r="S90" s="346">
        <f t="shared" si="52"/>
        <v>0.26795487461274942</v>
      </c>
      <c r="T90" s="347"/>
      <c r="U90" s="354"/>
      <c r="V90" s="354"/>
      <c r="W90" s="354"/>
      <c r="X90" s="354"/>
      <c r="Y90" s="349">
        <v>0</v>
      </c>
      <c r="Z90" s="347">
        <f t="shared" si="53"/>
        <v>0</v>
      </c>
      <c r="AA90" s="350">
        <f t="shared" si="54"/>
        <v>0</v>
      </c>
      <c r="AB90" s="347">
        <f t="shared" si="55"/>
        <v>0</v>
      </c>
      <c r="AC90" s="349"/>
      <c r="AD90" s="349">
        <f t="shared" si="56"/>
        <v>6000000</v>
      </c>
      <c r="AE90" s="352"/>
    </row>
    <row r="91" spans="1:32" ht="12.95" customHeight="1" x14ac:dyDescent="0.35">
      <c r="A91" s="333"/>
      <c r="B91" s="353" t="s">
        <v>82</v>
      </c>
      <c r="C91" s="335" t="s">
        <v>239</v>
      </c>
      <c r="D91" s="336"/>
      <c r="E91" s="337"/>
      <c r="F91" s="337"/>
      <c r="G91" s="338"/>
      <c r="H91" s="339"/>
      <c r="I91" s="340"/>
      <c r="J91" s="341"/>
      <c r="K91" s="342"/>
      <c r="L91" s="337"/>
      <c r="M91" s="337"/>
      <c r="N91" s="337"/>
      <c r="O91" s="343">
        <v>1</v>
      </c>
      <c r="P91" s="337" t="s">
        <v>127</v>
      </c>
      <c r="Q91" s="344"/>
      <c r="R91" s="345">
        <f>O91*2000000</f>
        <v>2000000</v>
      </c>
      <c r="S91" s="346">
        <f t="shared" si="52"/>
        <v>8.9318291537583125E-2</v>
      </c>
      <c r="T91" s="347"/>
      <c r="U91" s="354"/>
      <c r="V91" s="354"/>
      <c r="W91" s="354"/>
      <c r="X91" s="354"/>
      <c r="Y91" s="349">
        <v>0</v>
      </c>
      <c r="Z91" s="347">
        <f t="shared" si="53"/>
        <v>0</v>
      </c>
      <c r="AA91" s="350">
        <f t="shared" si="54"/>
        <v>0</v>
      </c>
      <c r="AB91" s="347">
        <f t="shared" si="55"/>
        <v>0</v>
      </c>
      <c r="AC91" s="349"/>
      <c r="AD91" s="349">
        <f t="shared" si="56"/>
        <v>2000000</v>
      </c>
      <c r="AE91" s="352"/>
    </row>
    <row r="92" spans="1:32" ht="12.95" customHeight="1" x14ac:dyDescent="0.35">
      <c r="A92" s="132"/>
      <c r="B92" s="194"/>
      <c r="C92" s="111"/>
      <c r="D92" s="105"/>
      <c r="E92" s="111"/>
      <c r="F92" s="111"/>
      <c r="G92" s="137"/>
      <c r="H92" s="107"/>
      <c r="I92" s="108"/>
      <c r="J92" s="109"/>
      <c r="K92" s="110"/>
      <c r="L92" s="111"/>
      <c r="M92" s="111"/>
      <c r="N92" s="111"/>
      <c r="O92" s="182"/>
      <c r="P92" s="111"/>
      <c r="Q92" s="183"/>
      <c r="R92" s="151"/>
      <c r="S92" s="113"/>
      <c r="T92" s="195"/>
      <c r="U92" s="196"/>
      <c r="V92" s="196"/>
      <c r="W92" s="196"/>
      <c r="X92" s="196"/>
      <c r="Y92" s="116"/>
      <c r="Z92" s="195"/>
      <c r="AA92" s="202"/>
      <c r="AB92" s="197"/>
      <c r="AC92" s="116"/>
      <c r="AD92" s="116"/>
      <c r="AE92" s="114"/>
    </row>
    <row r="93" spans="1:32" ht="12.95" customHeight="1" x14ac:dyDescent="0.35">
      <c r="A93" s="287" t="s">
        <v>240</v>
      </c>
      <c r="B93" s="288" t="s">
        <v>109</v>
      </c>
      <c r="C93" s="278"/>
      <c r="D93" s="278"/>
      <c r="E93" s="81"/>
      <c r="F93" s="81"/>
      <c r="G93" s="289"/>
      <c r="H93" s="77"/>
      <c r="I93" s="78"/>
      <c r="J93" s="79"/>
      <c r="K93" s="80"/>
      <c r="L93" s="81"/>
      <c r="M93" s="81"/>
      <c r="N93" s="81"/>
      <c r="O93" s="185"/>
      <c r="P93" s="81"/>
      <c r="Q93" s="186"/>
      <c r="R93" s="173"/>
      <c r="S93" s="85"/>
      <c r="T93" s="99"/>
      <c r="U93" s="145"/>
      <c r="V93" s="145"/>
      <c r="W93" s="145"/>
      <c r="X93" s="145"/>
      <c r="Y93" s="88"/>
      <c r="Z93" s="99"/>
      <c r="AA93" s="100"/>
      <c r="AB93" s="184">
        <f t="shared" ref="AB93:AB112" si="57">AA93*S93/100</f>
        <v>0</v>
      </c>
      <c r="AC93" s="88"/>
      <c r="AD93" s="88"/>
      <c r="AE93" s="86"/>
      <c r="AF93" s="90"/>
    </row>
    <row r="94" spans="1:32" ht="12.95" customHeight="1" x14ac:dyDescent="0.35">
      <c r="A94" s="132"/>
      <c r="B94" s="104"/>
      <c r="C94" s="105"/>
      <c r="D94" s="105"/>
      <c r="E94" s="111"/>
      <c r="F94" s="111"/>
      <c r="G94" s="137"/>
      <c r="H94" s="107"/>
      <c r="I94" s="108"/>
      <c r="J94" s="109"/>
      <c r="K94" s="110"/>
      <c r="L94" s="111"/>
      <c r="M94" s="111"/>
      <c r="N94" s="111"/>
      <c r="O94" s="134"/>
      <c r="P94" s="111"/>
      <c r="Q94" s="135"/>
      <c r="R94" s="133"/>
      <c r="S94" s="113"/>
      <c r="T94" s="195"/>
      <c r="U94" s="198"/>
      <c r="V94" s="198"/>
      <c r="W94" s="198"/>
      <c r="X94" s="198"/>
      <c r="Y94" s="116"/>
      <c r="Z94" s="195"/>
      <c r="AA94" s="202"/>
      <c r="AB94" s="197">
        <f t="shared" si="57"/>
        <v>0</v>
      </c>
      <c r="AC94" s="116"/>
      <c r="AD94" s="116"/>
      <c r="AE94" s="114"/>
    </row>
    <row r="95" spans="1:32" ht="12.95" customHeight="1" x14ac:dyDescent="0.35">
      <c r="A95" s="132" t="s">
        <v>110</v>
      </c>
      <c r="B95" s="104" t="s">
        <v>241</v>
      </c>
      <c r="C95" s="105"/>
      <c r="D95" s="105"/>
      <c r="E95" s="111"/>
      <c r="F95" s="111"/>
      <c r="G95" s="137"/>
      <c r="H95" s="107"/>
      <c r="I95" s="108"/>
      <c r="J95" s="109"/>
      <c r="K95" s="110"/>
      <c r="L95" s="111"/>
      <c r="M95" s="111"/>
      <c r="N95" s="111"/>
      <c r="O95" s="134"/>
      <c r="P95" s="111"/>
      <c r="Q95" s="135"/>
      <c r="R95" s="203"/>
      <c r="S95" s="113"/>
      <c r="T95" s="195"/>
      <c r="U95" s="196"/>
      <c r="V95" s="196"/>
      <c r="W95" s="196"/>
      <c r="X95" s="196"/>
      <c r="Y95" s="116"/>
      <c r="Z95" s="195"/>
      <c r="AA95" s="202"/>
      <c r="AB95" s="197"/>
      <c r="AC95" s="88"/>
      <c r="AD95" s="116"/>
      <c r="AE95" s="114"/>
    </row>
    <row r="96" spans="1:32" ht="12.95" customHeight="1" x14ac:dyDescent="0.35">
      <c r="A96" s="219">
        <v>511111</v>
      </c>
      <c r="B96" s="211" t="s">
        <v>242</v>
      </c>
      <c r="C96" s="232"/>
      <c r="D96" s="105"/>
      <c r="E96" s="111"/>
      <c r="F96" s="111"/>
      <c r="G96" s="111"/>
      <c r="H96" s="107"/>
      <c r="I96" s="108"/>
      <c r="J96" s="109"/>
      <c r="K96" s="110"/>
      <c r="L96" s="111"/>
      <c r="M96" s="111"/>
      <c r="N96" s="111"/>
      <c r="O96" s="134">
        <v>1</v>
      </c>
      <c r="P96" s="111" t="s">
        <v>111</v>
      </c>
      <c r="Q96" s="135"/>
      <c r="R96" s="203">
        <f>O96*806705000</f>
        <v>806705000</v>
      </c>
      <c r="S96" s="85">
        <f t="shared" ref="S96:S106" si="58">+R96/$R$184*100</f>
        <v>36.026756187413</v>
      </c>
      <c r="T96" s="99"/>
      <c r="U96" s="87"/>
      <c r="V96" s="87"/>
      <c r="W96" s="87"/>
      <c r="X96" s="87"/>
      <c r="Y96" s="88">
        <v>229216040</v>
      </c>
      <c r="Z96" s="99">
        <f t="shared" ref="Z96:Z106" si="59">+Y96/R96*100</f>
        <v>28.413861324771755</v>
      </c>
      <c r="AA96" s="100">
        <f>4/14*100</f>
        <v>28.571428571428569</v>
      </c>
      <c r="AB96" s="99">
        <f t="shared" ref="AB96:AB106" si="60">AA96*S96/100</f>
        <v>10.293358910689427</v>
      </c>
      <c r="AC96" s="88"/>
      <c r="AD96" s="88">
        <f t="shared" ref="AD96:AD106" si="61">+R96-Y96</f>
        <v>577488960</v>
      </c>
      <c r="AE96" s="86"/>
    </row>
    <row r="97" spans="1:31" ht="12.95" customHeight="1" x14ac:dyDescent="0.35">
      <c r="A97" s="219">
        <v>511121</v>
      </c>
      <c r="B97" s="211" t="s">
        <v>243</v>
      </c>
      <c r="C97" s="232"/>
      <c r="D97" s="105"/>
      <c r="E97" s="111"/>
      <c r="F97" s="111"/>
      <c r="G97" s="111"/>
      <c r="H97" s="107"/>
      <c r="I97" s="108"/>
      <c r="J97" s="109"/>
      <c r="K97" s="110"/>
      <c r="L97" s="111"/>
      <c r="M97" s="111"/>
      <c r="N97" s="111"/>
      <c r="O97" s="134">
        <v>1</v>
      </c>
      <c r="P97" s="111" t="s">
        <v>111</v>
      </c>
      <c r="Q97" s="135"/>
      <c r="R97" s="107">
        <f>O97*47273000</f>
        <v>47273000</v>
      </c>
      <c r="S97" s="85">
        <f t="shared" si="58"/>
        <v>2.1111717979280837</v>
      </c>
      <c r="T97" s="99"/>
      <c r="U97" s="87"/>
      <c r="V97" s="87"/>
      <c r="W97" s="87"/>
      <c r="X97" s="87"/>
      <c r="Y97" s="88">
        <v>14788830</v>
      </c>
      <c r="Z97" s="99">
        <f t="shared" si="59"/>
        <v>31.283882977598203</v>
      </c>
      <c r="AA97" s="100">
        <f>4/14*Z97</f>
        <v>8.9382522793137724</v>
      </c>
      <c r="AB97" s="99">
        <f t="shared" si="60"/>
        <v>0.1887018613485365</v>
      </c>
      <c r="AC97" s="88"/>
      <c r="AD97" s="88">
        <f t="shared" si="61"/>
        <v>32484170</v>
      </c>
      <c r="AE97" s="114"/>
    </row>
    <row r="98" spans="1:31" ht="12.95" customHeight="1" x14ac:dyDescent="0.35">
      <c r="A98" s="219">
        <v>511122</v>
      </c>
      <c r="B98" s="211" t="s">
        <v>244</v>
      </c>
      <c r="C98" s="232"/>
      <c r="D98" s="105"/>
      <c r="E98" s="111"/>
      <c r="F98" s="111"/>
      <c r="G98" s="111"/>
      <c r="H98" s="107"/>
      <c r="I98" s="108"/>
      <c r="J98" s="109"/>
      <c r="K98" s="110"/>
      <c r="L98" s="111"/>
      <c r="M98" s="111"/>
      <c r="N98" s="111"/>
      <c r="O98" s="134">
        <v>1</v>
      </c>
      <c r="P98" s="111" t="s">
        <v>111</v>
      </c>
      <c r="Q98" s="135"/>
      <c r="R98" s="107">
        <f>O98*16142000</f>
        <v>16142000</v>
      </c>
      <c r="S98" s="85">
        <f t="shared" si="58"/>
        <v>0.72088793099983339</v>
      </c>
      <c r="T98" s="99"/>
      <c r="U98" s="87"/>
      <c r="V98" s="87"/>
      <c r="W98" s="87"/>
      <c r="X98" s="87"/>
      <c r="Y98" s="88">
        <v>4833934</v>
      </c>
      <c r="Z98" s="99">
        <f t="shared" si="59"/>
        <v>29.946313963573285</v>
      </c>
      <c r="AA98" s="100">
        <f>4/14*Z98</f>
        <v>8.5560897038780812</v>
      </c>
      <c r="AB98" s="99">
        <f t="shared" si="60"/>
        <v>6.167981804077647E-2</v>
      </c>
      <c r="AC98" s="88"/>
      <c r="AD98" s="88">
        <f t="shared" si="61"/>
        <v>11308066</v>
      </c>
      <c r="AE98" s="114"/>
    </row>
    <row r="99" spans="1:31" ht="12.95" customHeight="1" x14ac:dyDescent="0.35">
      <c r="A99" s="219">
        <v>511123</v>
      </c>
      <c r="B99" s="211" t="s">
        <v>245</v>
      </c>
      <c r="C99" s="232"/>
      <c r="D99" s="105"/>
      <c r="E99" s="111"/>
      <c r="F99" s="111"/>
      <c r="G99" s="111"/>
      <c r="H99" s="107"/>
      <c r="I99" s="108"/>
      <c r="J99" s="109"/>
      <c r="K99" s="110"/>
      <c r="L99" s="111"/>
      <c r="M99" s="111"/>
      <c r="N99" s="111"/>
      <c r="O99" s="134">
        <v>1</v>
      </c>
      <c r="P99" s="111" t="s">
        <v>111</v>
      </c>
      <c r="Q99" s="135"/>
      <c r="R99" s="107">
        <f>O99*27440000</f>
        <v>27440000</v>
      </c>
      <c r="S99" s="85">
        <f t="shared" si="58"/>
        <v>1.2254469598956406</v>
      </c>
      <c r="T99" s="99"/>
      <c r="U99" s="87"/>
      <c r="V99" s="87"/>
      <c r="W99" s="87"/>
      <c r="X99" s="87"/>
      <c r="Y99" s="88">
        <v>7840000</v>
      </c>
      <c r="Z99" s="99">
        <f t="shared" si="59"/>
        <v>28.571428571428569</v>
      </c>
      <c r="AA99" s="100">
        <f>4/14*Z99</f>
        <v>8.1632653061224474</v>
      </c>
      <c r="AB99" s="99">
        <f t="shared" si="60"/>
        <v>0.10003648652209308</v>
      </c>
      <c r="AC99" s="88"/>
      <c r="AD99" s="88">
        <f t="shared" si="61"/>
        <v>19600000</v>
      </c>
      <c r="AE99" s="114"/>
    </row>
    <row r="100" spans="1:31" ht="12.95" customHeight="1" x14ac:dyDescent="0.35">
      <c r="A100" s="219">
        <v>511124</v>
      </c>
      <c r="B100" s="211" t="s">
        <v>246</v>
      </c>
      <c r="C100" s="232"/>
      <c r="D100" s="105"/>
      <c r="E100" s="111"/>
      <c r="F100" s="111"/>
      <c r="G100" s="111"/>
      <c r="H100" s="107"/>
      <c r="I100" s="108"/>
      <c r="J100" s="109"/>
      <c r="K100" s="110"/>
      <c r="L100" s="111"/>
      <c r="M100" s="111"/>
      <c r="N100" s="111"/>
      <c r="O100" s="134">
        <v>1</v>
      </c>
      <c r="P100" s="111" t="s">
        <v>111</v>
      </c>
      <c r="Q100" s="135"/>
      <c r="R100" s="107">
        <f>O100*27860000</f>
        <v>27860000</v>
      </c>
      <c r="S100" s="85">
        <f t="shared" si="58"/>
        <v>1.244203801118533</v>
      </c>
      <c r="T100" s="99"/>
      <c r="U100" s="87"/>
      <c r="V100" s="87"/>
      <c r="W100" s="87"/>
      <c r="X100" s="87"/>
      <c r="Y100" s="88">
        <v>7100000</v>
      </c>
      <c r="Z100" s="99">
        <f t="shared" si="59"/>
        <v>25.484565685570708</v>
      </c>
      <c r="AA100" s="100">
        <f>4/14*Z100</f>
        <v>7.2813044815916301</v>
      </c>
      <c r="AB100" s="99">
        <f t="shared" si="60"/>
        <v>9.0594267130977166E-2</v>
      </c>
      <c r="AC100" s="88"/>
      <c r="AD100" s="88">
        <f t="shared" si="61"/>
        <v>20760000</v>
      </c>
      <c r="AE100" s="114"/>
    </row>
    <row r="101" spans="1:31" ht="12.95" customHeight="1" x14ac:dyDescent="0.35">
      <c r="A101" s="219">
        <v>511125</v>
      </c>
      <c r="B101" s="211" t="s">
        <v>247</v>
      </c>
      <c r="C101" s="232"/>
      <c r="D101" s="105"/>
      <c r="E101" s="111"/>
      <c r="F101" s="111"/>
      <c r="G101" s="111"/>
      <c r="H101" s="107"/>
      <c r="I101" s="108"/>
      <c r="J101" s="109"/>
      <c r="K101" s="110"/>
      <c r="L101" s="111"/>
      <c r="M101" s="111"/>
      <c r="N101" s="111"/>
      <c r="O101" s="134">
        <v>1</v>
      </c>
      <c r="P101" s="111" t="s">
        <v>111</v>
      </c>
      <c r="Q101" s="135"/>
      <c r="R101" s="107">
        <f>O101*4525000</f>
        <v>4525000</v>
      </c>
      <c r="S101" s="85">
        <f t="shared" si="58"/>
        <v>0.20208263460378181</v>
      </c>
      <c r="T101" s="99"/>
      <c r="U101" s="87"/>
      <c r="V101" s="87"/>
      <c r="W101" s="87"/>
      <c r="X101" s="87"/>
      <c r="Y101" s="88">
        <v>0</v>
      </c>
      <c r="Z101" s="99">
        <f t="shared" si="59"/>
        <v>0</v>
      </c>
      <c r="AA101" s="100">
        <f t="shared" ref="AA101" si="62">1/14*Z101</f>
        <v>0</v>
      </c>
      <c r="AB101" s="99">
        <f t="shared" si="60"/>
        <v>0</v>
      </c>
      <c r="AC101" s="88"/>
      <c r="AD101" s="88">
        <f t="shared" si="61"/>
        <v>4525000</v>
      </c>
      <c r="AE101" s="114"/>
    </row>
    <row r="102" spans="1:31" ht="12.95" customHeight="1" x14ac:dyDescent="0.35">
      <c r="A102" s="219">
        <v>511126</v>
      </c>
      <c r="B102" s="211" t="s">
        <v>248</v>
      </c>
      <c r="C102" s="232"/>
      <c r="D102" s="105"/>
      <c r="E102" s="111"/>
      <c r="F102" s="111"/>
      <c r="G102" s="111"/>
      <c r="H102" s="107"/>
      <c r="I102" s="108"/>
      <c r="J102" s="109"/>
      <c r="K102" s="110"/>
      <c r="L102" s="111"/>
      <c r="M102" s="111"/>
      <c r="N102" s="111"/>
      <c r="O102" s="134">
        <v>1</v>
      </c>
      <c r="P102" s="111" t="s">
        <v>111</v>
      </c>
      <c r="Q102" s="135"/>
      <c r="R102" s="107">
        <f>O102*42792000</f>
        <v>42792000</v>
      </c>
      <c r="S102" s="85">
        <f t="shared" si="58"/>
        <v>1.9110541657381286</v>
      </c>
      <c r="T102" s="99"/>
      <c r="U102" s="87"/>
      <c r="V102" s="87"/>
      <c r="W102" s="87"/>
      <c r="X102" s="87"/>
      <c r="Y102" s="88">
        <v>13759800</v>
      </c>
      <c r="Z102" s="99">
        <f t="shared" si="59"/>
        <v>32.155075715086937</v>
      </c>
      <c r="AA102" s="100">
        <f>4/14*Z102</f>
        <v>9.1871644900248395</v>
      </c>
      <c r="AB102" s="99">
        <f t="shared" si="60"/>
        <v>0.17557168969983381</v>
      </c>
      <c r="AC102" s="88"/>
      <c r="AD102" s="88">
        <f t="shared" si="61"/>
        <v>29032200</v>
      </c>
      <c r="AE102" s="114"/>
    </row>
    <row r="103" spans="1:31" ht="12.95" customHeight="1" x14ac:dyDescent="0.35">
      <c r="A103" s="307">
        <v>511129</v>
      </c>
      <c r="B103" s="308" t="s">
        <v>249</v>
      </c>
      <c r="C103" s="309"/>
      <c r="D103" s="310"/>
      <c r="E103" s="310"/>
      <c r="F103" s="310"/>
      <c r="G103" s="310"/>
      <c r="H103" s="311"/>
      <c r="I103" s="312"/>
      <c r="J103" s="313"/>
      <c r="K103" s="314"/>
      <c r="L103" s="310"/>
      <c r="M103" s="310"/>
      <c r="N103" s="310"/>
      <c r="O103" s="315">
        <v>1</v>
      </c>
      <c r="P103" s="310" t="s">
        <v>111</v>
      </c>
      <c r="Q103" s="316"/>
      <c r="R103" s="311">
        <f>O103*146160000</f>
        <v>146160000</v>
      </c>
      <c r="S103" s="317">
        <f t="shared" si="58"/>
        <v>6.5273807455665747</v>
      </c>
      <c r="T103" s="318"/>
      <c r="U103" s="319"/>
      <c r="V103" s="319"/>
      <c r="W103" s="319"/>
      <c r="X103" s="319"/>
      <c r="Y103" s="320">
        <v>29814000</v>
      </c>
      <c r="Z103" s="318">
        <f t="shared" si="59"/>
        <v>20.398193760262725</v>
      </c>
      <c r="AA103" s="100">
        <f>4/14*Z103</f>
        <v>5.828055360075064</v>
      </c>
      <c r="AB103" s="318">
        <f t="shared" si="60"/>
        <v>0.38041936341450039</v>
      </c>
      <c r="AC103" s="320"/>
      <c r="AD103" s="320">
        <f t="shared" si="61"/>
        <v>116346000</v>
      </c>
      <c r="AE103" s="321"/>
    </row>
    <row r="104" spans="1:31" ht="12.95" customHeight="1" x14ac:dyDescent="0.35">
      <c r="A104" s="219">
        <v>511151</v>
      </c>
      <c r="B104" s="211" t="s">
        <v>250</v>
      </c>
      <c r="C104" s="232"/>
      <c r="D104" s="105"/>
      <c r="E104" s="111"/>
      <c r="F104" s="111"/>
      <c r="G104" s="111"/>
      <c r="H104" s="107"/>
      <c r="I104" s="108"/>
      <c r="J104" s="109"/>
      <c r="K104" s="110"/>
      <c r="L104" s="111"/>
      <c r="M104" s="111"/>
      <c r="N104" s="111"/>
      <c r="O104" s="134">
        <v>1</v>
      </c>
      <c r="P104" s="111" t="s">
        <v>111</v>
      </c>
      <c r="Q104" s="135"/>
      <c r="R104" s="107">
        <f>O104*35736000</f>
        <v>35736000</v>
      </c>
      <c r="S104" s="85">
        <f t="shared" si="58"/>
        <v>1.5959392331935354</v>
      </c>
      <c r="T104" s="99"/>
      <c r="U104" s="87"/>
      <c r="V104" s="87"/>
      <c r="W104" s="87"/>
      <c r="X104" s="87"/>
      <c r="Y104" s="88">
        <v>7105000</v>
      </c>
      <c r="Z104" s="99">
        <f t="shared" si="59"/>
        <v>19.881911797627041</v>
      </c>
      <c r="AA104" s="100">
        <f>4/14*Z104</f>
        <v>5.6805462278934398</v>
      </c>
      <c r="AB104" s="99">
        <f t="shared" si="60"/>
        <v>9.0658065910646859E-2</v>
      </c>
      <c r="AC104" s="88"/>
      <c r="AD104" s="88">
        <f t="shared" si="61"/>
        <v>28631000</v>
      </c>
      <c r="AE104" s="114"/>
    </row>
    <row r="105" spans="1:31" ht="12.95" customHeight="1" x14ac:dyDescent="0.35">
      <c r="A105" s="307">
        <v>512211</v>
      </c>
      <c r="B105" s="308" t="s">
        <v>251</v>
      </c>
      <c r="C105" s="309"/>
      <c r="D105" s="309"/>
      <c r="E105" s="309"/>
      <c r="F105" s="309"/>
      <c r="G105" s="309"/>
      <c r="H105" s="322"/>
      <c r="I105" s="323"/>
      <c r="J105" s="324"/>
      <c r="K105" s="325"/>
      <c r="L105" s="309"/>
      <c r="M105" s="309"/>
      <c r="N105" s="309"/>
      <c r="O105" s="326">
        <v>1</v>
      </c>
      <c r="P105" s="309" t="s">
        <v>111</v>
      </c>
      <c r="Q105" s="327"/>
      <c r="R105" s="322">
        <f>O105*4320000</f>
        <v>4320000</v>
      </c>
      <c r="S105" s="328">
        <f t="shared" si="58"/>
        <v>0.19292750972117956</v>
      </c>
      <c r="T105" s="329"/>
      <c r="U105" s="330"/>
      <c r="V105" s="330"/>
      <c r="W105" s="330"/>
      <c r="X105" s="330"/>
      <c r="Y105" s="331">
        <v>0</v>
      </c>
      <c r="Z105" s="329">
        <f t="shared" si="59"/>
        <v>0</v>
      </c>
      <c r="AA105" s="100">
        <f>1/14*Z105</f>
        <v>0</v>
      </c>
      <c r="AB105" s="329">
        <f t="shared" si="60"/>
        <v>0</v>
      </c>
      <c r="AC105" s="331"/>
      <c r="AD105" s="331">
        <f t="shared" si="61"/>
        <v>4320000</v>
      </c>
      <c r="AE105" s="332"/>
    </row>
    <row r="106" spans="1:31" ht="12.95" customHeight="1" x14ac:dyDescent="0.35">
      <c r="A106" s="219">
        <v>511119</v>
      </c>
      <c r="B106" s="211" t="s">
        <v>262</v>
      </c>
      <c r="C106" s="232"/>
      <c r="D106" s="105"/>
      <c r="E106" s="111"/>
      <c r="F106" s="111"/>
      <c r="G106" s="111"/>
      <c r="H106" s="107"/>
      <c r="I106" s="108"/>
      <c r="J106" s="109"/>
      <c r="K106" s="110"/>
      <c r="L106" s="111"/>
      <c r="M106" s="111"/>
      <c r="N106" s="111"/>
      <c r="O106" s="134">
        <v>1</v>
      </c>
      <c r="P106" s="111" t="s">
        <v>111</v>
      </c>
      <c r="Q106" s="135"/>
      <c r="R106" s="107">
        <f>O106*17000</f>
        <v>17000</v>
      </c>
      <c r="S106" s="85">
        <f t="shared" si="58"/>
        <v>7.5920547806945663E-4</v>
      </c>
      <c r="T106" s="99"/>
      <c r="U106" s="87"/>
      <c r="V106" s="87"/>
      <c r="W106" s="87"/>
      <c r="X106" s="87"/>
      <c r="Y106" s="88">
        <v>3258</v>
      </c>
      <c r="Z106" s="99">
        <f t="shared" si="59"/>
        <v>19.164705882352941</v>
      </c>
      <c r="AA106" s="100">
        <f>4/14*Z106</f>
        <v>5.4756302521008395</v>
      </c>
      <c r="AB106" s="99">
        <f t="shared" si="60"/>
        <v>4.1571284832777975E-5</v>
      </c>
      <c r="AC106" s="88"/>
      <c r="AD106" s="88">
        <f t="shared" si="61"/>
        <v>13742</v>
      </c>
      <c r="AE106" s="114"/>
    </row>
    <row r="107" spans="1:31" ht="12.95" customHeight="1" x14ac:dyDescent="0.35">
      <c r="A107" s="204"/>
      <c r="B107" s="205"/>
      <c r="C107" s="206"/>
      <c r="D107" s="111"/>
      <c r="E107" s="111"/>
      <c r="F107" s="111"/>
      <c r="G107" s="111"/>
      <c r="H107" s="107"/>
      <c r="I107" s="108"/>
      <c r="J107" s="109"/>
      <c r="K107" s="110"/>
      <c r="L107" s="111"/>
      <c r="M107" s="111"/>
      <c r="N107" s="111"/>
      <c r="O107" s="133"/>
      <c r="P107" s="108"/>
      <c r="Q107" s="114"/>
      <c r="R107" s="133"/>
      <c r="S107" s="113"/>
      <c r="T107" s="195"/>
      <c r="U107" s="198"/>
      <c r="V107" s="198"/>
      <c r="W107" s="198"/>
      <c r="X107" s="198"/>
      <c r="Y107" s="116"/>
      <c r="Z107" s="195"/>
      <c r="AA107" s="202"/>
      <c r="AB107" s="197">
        <f t="shared" si="57"/>
        <v>0</v>
      </c>
      <c r="AC107" s="88"/>
      <c r="AD107" s="116"/>
      <c r="AE107" s="114"/>
    </row>
    <row r="108" spans="1:31" ht="12.95" hidden="1" customHeight="1" x14ac:dyDescent="0.35">
      <c r="A108" s="135"/>
      <c r="B108" s="133"/>
      <c r="C108" s="111"/>
      <c r="D108" s="111"/>
      <c r="E108" s="111"/>
      <c r="F108" s="111"/>
      <c r="G108" s="111"/>
      <c r="H108" s="107"/>
      <c r="I108" s="108"/>
      <c r="J108" s="109"/>
      <c r="K108" s="110"/>
      <c r="L108" s="111"/>
      <c r="M108" s="111"/>
      <c r="N108" s="111"/>
      <c r="O108" s="133"/>
      <c r="P108" s="108"/>
      <c r="Q108" s="114"/>
      <c r="R108" s="133"/>
      <c r="S108" s="113"/>
      <c r="T108" s="195"/>
      <c r="U108" s="198"/>
      <c r="V108" s="198"/>
      <c r="W108" s="198"/>
      <c r="X108" s="198"/>
      <c r="Y108" s="116"/>
      <c r="Z108" s="195"/>
      <c r="AA108" s="202"/>
      <c r="AB108" s="197">
        <f t="shared" si="57"/>
        <v>0</v>
      </c>
      <c r="AC108" s="88"/>
      <c r="AD108" s="116"/>
      <c r="AE108" s="114"/>
    </row>
    <row r="109" spans="1:31" ht="12.95" customHeight="1" x14ac:dyDescent="0.35">
      <c r="A109" s="132" t="s">
        <v>112</v>
      </c>
      <c r="B109" s="104" t="s">
        <v>252</v>
      </c>
      <c r="C109" s="111"/>
      <c r="D109" s="111"/>
      <c r="E109" s="111"/>
      <c r="F109" s="111"/>
      <c r="G109" s="111"/>
      <c r="H109" s="107"/>
      <c r="I109" s="108"/>
      <c r="J109" s="109"/>
      <c r="K109" s="110"/>
      <c r="L109" s="111"/>
      <c r="M109" s="111"/>
      <c r="N109" s="111"/>
      <c r="O109" s="134"/>
      <c r="P109" s="111"/>
      <c r="Q109" s="207"/>
      <c r="R109" s="136"/>
      <c r="S109" s="113"/>
      <c r="T109" s="195"/>
      <c r="U109" s="198"/>
      <c r="V109" s="198"/>
      <c r="W109" s="198"/>
      <c r="X109" s="198"/>
      <c r="Y109" s="116"/>
      <c r="Z109" s="195"/>
      <c r="AA109" s="202"/>
      <c r="AB109" s="197">
        <f t="shared" si="57"/>
        <v>0</v>
      </c>
      <c r="AC109" s="88"/>
      <c r="AD109" s="116"/>
      <c r="AE109" s="114"/>
    </row>
    <row r="110" spans="1:31" ht="12.95" customHeight="1" x14ac:dyDescent="0.35">
      <c r="A110" s="208" t="s">
        <v>14</v>
      </c>
      <c r="B110" s="104" t="s">
        <v>253</v>
      </c>
      <c r="C110" s="105"/>
      <c r="D110" s="105"/>
      <c r="E110" s="111"/>
      <c r="F110" s="111"/>
      <c r="G110" s="111"/>
      <c r="H110" s="107"/>
      <c r="I110" s="108"/>
      <c r="J110" s="109"/>
      <c r="K110" s="110"/>
      <c r="L110" s="111"/>
      <c r="M110" s="111"/>
      <c r="N110" s="111"/>
      <c r="O110" s="134"/>
      <c r="P110" s="111"/>
      <c r="Q110" s="207"/>
      <c r="R110" s="209"/>
      <c r="S110" s="113"/>
      <c r="T110" s="195"/>
      <c r="U110" s="198"/>
      <c r="V110" s="198"/>
      <c r="W110" s="198"/>
      <c r="X110" s="198"/>
      <c r="Y110" s="116"/>
      <c r="Z110" s="195"/>
      <c r="AA110" s="202"/>
      <c r="AB110" s="197">
        <f t="shared" si="57"/>
        <v>0</v>
      </c>
      <c r="AC110" s="88"/>
      <c r="AD110" s="116"/>
      <c r="AE110" s="114"/>
    </row>
    <row r="111" spans="1:31" s="28" customFormat="1" ht="12.95" customHeight="1" x14ac:dyDescent="0.35">
      <c r="A111" s="210">
        <v>521113</v>
      </c>
      <c r="B111" s="211" t="s">
        <v>113</v>
      </c>
      <c r="C111" s="105"/>
      <c r="D111" s="105"/>
      <c r="E111" s="105"/>
      <c r="F111" s="105"/>
      <c r="G111" s="106"/>
      <c r="H111" s="188"/>
      <c r="I111" s="171"/>
      <c r="J111" s="170"/>
      <c r="K111" s="189"/>
      <c r="L111" s="105"/>
      <c r="M111" s="105"/>
      <c r="N111" s="105"/>
      <c r="O111" s="112"/>
      <c r="P111" s="105"/>
      <c r="Q111" s="212"/>
      <c r="R111" s="213"/>
      <c r="S111" s="113"/>
      <c r="T111" s="190"/>
      <c r="U111" s="191"/>
      <c r="V111" s="191"/>
      <c r="W111" s="191"/>
      <c r="X111" s="191"/>
      <c r="Y111" s="192"/>
      <c r="Z111" s="190"/>
      <c r="AA111" s="214"/>
      <c r="AB111" s="193">
        <f t="shared" si="57"/>
        <v>0</v>
      </c>
      <c r="AC111" s="177"/>
      <c r="AD111" s="192"/>
      <c r="AE111" s="179"/>
    </row>
    <row r="112" spans="1:31" ht="12.95" customHeight="1" x14ac:dyDescent="0.35">
      <c r="A112" s="135"/>
      <c r="B112" s="215" t="s">
        <v>82</v>
      </c>
      <c r="C112" s="216" t="s">
        <v>114</v>
      </c>
      <c r="D112" s="111"/>
      <c r="E112" s="217"/>
      <c r="F112" s="217"/>
      <c r="G112" s="218"/>
      <c r="H112" s="107"/>
      <c r="I112" s="108"/>
      <c r="J112" s="109"/>
      <c r="K112" s="110"/>
      <c r="L112" s="111"/>
      <c r="M112" s="111"/>
      <c r="N112" s="111"/>
      <c r="O112" s="134">
        <v>22</v>
      </c>
      <c r="P112" s="111" t="s">
        <v>115</v>
      </c>
      <c r="Q112" s="207">
        <v>210000</v>
      </c>
      <c r="R112" s="107">
        <f>O112*264000</f>
        <v>5808000</v>
      </c>
      <c r="S112" s="85">
        <f t="shared" ref="S112" si="63">+R112/$R$184*100</f>
        <v>0.25938031862514138</v>
      </c>
      <c r="T112" s="99"/>
      <c r="U112" s="87"/>
      <c r="V112" s="87"/>
      <c r="W112" s="87"/>
      <c r="X112" s="87"/>
      <c r="Y112" s="88">
        <v>0</v>
      </c>
      <c r="Z112" s="99">
        <f t="shared" ref="Z112" si="64">+Y112/R112*100</f>
        <v>0</v>
      </c>
      <c r="AA112" s="100">
        <f t="shared" ref="AA112" si="65">Z112</f>
        <v>0</v>
      </c>
      <c r="AB112" s="99">
        <f t="shared" si="57"/>
        <v>0</v>
      </c>
      <c r="AC112" s="88"/>
      <c r="AD112" s="88">
        <f t="shared" ref="AD112" si="66">+R112-Y112</f>
        <v>5808000</v>
      </c>
      <c r="AE112" s="86"/>
    </row>
    <row r="113" spans="1:31" ht="12.95" customHeight="1" x14ac:dyDescent="0.35">
      <c r="A113" s="135"/>
      <c r="B113" s="215"/>
      <c r="C113" s="216"/>
      <c r="D113" s="111"/>
      <c r="E113" s="217"/>
      <c r="F113" s="217"/>
      <c r="G113" s="218"/>
      <c r="H113" s="107"/>
      <c r="I113" s="108"/>
      <c r="J113" s="109"/>
      <c r="K113" s="110"/>
      <c r="L113" s="111"/>
      <c r="M113" s="111"/>
      <c r="N113" s="111"/>
      <c r="O113" s="134"/>
      <c r="P113" s="111"/>
      <c r="Q113" s="207"/>
      <c r="R113" s="107"/>
      <c r="S113" s="113"/>
      <c r="T113" s="195"/>
      <c r="U113" s="198"/>
      <c r="V113" s="198"/>
      <c r="W113" s="198"/>
      <c r="X113" s="198"/>
      <c r="Y113" s="116"/>
      <c r="Z113" s="195"/>
      <c r="AA113" s="202"/>
      <c r="AB113" s="197"/>
      <c r="AC113" s="116"/>
      <c r="AD113" s="116"/>
      <c r="AE113" s="114"/>
    </row>
    <row r="114" spans="1:31" ht="12.95" customHeight="1" x14ac:dyDescent="0.35">
      <c r="A114" s="103" t="s">
        <v>116</v>
      </c>
      <c r="B114" s="104" t="s">
        <v>254</v>
      </c>
      <c r="C114" s="105"/>
      <c r="D114" s="105"/>
      <c r="E114" s="111"/>
      <c r="F114" s="111"/>
      <c r="G114" s="137"/>
      <c r="H114" s="107"/>
      <c r="I114" s="108"/>
      <c r="J114" s="109"/>
      <c r="K114" s="110"/>
      <c r="L114" s="111"/>
      <c r="M114" s="111"/>
      <c r="N114" s="111"/>
      <c r="O114" s="134"/>
      <c r="P114" s="111"/>
      <c r="Q114" s="207"/>
      <c r="R114" s="170"/>
      <c r="S114" s="113"/>
      <c r="T114" s="195"/>
      <c r="U114" s="198"/>
      <c r="V114" s="198"/>
      <c r="W114" s="198"/>
      <c r="X114" s="198"/>
      <c r="Y114" s="116"/>
      <c r="Z114" s="195"/>
      <c r="AA114" s="202"/>
      <c r="AB114" s="197"/>
      <c r="AC114" s="116"/>
      <c r="AD114" s="116"/>
      <c r="AE114" s="114"/>
    </row>
    <row r="115" spans="1:31" s="28" customFormat="1" ht="12.95" customHeight="1" x14ac:dyDescent="0.35">
      <c r="A115" s="219">
        <v>521119</v>
      </c>
      <c r="B115" s="211" t="s">
        <v>117</v>
      </c>
      <c r="C115" s="105"/>
      <c r="D115" s="105"/>
      <c r="E115" s="105"/>
      <c r="F115" s="105"/>
      <c r="G115" s="106"/>
      <c r="H115" s="188"/>
      <c r="I115" s="171"/>
      <c r="J115" s="170"/>
      <c r="K115" s="189"/>
      <c r="L115" s="105"/>
      <c r="M115" s="105"/>
      <c r="N115" s="105"/>
      <c r="O115" s="112"/>
      <c r="P115" s="105"/>
      <c r="Q115" s="212"/>
      <c r="R115" s="213"/>
      <c r="S115" s="113"/>
      <c r="T115" s="190"/>
      <c r="U115" s="191"/>
      <c r="V115" s="191"/>
      <c r="W115" s="191"/>
      <c r="X115" s="191"/>
      <c r="Y115" s="192"/>
      <c r="Z115" s="190"/>
      <c r="AA115" s="214"/>
      <c r="AB115" s="193"/>
      <c r="AC115" s="192"/>
      <c r="AD115" s="192"/>
      <c r="AE115" s="179"/>
    </row>
    <row r="116" spans="1:31" ht="12.95" customHeight="1" x14ac:dyDescent="0.35">
      <c r="A116" s="135"/>
      <c r="B116" s="215" t="s">
        <v>82</v>
      </c>
      <c r="C116" s="140" t="s">
        <v>118</v>
      </c>
      <c r="D116" s="111"/>
      <c r="E116" s="217"/>
      <c r="F116" s="217"/>
      <c r="G116" s="218"/>
      <c r="H116" s="107"/>
      <c r="I116" s="108"/>
      <c r="J116" s="109"/>
      <c r="K116" s="110"/>
      <c r="L116" s="111"/>
      <c r="M116" s="111"/>
      <c r="N116" s="111"/>
      <c r="O116" s="220">
        <v>22</v>
      </c>
      <c r="P116" s="221" t="s">
        <v>115</v>
      </c>
      <c r="Q116" s="222"/>
      <c r="R116" s="107">
        <f>O116*400000</f>
        <v>8800000</v>
      </c>
      <c r="S116" s="85">
        <f t="shared" ref="S116:S117" si="67">+R116/$R$184*100</f>
        <v>0.39300048276536576</v>
      </c>
      <c r="T116" s="99"/>
      <c r="U116" s="87"/>
      <c r="V116" s="87"/>
      <c r="W116" s="87"/>
      <c r="X116" s="87"/>
      <c r="Y116" s="88">
        <v>0</v>
      </c>
      <c r="Z116" s="99">
        <f t="shared" ref="Z116:Z117" si="68">+Y116/R116*100</f>
        <v>0</v>
      </c>
      <c r="AA116" s="100">
        <f t="shared" ref="AA116:AA117" si="69">Z116</f>
        <v>0</v>
      </c>
      <c r="AB116" s="99">
        <f t="shared" ref="AB116:AB117" si="70">AA116*S116/100</f>
        <v>0</v>
      </c>
      <c r="AC116" s="88"/>
      <c r="AD116" s="88">
        <f t="shared" ref="AD116:AD117" si="71">+R116-Y116</f>
        <v>8800000</v>
      </c>
      <c r="AE116" s="86"/>
    </row>
    <row r="117" spans="1:31" ht="12.95" customHeight="1" x14ac:dyDescent="0.35">
      <c r="A117" s="135"/>
      <c r="B117" s="215" t="s">
        <v>82</v>
      </c>
      <c r="C117" s="111" t="s">
        <v>119</v>
      </c>
      <c r="D117" s="111"/>
      <c r="E117" s="217"/>
      <c r="F117" s="217"/>
      <c r="G117" s="218"/>
      <c r="H117" s="107"/>
      <c r="I117" s="108"/>
      <c r="J117" s="109"/>
      <c r="K117" s="110"/>
      <c r="L117" s="111"/>
      <c r="M117" s="111"/>
      <c r="N117" s="111"/>
      <c r="O117" s="220">
        <v>3</v>
      </c>
      <c r="P117" s="221" t="s">
        <v>115</v>
      </c>
      <c r="Q117" s="222"/>
      <c r="R117" s="107">
        <f>O117*450000</f>
        <v>1350000</v>
      </c>
      <c r="S117" s="85">
        <f t="shared" si="67"/>
        <v>6.0289846787868612E-2</v>
      </c>
      <c r="T117" s="99"/>
      <c r="U117" s="87"/>
      <c r="V117" s="87"/>
      <c r="W117" s="87"/>
      <c r="X117" s="87"/>
      <c r="Y117" s="88">
        <v>0</v>
      </c>
      <c r="Z117" s="99">
        <f t="shared" si="68"/>
        <v>0</v>
      </c>
      <c r="AA117" s="100">
        <f t="shared" si="69"/>
        <v>0</v>
      </c>
      <c r="AB117" s="99">
        <f t="shared" si="70"/>
        <v>0</v>
      </c>
      <c r="AC117" s="88"/>
      <c r="AD117" s="88">
        <f t="shared" si="71"/>
        <v>1350000</v>
      </c>
      <c r="AE117" s="114"/>
    </row>
    <row r="118" spans="1:31" s="28" customFormat="1" ht="12.95" customHeight="1" x14ac:dyDescent="0.35">
      <c r="A118" s="219"/>
      <c r="B118" s="211"/>
      <c r="C118" s="105"/>
      <c r="D118" s="105"/>
      <c r="E118" s="105"/>
      <c r="F118" s="105"/>
      <c r="G118" s="106"/>
      <c r="H118" s="188"/>
      <c r="I118" s="171"/>
      <c r="J118" s="170"/>
      <c r="K118" s="189"/>
      <c r="L118" s="105"/>
      <c r="M118" s="105"/>
      <c r="N118" s="105"/>
      <c r="O118" s="112"/>
      <c r="P118" s="105"/>
      <c r="Q118" s="212"/>
      <c r="R118" s="213"/>
      <c r="S118" s="113"/>
      <c r="T118" s="190"/>
      <c r="U118" s="191"/>
      <c r="V118" s="191"/>
      <c r="W118" s="191"/>
      <c r="X118" s="191"/>
      <c r="Y118" s="192"/>
      <c r="Z118" s="190"/>
      <c r="AA118" s="214"/>
      <c r="AB118" s="193"/>
      <c r="AC118" s="192"/>
      <c r="AD118" s="192"/>
      <c r="AE118" s="179"/>
    </row>
    <row r="119" spans="1:31" ht="12.95" customHeight="1" x14ac:dyDescent="0.35">
      <c r="A119" s="103" t="s">
        <v>120</v>
      </c>
      <c r="B119" s="104" t="s">
        <v>255</v>
      </c>
      <c r="C119" s="105"/>
      <c r="D119" s="105"/>
      <c r="E119" s="105"/>
      <c r="F119" s="105"/>
      <c r="G119" s="106"/>
      <c r="H119" s="107"/>
      <c r="I119" s="108"/>
      <c r="J119" s="109"/>
      <c r="K119" s="110"/>
      <c r="L119" s="111"/>
      <c r="M119" s="111"/>
      <c r="N119" s="111"/>
      <c r="O119" s="134"/>
      <c r="P119" s="111"/>
      <c r="Q119" s="207"/>
      <c r="R119" s="170"/>
      <c r="S119" s="113"/>
      <c r="T119" s="195"/>
      <c r="U119" s="198"/>
      <c r="V119" s="198"/>
      <c r="W119" s="198"/>
      <c r="X119" s="198"/>
      <c r="Y119" s="116"/>
      <c r="Z119" s="195"/>
      <c r="AA119" s="202"/>
      <c r="AB119" s="197"/>
      <c r="AC119" s="116"/>
      <c r="AD119" s="116"/>
      <c r="AE119" s="114"/>
    </row>
    <row r="120" spans="1:31" s="28" customFormat="1" ht="12.95" customHeight="1" x14ac:dyDescent="0.35">
      <c r="A120" s="210">
        <v>523111</v>
      </c>
      <c r="B120" s="211" t="s">
        <v>121</v>
      </c>
      <c r="C120" s="105"/>
      <c r="D120" s="105"/>
      <c r="E120" s="105"/>
      <c r="F120" s="105"/>
      <c r="G120" s="106"/>
      <c r="H120" s="188"/>
      <c r="I120" s="171"/>
      <c r="J120" s="170"/>
      <c r="K120" s="189"/>
      <c r="L120" s="105"/>
      <c r="M120" s="105"/>
      <c r="N120" s="105"/>
      <c r="O120" s="112"/>
      <c r="P120" s="105"/>
      <c r="Q120" s="212"/>
      <c r="R120" s="170"/>
      <c r="S120" s="113"/>
      <c r="T120" s="190"/>
      <c r="U120" s="191"/>
      <c r="V120" s="191"/>
      <c r="W120" s="191"/>
      <c r="X120" s="191"/>
      <c r="Y120" s="192"/>
      <c r="Z120" s="190"/>
      <c r="AA120" s="214"/>
      <c r="AB120" s="193"/>
      <c r="AC120" s="192"/>
      <c r="AD120" s="192"/>
      <c r="AE120" s="179"/>
    </row>
    <row r="121" spans="1:31" ht="12.95" customHeight="1" x14ac:dyDescent="0.35">
      <c r="A121" s="135"/>
      <c r="B121" s="223" t="s">
        <v>82</v>
      </c>
      <c r="C121" s="111" t="s">
        <v>122</v>
      </c>
      <c r="D121" s="111"/>
      <c r="E121" s="111"/>
      <c r="F121" s="111"/>
      <c r="G121" s="137"/>
      <c r="H121" s="107"/>
      <c r="I121" s="108"/>
      <c r="J121" s="109"/>
      <c r="K121" s="110"/>
      <c r="L121" s="111"/>
      <c r="M121" s="111"/>
      <c r="N121" s="111"/>
      <c r="O121" s="107">
        <v>229</v>
      </c>
      <c r="P121" s="108" t="s">
        <v>105</v>
      </c>
      <c r="Q121" s="207"/>
      <c r="R121" s="107">
        <f>O121*119000</f>
        <v>27251000</v>
      </c>
      <c r="S121" s="85">
        <f t="shared" ref="S121:S122" si="72">+R121/$R$184*100</f>
        <v>1.2170063813453389</v>
      </c>
      <c r="T121" s="99"/>
      <c r="U121" s="87"/>
      <c r="V121" s="87"/>
      <c r="W121" s="87"/>
      <c r="X121" s="87"/>
      <c r="Y121" s="88">
        <v>0</v>
      </c>
      <c r="Z121" s="99">
        <f t="shared" ref="Z121:Z122" si="73">+Y121/R121*100</f>
        <v>0</v>
      </c>
      <c r="AA121" s="100">
        <f t="shared" ref="AA121:AA122" si="74">Z121</f>
        <v>0</v>
      </c>
      <c r="AB121" s="99">
        <f t="shared" ref="AB121:AB122" si="75">AA121*S121/100</f>
        <v>0</v>
      </c>
      <c r="AC121" s="88"/>
      <c r="AD121" s="88">
        <f t="shared" ref="AD121:AD122" si="76">+R121-Y121</f>
        <v>27251000</v>
      </c>
      <c r="AE121" s="86"/>
    </row>
    <row r="122" spans="1:31" ht="12.95" customHeight="1" x14ac:dyDescent="0.35">
      <c r="A122" s="135"/>
      <c r="B122" s="223" t="s">
        <v>82</v>
      </c>
      <c r="C122" s="140" t="s">
        <v>123</v>
      </c>
      <c r="D122" s="111"/>
      <c r="E122" s="111"/>
      <c r="F122" s="111"/>
      <c r="G122" s="137"/>
      <c r="H122" s="107"/>
      <c r="I122" s="108"/>
      <c r="J122" s="109"/>
      <c r="K122" s="110"/>
      <c r="L122" s="111"/>
      <c r="M122" s="111"/>
      <c r="N122" s="111"/>
      <c r="O122" s="107">
        <v>680</v>
      </c>
      <c r="P122" s="108" t="s">
        <v>105</v>
      </c>
      <c r="Q122" s="207"/>
      <c r="R122" s="107">
        <f>O122*13000</f>
        <v>8840000</v>
      </c>
      <c r="S122" s="85">
        <f t="shared" si="72"/>
        <v>0.39478684859611746</v>
      </c>
      <c r="T122" s="99"/>
      <c r="U122" s="87"/>
      <c r="V122" s="87"/>
      <c r="W122" s="87"/>
      <c r="X122" s="87"/>
      <c r="Y122" s="88">
        <v>0</v>
      </c>
      <c r="Z122" s="99">
        <f t="shared" si="73"/>
        <v>0</v>
      </c>
      <c r="AA122" s="100">
        <f t="shared" si="74"/>
        <v>0</v>
      </c>
      <c r="AB122" s="99">
        <f t="shared" si="75"/>
        <v>0</v>
      </c>
      <c r="AC122" s="88"/>
      <c r="AD122" s="88">
        <f t="shared" si="76"/>
        <v>8840000</v>
      </c>
      <c r="AE122" s="114"/>
    </row>
    <row r="123" spans="1:31" ht="12.95" customHeight="1" x14ac:dyDescent="0.35">
      <c r="A123" s="135"/>
      <c r="B123" s="223"/>
      <c r="C123" s="111"/>
      <c r="D123" s="111"/>
      <c r="E123" s="111"/>
      <c r="F123" s="111"/>
      <c r="G123" s="137"/>
      <c r="H123" s="107"/>
      <c r="I123" s="108"/>
      <c r="J123" s="109"/>
      <c r="K123" s="110"/>
      <c r="L123" s="111"/>
      <c r="M123" s="111"/>
      <c r="N123" s="111"/>
      <c r="O123" s="134"/>
      <c r="P123" s="111"/>
      <c r="Q123" s="207"/>
      <c r="R123" s="107"/>
      <c r="S123" s="113"/>
      <c r="T123" s="195"/>
      <c r="U123" s="198"/>
      <c r="V123" s="198"/>
      <c r="W123" s="198"/>
      <c r="X123" s="198"/>
      <c r="Y123" s="116"/>
      <c r="Z123" s="195"/>
      <c r="AA123" s="202"/>
      <c r="AB123" s="197"/>
      <c r="AC123" s="116"/>
      <c r="AD123" s="116"/>
      <c r="AE123" s="114"/>
    </row>
    <row r="124" spans="1:31" ht="12.95" customHeight="1" x14ac:dyDescent="0.35">
      <c r="A124" s="103" t="s">
        <v>124</v>
      </c>
      <c r="B124" s="104" t="s">
        <v>256</v>
      </c>
      <c r="C124" s="105"/>
      <c r="D124" s="105"/>
      <c r="E124" s="105"/>
      <c r="F124" s="105"/>
      <c r="G124" s="106"/>
      <c r="H124" s="107"/>
      <c r="I124" s="108"/>
      <c r="J124" s="109"/>
      <c r="K124" s="110"/>
      <c r="L124" s="111"/>
      <c r="M124" s="111"/>
      <c r="N124" s="111"/>
      <c r="O124" s="134"/>
      <c r="P124" s="111"/>
      <c r="Q124" s="207"/>
      <c r="R124" s="170"/>
      <c r="S124" s="113"/>
      <c r="T124" s="195"/>
      <c r="U124" s="198"/>
      <c r="V124" s="198"/>
      <c r="W124" s="198"/>
      <c r="X124" s="198"/>
      <c r="Y124" s="116"/>
      <c r="Z124" s="195"/>
      <c r="AA124" s="202"/>
      <c r="AB124" s="197"/>
      <c r="AC124" s="116"/>
      <c r="AD124" s="116"/>
      <c r="AE124" s="114"/>
    </row>
    <row r="125" spans="1:31" s="28" customFormat="1" ht="12.95" customHeight="1" x14ac:dyDescent="0.35">
      <c r="A125" s="210">
        <v>523121</v>
      </c>
      <c r="B125" s="211" t="s">
        <v>125</v>
      </c>
      <c r="C125" s="105"/>
      <c r="D125" s="105"/>
      <c r="E125" s="105"/>
      <c r="F125" s="105"/>
      <c r="G125" s="106"/>
      <c r="H125" s="188"/>
      <c r="I125" s="171"/>
      <c r="J125" s="170"/>
      <c r="K125" s="189"/>
      <c r="L125" s="105"/>
      <c r="M125" s="105"/>
      <c r="N125" s="105"/>
      <c r="O125" s="112"/>
      <c r="P125" s="105"/>
      <c r="Q125" s="212"/>
      <c r="R125" s="170"/>
      <c r="S125" s="113"/>
      <c r="T125" s="190"/>
      <c r="U125" s="191"/>
      <c r="V125" s="191"/>
      <c r="W125" s="191"/>
      <c r="X125" s="191"/>
      <c r="Y125" s="192"/>
      <c r="Z125" s="190"/>
      <c r="AA125" s="214"/>
      <c r="AB125" s="193"/>
      <c r="AC125" s="192"/>
      <c r="AD125" s="192"/>
      <c r="AE125" s="179"/>
    </row>
    <row r="126" spans="1:31" ht="12.95" customHeight="1" x14ac:dyDescent="0.35">
      <c r="A126" s="135"/>
      <c r="B126" s="215" t="s">
        <v>82</v>
      </c>
      <c r="C126" s="111" t="s">
        <v>126</v>
      </c>
      <c r="D126" s="111"/>
      <c r="E126" s="111"/>
      <c r="F126" s="111"/>
      <c r="G126" s="137"/>
      <c r="H126" s="107"/>
      <c r="I126" s="108"/>
      <c r="J126" s="109"/>
      <c r="K126" s="110"/>
      <c r="L126" s="111"/>
      <c r="M126" s="111"/>
      <c r="N126" s="111"/>
      <c r="O126" s="134">
        <v>8</v>
      </c>
      <c r="P126" s="111" t="s">
        <v>127</v>
      </c>
      <c r="Q126" s="207"/>
      <c r="R126" s="107">
        <f>O126*420000</f>
        <v>3360000</v>
      </c>
      <c r="S126" s="85">
        <f t="shared" ref="S126:S137" si="77">+R126/$R$184*100</f>
        <v>0.15005472978313966</v>
      </c>
      <c r="T126" s="99"/>
      <c r="U126" s="87"/>
      <c r="V126" s="87"/>
      <c r="W126" s="87"/>
      <c r="X126" s="87"/>
      <c r="Y126" s="88">
        <v>303000</v>
      </c>
      <c r="Z126" s="99">
        <f t="shared" ref="Z126:Z137" si="78">+Y126/R126*100</f>
        <v>9.0178571428571423</v>
      </c>
      <c r="AA126" s="100">
        <f t="shared" ref="AA126:AA135" si="79">Z126</f>
        <v>9.0178571428571423</v>
      </c>
      <c r="AB126" s="99">
        <f t="shared" ref="AB126:AB137" si="80">AA126*S126/100</f>
        <v>1.3531721167943845E-2</v>
      </c>
      <c r="AC126" s="88"/>
      <c r="AD126" s="88">
        <f t="shared" ref="AD126:AD137" si="81">+R126-Y126</f>
        <v>3057000</v>
      </c>
      <c r="AE126" s="86"/>
    </row>
    <row r="127" spans="1:31" ht="12.95" customHeight="1" x14ac:dyDescent="0.35">
      <c r="A127" s="135"/>
      <c r="B127" s="215" t="s">
        <v>82</v>
      </c>
      <c r="C127" s="111" t="s">
        <v>128</v>
      </c>
      <c r="D127" s="111"/>
      <c r="E127" s="111"/>
      <c r="F127" s="111"/>
      <c r="G127" s="137"/>
      <c r="H127" s="107"/>
      <c r="I127" s="108"/>
      <c r="J127" s="109"/>
      <c r="K127" s="110"/>
      <c r="L127" s="111"/>
      <c r="M127" s="111"/>
      <c r="N127" s="111"/>
      <c r="O127" s="134">
        <v>3</v>
      </c>
      <c r="P127" s="111" t="s">
        <v>127</v>
      </c>
      <c r="Q127" s="207"/>
      <c r="R127" s="107">
        <f>O127*500000</f>
        <v>1500000</v>
      </c>
      <c r="S127" s="85">
        <f t="shared" si="77"/>
        <v>6.6988718653187354E-2</v>
      </c>
      <c r="T127" s="99"/>
      <c r="U127" s="87"/>
      <c r="V127" s="87"/>
      <c r="W127" s="87"/>
      <c r="X127" s="87"/>
      <c r="Y127" s="88">
        <v>0</v>
      </c>
      <c r="Z127" s="99">
        <f t="shared" si="78"/>
        <v>0</v>
      </c>
      <c r="AA127" s="100">
        <f t="shared" si="79"/>
        <v>0</v>
      </c>
      <c r="AB127" s="99">
        <f t="shared" si="80"/>
        <v>0</v>
      </c>
      <c r="AC127" s="88"/>
      <c r="AD127" s="88">
        <f t="shared" si="81"/>
        <v>1500000</v>
      </c>
      <c r="AE127" s="114"/>
    </row>
    <row r="128" spans="1:31" ht="12.95" customHeight="1" x14ac:dyDescent="0.35">
      <c r="A128" s="135"/>
      <c r="B128" s="215" t="s">
        <v>82</v>
      </c>
      <c r="C128" s="111" t="s">
        <v>129</v>
      </c>
      <c r="D128" s="111"/>
      <c r="E128" s="111"/>
      <c r="F128" s="111"/>
      <c r="G128" s="137"/>
      <c r="H128" s="107"/>
      <c r="I128" s="108"/>
      <c r="J128" s="109"/>
      <c r="K128" s="110"/>
      <c r="L128" s="111"/>
      <c r="M128" s="111"/>
      <c r="N128" s="111"/>
      <c r="O128" s="134">
        <v>12</v>
      </c>
      <c r="P128" s="111" t="s">
        <v>127</v>
      </c>
      <c r="Q128" s="207"/>
      <c r="R128" s="107">
        <f>O128*550000</f>
        <v>6600000</v>
      </c>
      <c r="S128" s="85">
        <f t="shared" si="77"/>
        <v>0.29475036207402433</v>
      </c>
      <c r="T128" s="99"/>
      <c r="U128" s="87"/>
      <c r="V128" s="87"/>
      <c r="W128" s="87"/>
      <c r="X128" s="87"/>
      <c r="Y128" s="88">
        <v>0</v>
      </c>
      <c r="Z128" s="99">
        <f t="shared" si="78"/>
        <v>0</v>
      </c>
      <c r="AA128" s="100">
        <f t="shared" si="79"/>
        <v>0</v>
      </c>
      <c r="AB128" s="99">
        <f t="shared" si="80"/>
        <v>0</v>
      </c>
      <c r="AC128" s="88"/>
      <c r="AD128" s="88">
        <f t="shared" si="81"/>
        <v>6600000</v>
      </c>
      <c r="AE128" s="114"/>
    </row>
    <row r="129" spans="1:31" ht="12.95" customHeight="1" x14ac:dyDescent="0.35">
      <c r="A129" s="135"/>
      <c r="B129" s="215" t="s">
        <v>82</v>
      </c>
      <c r="C129" s="111" t="s">
        <v>130</v>
      </c>
      <c r="D129" s="111"/>
      <c r="E129" s="111"/>
      <c r="F129" s="111"/>
      <c r="G129" s="137"/>
      <c r="H129" s="107"/>
      <c r="I129" s="108"/>
      <c r="J129" s="109"/>
      <c r="K129" s="110"/>
      <c r="L129" s="111"/>
      <c r="M129" s="111"/>
      <c r="N129" s="111"/>
      <c r="O129" s="134">
        <v>1</v>
      </c>
      <c r="P129" s="111" t="s">
        <v>127</v>
      </c>
      <c r="Q129" s="207"/>
      <c r="R129" s="107">
        <f>O129*500000</f>
        <v>500000</v>
      </c>
      <c r="S129" s="85">
        <f t="shared" si="77"/>
        <v>2.2329572884395781E-2</v>
      </c>
      <c r="T129" s="99"/>
      <c r="U129" s="87"/>
      <c r="V129" s="87"/>
      <c r="W129" s="87"/>
      <c r="X129" s="87"/>
      <c r="Y129" s="88">
        <v>0</v>
      </c>
      <c r="Z129" s="99">
        <f t="shared" si="78"/>
        <v>0</v>
      </c>
      <c r="AA129" s="100">
        <f t="shared" si="79"/>
        <v>0</v>
      </c>
      <c r="AB129" s="99">
        <f t="shared" si="80"/>
        <v>0</v>
      </c>
      <c r="AC129" s="88"/>
      <c r="AD129" s="88">
        <f t="shared" si="81"/>
        <v>500000</v>
      </c>
      <c r="AE129" s="114"/>
    </row>
    <row r="130" spans="1:31" ht="12.95" customHeight="1" x14ac:dyDescent="0.35">
      <c r="A130" s="135"/>
      <c r="B130" s="215" t="s">
        <v>82</v>
      </c>
      <c r="C130" s="111" t="s">
        <v>131</v>
      </c>
      <c r="D130" s="111"/>
      <c r="E130" s="111"/>
      <c r="F130" s="111"/>
      <c r="G130" s="137"/>
      <c r="H130" s="107"/>
      <c r="I130" s="108"/>
      <c r="J130" s="109"/>
      <c r="K130" s="110"/>
      <c r="L130" s="111"/>
      <c r="M130" s="111"/>
      <c r="N130" s="111"/>
      <c r="O130" s="134">
        <v>2</v>
      </c>
      <c r="P130" s="111" t="s">
        <v>127</v>
      </c>
      <c r="Q130" s="207"/>
      <c r="R130" s="107">
        <f>O130*800000</f>
        <v>1600000</v>
      </c>
      <c r="S130" s="85">
        <f t="shared" si="77"/>
        <v>7.1454633230066497E-2</v>
      </c>
      <c r="T130" s="99"/>
      <c r="U130" s="87"/>
      <c r="V130" s="87"/>
      <c r="W130" s="87"/>
      <c r="X130" s="87"/>
      <c r="Y130" s="88">
        <v>0</v>
      </c>
      <c r="Z130" s="99">
        <f t="shared" si="78"/>
        <v>0</v>
      </c>
      <c r="AA130" s="100">
        <f t="shared" si="79"/>
        <v>0</v>
      </c>
      <c r="AB130" s="99">
        <f t="shared" si="80"/>
        <v>0</v>
      </c>
      <c r="AC130" s="88"/>
      <c r="AD130" s="88">
        <f t="shared" si="81"/>
        <v>1600000</v>
      </c>
      <c r="AE130" s="114"/>
    </row>
    <row r="131" spans="1:31" ht="12.95" customHeight="1" x14ac:dyDescent="0.35">
      <c r="A131" s="135"/>
      <c r="B131" s="215" t="s">
        <v>82</v>
      </c>
      <c r="C131" s="111" t="s">
        <v>132</v>
      </c>
      <c r="D131" s="111"/>
      <c r="E131" s="111"/>
      <c r="F131" s="111"/>
      <c r="G131" s="137"/>
      <c r="H131" s="107"/>
      <c r="I131" s="108"/>
      <c r="J131" s="109"/>
      <c r="K131" s="110"/>
      <c r="L131" s="111"/>
      <c r="M131" s="111"/>
      <c r="N131" s="111"/>
      <c r="O131" s="134">
        <v>2</v>
      </c>
      <c r="P131" s="111" t="s">
        <v>127</v>
      </c>
      <c r="Q131" s="207"/>
      <c r="R131" s="107">
        <f>O131*5346000</f>
        <v>10692000</v>
      </c>
      <c r="S131" s="85">
        <f t="shared" si="77"/>
        <v>0.47749558655991942</v>
      </c>
      <c r="T131" s="99"/>
      <c r="U131" s="87"/>
      <c r="V131" s="87"/>
      <c r="W131" s="87"/>
      <c r="X131" s="87"/>
      <c r="Y131" s="88">
        <v>875000</v>
      </c>
      <c r="Z131" s="99">
        <f t="shared" si="78"/>
        <v>8.1836887392442943</v>
      </c>
      <c r="AA131" s="100">
        <f t="shared" si="79"/>
        <v>8.1836887392442943</v>
      </c>
      <c r="AB131" s="99">
        <f t="shared" si="80"/>
        <v>3.907675254769262E-2</v>
      </c>
      <c r="AC131" s="88"/>
      <c r="AD131" s="88">
        <f t="shared" si="81"/>
        <v>9817000</v>
      </c>
      <c r="AE131" s="114"/>
    </row>
    <row r="132" spans="1:31" ht="12.95" customHeight="1" x14ac:dyDescent="0.35">
      <c r="A132" s="135"/>
      <c r="B132" s="223" t="s">
        <v>82</v>
      </c>
      <c r="C132" s="111" t="s">
        <v>133</v>
      </c>
      <c r="D132" s="111"/>
      <c r="E132" s="111"/>
      <c r="F132" s="111"/>
      <c r="G132" s="137"/>
      <c r="H132" s="107"/>
      <c r="I132" s="108"/>
      <c r="J132" s="109"/>
      <c r="K132" s="110"/>
      <c r="L132" s="111"/>
      <c r="M132" s="111"/>
      <c r="N132" s="111"/>
      <c r="O132" s="134">
        <v>6</v>
      </c>
      <c r="P132" s="111" t="s">
        <v>127</v>
      </c>
      <c r="Q132" s="207"/>
      <c r="R132" s="107">
        <f>O132*500000</f>
        <v>3000000</v>
      </c>
      <c r="S132" s="85">
        <f t="shared" si="77"/>
        <v>0.13397743730637471</v>
      </c>
      <c r="T132" s="99"/>
      <c r="U132" s="87"/>
      <c r="V132" s="87"/>
      <c r="W132" s="87"/>
      <c r="X132" s="87"/>
      <c r="Y132" s="88">
        <v>0</v>
      </c>
      <c r="Z132" s="99">
        <f t="shared" si="78"/>
        <v>0</v>
      </c>
      <c r="AA132" s="100">
        <f t="shared" si="79"/>
        <v>0</v>
      </c>
      <c r="AB132" s="99">
        <f t="shared" si="80"/>
        <v>0</v>
      </c>
      <c r="AC132" s="88"/>
      <c r="AD132" s="88">
        <f t="shared" si="81"/>
        <v>3000000</v>
      </c>
      <c r="AE132" s="114"/>
    </row>
    <row r="133" spans="1:31" ht="12.95" customHeight="1" x14ac:dyDescent="0.35">
      <c r="A133" s="135"/>
      <c r="B133" s="215" t="s">
        <v>82</v>
      </c>
      <c r="C133" s="111" t="s">
        <v>134</v>
      </c>
      <c r="D133" s="111"/>
      <c r="E133" s="111"/>
      <c r="F133" s="111"/>
      <c r="G133" s="137"/>
      <c r="H133" s="107"/>
      <c r="I133" s="108"/>
      <c r="J133" s="109"/>
      <c r="K133" s="110"/>
      <c r="L133" s="111"/>
      <c r="M133" s="111"/>
      <c r="N133" s="111"/>
      <c r="O133" s="134">
        <v>1</v>
      </c>
      <c r="P133" s="111" t="s">
        <v>127</v>
      </c>
      <c r="Q133" s="207"/>
      <c r="R133" s="107">
        <f>O133*1200000</f>
        <v>1200000</v>
      </c>
      <c r="S133" s="85">
        <f t="shared" si="77"/>
        <v>5.3590974922549883E-2</v>
      </c>
      <c r="T133" s="99"/>
      <c r="U133" s="87"/>
      <c r="V133" s="87"/>
      <c r="W133" s="87"/>
      <c r="X133" s="87"/>
      <c r="Y133" s="88">
        <v>0</v>
      </c>
      <c r="Z133" s="99">
        <f t="shared" si="78"/>
        <v>0</v>
      </c>
      <c r="AA133" s="100">
        <f t="shared" si="79"/>
        <v>0</v>
      </c>
      <c r="AB133" s="99">
        <f t="shared" si="80"/>
        <v>0</v>
      </c>
      <c r="AC133" s="88"/>
      <c r="AD133" s="88">
        <f t="shared" si="81"/>
        <v>1200000</v>
      </c>
      <c r="AE133" s="114"/>
    </row>
    <row r="134" spans="1:31" ht="12.95" customHeight="1" x14ac:dyDescent="0.35">
      <c r="A134" s="135"/>
      <c r="B134" s="215" t="s">
        <v>82</v>
      </c>
      <c r="C134" s="111" t="s">
        <v>135</v>
      </c>
      <c r="D134" s="111"/>
      <c r="E134" s="111"/>
      <c r="F134" s="111"/>
      <c r="G134" s="137"/>
      <c r="H134" s="107"/>
      <c r="I134" s="108"/>
      <c r="J134" s="109"/>
      <c r="K134" s="110"/>
      <c r="L134" s="111"/>
      <c r="M134" s="111"/>
      <c r="N134" s="111"/>
      <c r="O134" s="134">
        <v>4</v>
      </c>
      <c r="P134" s="111" t="s">
        <v>127</v>
      </c>
      <c r="Q134" s="207"/>
      <c r="R134" s="107">
        <f>O134*475000</f>
        <v>1900000</v>
      </c>
      <c r="S134" s="85">
        <f t="shared" si="77"/>
        <v>8.4852376960703968E-2</v>
      </c>
      <c r="T134" s="99"/>
      <c r="U134" s="87"/>
      <c r="V134" s="87"/>
      <c r="W134" s="87"/>
      <c r="X134" s="87"/>
      <c r="Y134" s="88">
        <v>0</v>
      </c>
      <c r="Z134" s="99">
        <f t="shared" si="78"/>
        <v>0</v>
      </c>
      <c r="AA134" s="100">
        <f t="shared" si="79"/>
        <v>0</v>
      </c>
      <c r="AB134" s="99">
        <f t="shared" si="80"/>
        <v>0</v>
      </c>
      <c r="AC134" s="88"/>
      <c r="AD134" s="88">
        <f t="shared" si="81"/>
        <v>1900000</v>
      </c>
      <c r="AE134" s="114"/>
    </row>
    <row r="135" spans="1:31" ht="12.95" customHeight="1" x14ac:dyDescent="0.35">
      <c r="A135" s="135"/>
      <c r="B135" s="223" t="s">
        <v>82</v>
      </c>
      <c r="C135" s="111" t="s">
        <v>136</v>
      </c>
      <c r="D135" s="111"/>
      <c r="E135" s="111"/>
      <c r="F135" s="111"/>
      <c r="G135" s="137"/>
      <c r="H135" s="107"/>
      <c r="I135" s="108"/>
      <c r="J135" s="109"/>
      <c r="K135" s="110"/>
      <c r="L135" s="111"/>
      <c r="M135" s="111"/>
      <c r="N135" s="111"/>
      <c r="O135" s="134">
        <v>1</v>
      </c>
      <c r="P135" s="111" t="s">
        <v>127</v>
      </c>
      <c r="Q135" s="207"/>
      <c r="R135" s="107">
        <f>O135*5000000</f>
        <v>5000000</v>
      </c>
      <c r="S135" s="85">
        <f t="shared" si="77"/>
        <v>0.22329572884395779</v>
      </c>
      <c r="T135" s="99"/>
      <c r="U135" s="87"/>
      <c r="V135" s="87"/>
      <c r="W135" s="87"/>
      <c r="X135" s="87"/>
      <c r="Y135" s="88">
        <v>0</v>
      </c>
      <c r="Z135" s="99">
        <f t="shared" si="78"/>
        <v>0</v>
      </c>
      <c r="AA135" s="100">
        <f t="shared" si="79"/>
        <v>0</v>
      </c>
      <c r="AB135" s="99">
        <f t="shared" si="80"/>
        <v>0</v>
      </c>
      <c r="AC135" s="88"/>
      <c r="AD135" s="88">
        <f t="shared" si="81"/>
        <v>5000000</v>
      </c>
      <c r="AE135" s="114"/>
    </row>
    <row r="136" spans="1:31" ht="12.95" customHeight="1" x14ac:dyDescent="0.35">
      <c r="A136" s="135"/>
      <c r="B136" s="223" t="s">
        <v>82</v>
      </c>
      <c r="C136" s="111" t="s">
        <v>137</v>
      </c>
      <c r="D136" s="111"/>
      <c r="E136" s="111"/>
      <c r="F136" s="111"/>
      <c r="G136" s="137"/>
      <c r="H136" s="107"/>
      <c r="I136" s="108"/>
      <c r="J136" s="109"/>
      <c r="K136" s="110"/>
      <c r="L136" s="111"/>
      <c r="M136" s="111"/>
      <c r="N136" s="111"/>
      <c r="O136" s="134">
        <v>1</v>
      </c>
      <c r="P136" s="111" t="s">
        <v>127</v>
      </c>
      <c r="Q136" s="207"/>
      <c r="R136" s="107">
        <f>O136*23000000</f>
        <v>23000000</v>
      </c>
      <c r="S136" s="85">
        <f t="shared" si="77"/>
        <v>1.027160352682206</v>
      </c>
      <c r="T136" s="99"/>
      <c r="U136" s="87"/>
      <c r="V136" s="87"/>
      <c r="W136" s="87"/>
      <c r="X136" s="87"/>
      <c r="Y136" s="88">
        <f>1600000*4+927000</f>
        <v>7327000</v>
      </c>
      <c r="Z136" s="99">
        <f t="shared" si="78"/>
        <v>31.856521739130432</v>
      </c>
      <c r="AA136" s="100">
        <f t="shared" ref="AA136:AA137" si="82">1/14*Z136</f>
        <v>2.2754658385093163</v>
      </c>
      <c r="AB136" s="99">
        <f t="shared" si="80"/>
        <v>2.337268293199541E-2</v>
      </c>
      <c r="AC136" s="88"/>
      <c r="AD136" s="88">
        <f t="shared" si="81"/>
        <v>15673000</v>
      </c>
      <c r="AE136" s="114"/>
    </row>
    <row r="137" spans="1:31" ht="12.95" customHeight="1" x14ac:dyDescent="0.35">
      <c r="A137" s="135"/>
      <c r="B137" s="223" t="s">
        <v>82</v>
      </c>
      <c r="C137" s="111" t="s">
        <v>138</v>
      </c>
      <c r="D137" s="111"/>
      <c r="E137" s="111"/>
      <c r="F137" s="111"/>
      <c r="G137" s="137"/>
      <c r="H137" s="107"/>
      <c r="I137" s="108"/>
      <c r="J137" s="109"/>
      <c r="K137" s="110"/>
      <c r="L137" s="111"/>
      <c r="M137" s="111"/>
      <c r="N137" s="111"/>
      <c r="O137" s="134">
        <v>5</v>
      </c>
      <c r="P137" s="111" t="s">
        <v>127</v>
      </c>
      <c r="Q137" s="207"/>
      <c r="R137" s="107">
        <f>O137*3430000</f>
        <v>17150000</v>
      </c>
      <c r="S137" s="85">
        <f t="shared" si="77"/>
        <v>0.7659043499347753</v>
      </c>
      <c r="T137" s="99"/>
      <c r="U137" s="87"/>
      <c r="V137" s="87"/>
      <c r="W137" s="87"/>
      <c r="X137" s="87"/>
      <c r="Y137" s="88">
        <f>800000+800000+550000+261000+800000+260000+220000</f>
        <v>3691000</v>
      </c>
      <c r="Z137" s="99">
        <f t="shared" si="78"/>
        <v>21.521865889212826</v>
      </c>
      <c r="AA137" s="100">
        <f t="shared" si="82"/>
        <v>1.5372761349437731</v>
      </c>
      <c r="AB137" s="99">
        <f t="shared" si="80"/>
        <v>1.1774064788043546E-2</v>
      </c>
      <c r="AC137" s="88"/>
      <c r="AD137" s="88">
        <f t="shared" si="81"/>
        <v>13459000</v>
      </c>
      <c r="AE137" s="114"/>
    </row>
    <row r="138" spans="1:31" ht="12.95" customHeight="1" x14ac:dyDescent="0.35">
      <c r="A138" s="135"/>
      <c r="B138" s="223"/>
      <c r="C138" s="111"/>
      <c r="D138" s="111"/>
      <c r="E138" s="111"/>
      <c r="F138" s="111"/>
      <c r="G138" s="137"/>
      <c r="H138" s="107"/>
      <c r="I138" s="108"/>
      <c r="J138" s="109"/>
      <c r="K138" s="110"/>
      <c r="L138" s="111"/>
      <c r="M138" s="111"/>
      <c r="N138" s="111"/>
      <c r="O138" s="134"/>
      <c r="P138" s="111"/>
      <c r="Q138" s="207"/>
      <c r="R138" s="203"/>
      <c r="S138" s="113"/>
      <c r="T138" s="195"/>
      <c r="U138" s="198"/>
      <c r="V138" s="198"/>
      <c r="W138" s="198"/>
      <c r="X138" s="198"/>
      <c r="Y138" s="116"/>
      <c r="Z138" s="195"/>
      <c r="AA138" s="202"/>
      <c r="AB138" s="197"/>
      <c r="AC138" s="116"/>
      <c r="AD138" s="116"/>
      <c r="AE138" s="114"/>
    </row>
    <row r="139" spans="1:31" ht="12.95" customHeight="1" x14ac:dyDescent="0.35">
      <c r="A139" s="103" t="s">
        <v>139</v>
      </c>
      <c r="B139" s="508" t="s">
        <v>257</v>
      </c>
      <c r="C139" s="509"/>
      <c r="D139" s="509"/>
      <c r="E139" s="509"/>
      <c r="F139" s="509"/>
      <c r="G139" s="510"/>
      <c r="H139" s="107"/>
      <c r="I139" s="108"/>
      <c r="J139" s="109"/>
      <c r="K139" s="110"/>
      <c r="L139" s="111"/>
      <c r="M139" s="111"/>
      <c r="N139" s="111"/>
      <c r="O139" s="112"/>
      <c r="P139" s="105"/>
      <c r="Q139" s="212"/>
      <c r="R139" s="213"/>
      <c r="S139" s="113"/>
      <c r="T139" s="195"/>
      <c r="U139" s="198"/>
      <c r="V139" s="198"/>
      <c r="W139" s="198"/>
      <c r="X139" s="198"/>
      <c r="Y139" s="116"/>
      <c r="Z139" s="195"/>
      <c r="AA139" s="202"/>
      <c r="AB139" s="197"/>
      <c r="AC139" s="116"/>
      <c r="AD139" s="116"/>
      <c r="AE139" s="114"/>
    </row>
    <row r="140" spans="1:31" s="28" customFormat="1" ht="12.95" customHeight="1" x14ac:dyDescent="0.35">
      <c r="A140" s="355">
        <v>522111</v>
      </c>
      <c r="B140" s="356" t="s">
        <v>258</v>
      </c>
      <c r="C140" s="357"/>
      <c r="D140" s="357"/>
      <c r="E140" s="357"/>
      <c r="F140" s="357"/>
      <c r="G140" s="358"/>
      <c r="H140" s="359"/>
      <c r="I140" s="360"/>
      <c r="J140" s="361"/>
      <c r="K140" s="362"/>
      <c r="L140" s="357"/>
      <c r="M140" s="357"/>
      <c r="N140" s="357"/>
      <c r="O140" s="363"/>
      <c r="P140" s="357"/>
      <c r="Q140" s="364"/>
      <c r="R140" s="361"/>
      <c r="S140" s="365"/>
      <c r="T140" s="366"/>
      <c r="U140" s="367"/>
      <c r="V140" s="367"/>
      <c r="W140" s="367"/>
      <c r="X140" s="367"/>
      <c r="Y140" s="368"/>
      <c r="Z140" s="366"/>
      <c r="AA140" s="369"/>
      <c r="AB140" s="370"/>
      <c r="AC140" s="368"/>
      <c r="AD140" s="368"/>
      <c r="AE140" s="371"/>
    </row>
    <row r="141" spans="1:31" ht="12.95" customHeight="1" x14ac:dyDescent="0.35">
      <c r="A141" s="372"/>
      <c r="B141" s="373" t="s">
        <v>82</v>
      </c>
      <c r="C141" s="374" t="s">
        <v>140</v>
      </c>
      <c r="D141" s="374"/>
      <c r="E141" s="374"/>
      <c r="F141" s="374"/>
      <c r="G141" s="375"/>
      <c r="H141" s="376"/>
      <c r="I141" s="377"/>
      <c r="J141" s="378"/>
      <c r="K141" s="379"/>
      <c r="L141" s="374"/>
      <c r="M141" s="374"/>
      <c r="N141" s="374"/>
      <c r="O141" s="380">
        <v>12</v>
      </c>
      <c r="P141" s="374" t="s">
        <v>88</v>
      </c>
      <c r="Q141" s="381"/>
      <c r="R141" s="376">
        <f>O141*6500000</f>
        <v>78000000</v>
      </c>
      <c r="S141" s="365">
        <f t="shared" ref="S141" si="83">+R141/$R$184*100</f>
        <v>3.4834133699657417</v>
      </c>
      <c r="T141" s="382"/>
      <c r="U141" s="383"/>
      <c r="V141" s="383"/>
      <c r="W141" s="383"/>
      <c r="X141" s="383"/>
      <c r="Y141" s="384">
        <v>16584810</v>
      </c>
      <c r="Z141" s="382">
        <f t="shared" ref="Z141" si="84">+Y141/R141*100</f>
        <v>21.262576923076924</v>
      </c>
      <c r="AA141" s="385">
        <f t="shared" ref="AA141" si="85">1/14*Z141</f>
        <v>1.5187554945054944</v>
      </c>
      <c r="AB141" s="382">
        <f t="shared" ref="AB141" si="86">AA141*S141/100</f>
        <v>5.2904531952693706E-2</v>
      </c>
      <c r="AC141" s="384"/>
      <c r="AD141" s="384">
        <f t="shared" ref="AD141" si="87">+R141-Y141</f>
        <v>61415190</v>
      </c>
      <c r="AE141" s="386"/>
    </row>
    <row r="142" spans="1:31" ht="12.95" customHeight="1" x14ac:dyDescent="0.35">
      <c r="A142" s="355">
        <v>522112</v>
      </c>
      <c r="B142" s="356" t="s">
        <v>259</v>
      </c>
      <c r="C142" s="357"/>
      <c r="D142" s="357"/>
      <c r="E142" s="357"/>
      <c r="F142" s="357"/>
      <c r="G142" s="375"/>
      <c r="H142" s="376"/>
      <c r="I142" s="377"/>
      <c r="J142" s="378"/>
      <c r="K142" s="379"/>
      <c r="L142" s="374"/>
      <c r="M142" s="374"/>
      <c r="N142" s="374"/>
      <c r="O142" s="380"/>
      <c r="P142" s="374"/>
      <c r="Q142" s="381"/>
      <c r="R142" s="376"/>
      <c r="S142" s="365"/>
      <c r="T142" s="382"/>
      <c r="U142" s="387"/>
      <c r="V142" s="387"/>
      <c r="W142" s="387"/>
      <c r="X142" s="387"/>
      <c r="Y142" s="384"/>
      <c r="Z142" s="382"/>
      <c r="AA142" s="385"/>
      <c r="AB142" s="388"/>
      <c r="AC142" s="384"/>
      <c r="AD142" s="384"/>
      <c r="AE142" s="386"/>
    </row>
    <row r="143" spans="1:31" ht="12.95" customHeight="1" x14ac:dyDescent="0.35">
      <c r="A143" s="372"/>
      <c r="B143" s="373" t="s">
        <v>82</v>
      </c>
      <c r="C143" s="374" t="s">
        <v>141</v>
      </c>
      <c r="D143" s="374"/>
      <c r="E143" s="374"/>
      <c r="F143" s="374"/>
      <c r="G143" s="375"/>
      <c r="H143" s="376"/>
      <c r="I143" s="377"/>
      <c r="J143" s="378"/>
      <c r="K143" s="379"/>
      <c r="L143" s="374"/>
      <c r="M143" s="374"/>
      <c r="N143" s="374"/>
      <c r="O143" s="380">
        <v>12</v>
      </c>
      <c r="P143" s="374" t="s">
        <v>88</v>
      </c>
      <c r="Q143" s="381"/>
      <c r="R143" s="376">
        <f>O143*4200000</f>
        <v>50400000</v>
      </c>
      <c r="S143" s="365">
        <f t="shared" ref="S143" si="88">+R143/$R$184*100</f>
        <v>2.250820946747095</v>
      </c>
      <c r="T143" s="382"/>
      <c r="U143" s="383"/>
      <c r="V143" s="383"/>
      <c r="W143" s="383"/>
      <c r="X143" s="383"/>
      <c r="Y143" s="384">
        <v>5497405</v>
      </c>
      <c r="Z143" s="382">
        <f t="shared" ref="Z143" si="89">+Y143/R143*100</f>
        <v>10.907549603174603</v>
      </c>
      <c r="AA143" s="385">
        <f t="shared" ref="AA143" si="90">1/14*Z143</f>
        <v>0.77911068594104305</v>
      </c>
      <c r="AB143" s="382">
        <f t="shared" ref="AB143" si="91">AA143*S143/100</f>
        <v>1.753638651750597E-2</v>
      </c>
      <c r="AC143" s="384"/>
      <c r="AD143" s="384">
        <f t="shared" ref="AD143" si="92">+R143-Y143</f>
        <v>44902595</v>
      </c>
      <c r="AE143" s="386"/>
    </row>
    <row r="144" spans="1:31" ht="12.95" customHeight="1" x14ac:dyDescent="0.35">
      <c r="A144" s="355">
        <v>522113</v>
      </c>
      <c r="B144" s="356" t="s">
        <v>260</v>
      </c>
      <c r="C144" s="357"/>
      <c r="D144" s="357"/>
      <c r="E144" s="357"/>
      <c r="F144" s="357"/>
      <c r="G144" s="375"/>
      <c r="H144" s="376"/>
      <c r="I144" s="377"/>
      <c r="J144" s="378"/>
      <c r="K144" s="379"/>
      <c r="L144" s="374"/>
      <c r="M144" s="374"/>
      <c r="N144" s="374"/>
      <c r="O144" s="380"/>
      <c r="P144" s="374"/>
      <c r="Q144" s="381"/>
      <c r="R144" s="376"/>
      <c r="S144" s="365"/>
      <c r="T144" s="382"/>
      <c r="U144" s="387"/>
      <c r="V144" s="387"/>
      <c r="W144" s="387"/>
      <c r="X144" s="387"/>
      <c r="Y144" s="384"/>
      <c r="Z144" s="382"/>
      <c r="AA144" s="385"/>
      <c r="AB144" s="388"/>
      <c r="AC144" s="384"/>
      <c r="AD144" s="384"/>
      <c r="AE144" s="386"/>
    </row>
    <row r="145" spans="1:35" ht="12.95" customHeight="1" x14ac:dyDescent="0.35">
      <c r="A145" s="372"/>
      <c r="B145" s="373" t="s">
        <v>82</v>
      </c>
      <c r="C145" s="374" t="s">
        <v>142</v>
      </c>
      <c r="D145" s="374"/>
      <c r="E145" s="374"/>
      <c r="F145" s="374"/>
      <c r="G145" s="375"/>
      <c r="H145" s="376"/>
      <c r="I145" s="377"/>
      <c r="J145" s="378"/>
      <c r="K145" s="379"/>
      <c r="L145" s="374"/>
      <c r="M145" s="374"/>
      <c r="N145" s="374"/>
      <c r="O145" s="380">
        <v>12</v>
      </c>
      <c r="P145" s="374" t="s">
        <v>88</v>
      </c>
      <c r="Q145" s="381"/>
      <c r="R145" s="376">
        <f>O145*500000</f>
        <v>6000000</v>
      </c>
      <c r="S145" s="365">
        <f t="shared" ref="S145" si="93">+R145/$R$184*100</f>
        <v>0.26795487461274942</v>
      </c>
      <c r="T145" s="382"/>
      <c r="U145" s="383"/>
      <c r="V145" s="383"/>
      <c r="W145" s="383"/>
      <c r="X145" s="383"/>
      <c r="Y145" s="384">
        <v>760165</v>
      </c>
      <c r="Z145" s="382">
        <f t="shared" ref="Z145" si="94">+Y145/R145*100</f>
        <v>12.669416666666667</v>
      </c>
      <c r="AA145" s="385">
        <f t="shared" ref="AA145" si="95">1/14*Z145</f>
        <v>0.90495833333333331</v>
      </c>
      <c r="AB145" s="382">
        <f t="shared" ref="AB145" si="96">AA145*S145/100</f>
        <v>2.4248799673809601E-3</v>
      </c>
      <c r="AC145" s="384"/>
      <c r="AD145" s="384">
        <f t="shared" ref="AD145" si="97">+R145-Y145</f>
        <v>5239835</v>
      </c>
      <c r="AE145" s="386"/>
    </row>
    <row r="146" spans="1:35" ht="12.95" customHeight="1" x14ac:dyDescent="0.35">
      <c r="A146" s="135"/>
      <c r="B146" s="223"/>
      <c r="C146" s="111"/>
      <c r="D146" s="111"/>
      <c r="E146" s="111"/>
      <c r="F146" s="111"/>
      <c r="G146" s="137"/>
      <c r="H146" s="107"/>
      <c r="I146" s="108"/>
      <c r="J146" s="109"/>
      <c r="K146" s="110"/>
      <c r="L146" s="111"/>
      <c r="M146" s="111"/>
      <c r="N146" s="111"/>
      <c r="O146" s="134"/>
      <c r="P146" s="111"/>
      <c r="Q146" s="207"/>
      <c r="R146" s="107"/>
      <c r="S146" s="113"/>
      <c r="T146" s="195"/>
      <c r="U146" s="196"/>
      <c r="V146" s="196"/>
      <c r="W146" s="196"/>
      <c r="X146" s="196"/>
      <c r="Y146" s="116"/>
      <c r="Z146" s="195"/>
      <c r="AA146" s="100"/>
      <c r="AB146" s="197"/>
      <c r="AC146" s="116"/>
      <c r="AD146" s="116"/>
      <c r="AE146" s="114"/>
    </row>
    <row r="147" spans="1:35" ht="12.95" customHeight="1" x14ac:dyDescent="0.35">
      <c r="A147" s="103" t="s">
        <v>143</v>
      </c>
      <c r="B147" s="459" t="s">
        <v>261</v>
      </c>
      <c r="C147" s="460"/>
      <c r="D147" s="460"/>
      <c r="E147" s="460"/>
      <c r="F147" s="460"/>
      <c r="G147" s="461"/>
      <c r="H147" s="107"/>
      <c r="I147" s="108"/>
      <c r="J147" s="109"/>
      <c r="K147" s="110"/>
      <c r="L147" s="111"/>
      <c r="M147" s="111"/>
      <c r="N147" s="111"/>
      <c r="O147" s="134"/>
      <c r="P147" s="137"/>
      <c r="Q147" s="207"/>
      <c r="R147" s="213"/>
      <c r="S147" s="113"/>
      <c r="T147" s="195"/>
      <c r="U147" s="198"/>
      <c r="V147" s="198"/>
      <c r="W147" s="198"/>
      <c r="X147" s="198"/>
      <c r="Y147" s="116"/>
      <c r="Z147" s="195"/>
      <c r="AA147" s="100"/>
      <c r="AB147" s="197"/>
      <c r="AC147" s="116"/>
      <c r="AD147" s="116"/>
      <c r="AE147" s="114"/>
    </row>
    <row r="148" spans="1:35" s="28" customFormat="1" ht="12.95" customHeight="1" x14ac:dyDescent="0.35">
      <c r="A148" s="210">
        <v>521111</v>
      </c>
      <c r="B148" s="463" t="s">
        <v>81</v>
      </c>
      <c r="C148" s="105"/>
      <c r="D148" s="105"/>
      <c r="E148" s="105"/>
      <c r="F148" s="105"/>
      <c r="G148" s="106"/>
      <c r="H148" s="188"/>
      <c r="I148" s="171"/>
      <c r="J148" s="170"/>
      <c r="K148" s="189"/>
      <c r="L148" s="105"/>
      <c r="M148" s="105"/>
      <c r="N148" s="105"/>
      <c r="O148" s="227"/>
      <c r="P148" s="141"/>
      <c r="Q148" s="228"/>
      <c r="R148" s="229"/>
      <c r="S148" s="113"/>
      <c r="T148" s="190"/>
      <c r="U148" s="191"/>
      <c r="V148" s="191"/>
      <c r="W148" s="191"/>
      <c r="X148" s="191"/>
      <c r="Y148" s="192"/>
      <c r="Z148" s="190"/>
      <c r="AA148" s="178"/>
      <c r="AB148" s="193"/>
      <c r="AC148" s="192"/>
      <c r="AD148" s="192"/>
      <c r="AE148" s="179"/>
    </row>
    <row r="149" spans="1:35" ht="12.95" customHeight="1" x14ac:dyDescent="0.35">
      <c r="A149" s="199"/>
      <c r="B149" s="230" t="s">
        <v>82</v>
      </c>
      <c r="C149" s="217" t="s">
        <v>144</v>
      </c>
      <c r="D149" s="217"/>
      <c r="E149" s="217"/>
      <c r="F149" s="217"/>
      <c r="G149" s="218"/>
      <c r="H149" s="107"/>
      <c r="I149" s="108"/>
      <c r="J149" s="109"/>
      <c r="K149" s="110"/>
      <c r="L149" s="111"/>
      <c r="M149" s="111"/>
      <c r="N149" s="111"/>
      <c r="O149" s="134">
        <v>39</v>
      </c>
      <c r="P149" s="111" t="s">
        <v>145</v>
      </c>
      <c r="Q149" s="207"/>
      <c r="R149" s="107">
        <f>O149*1800000</f>
        <v>70200000</v>
      </c>
      <c r="S149" s="85">
        <f t="shared" ref="S149:S154" si="98">+R149/$R$184*100</f>
        <v>3.1350720329691675</v>
      </c>
      <c r="T149" s="99"/>
      <c r="U149" s="87"/>
      <c r="V149" s="87"/>
      <c r="W149" s="87"/>
      <c r="X149" s="87"/>
      <c r="Y149" s="88">
        <f>5400000*4</f>
        <v>21600000</v>
      </c>
      <c r="Z149" s="99">
        <f t="shared" ref="Z149:Z154" si="99">+Y149/R149*100</f>
        <v>30.76923076923077</v>
      </c>
      <c r="AA149" s="100">
        <f t="shared" ref="AA149:AA153" si="100">1/14*Z149</f>
        <v>2.1978021978021975</v>
      </c>
      <c r="AB149" s="99">
        <f t="shared" ref="AB149:AB154" si="101">AA149*S149/100</f>
        <v>6.8902682043278402E-2</v>
      </c>
      <c r="AC149" s="88"/>
      <c r="AD149" s="88">
        <f t="shared" ref="AD149:AD154" si="102">+R149-Y149</f>
        <v>48600000</v>
      </c>
      <c r="AE149" s="86"/>
    </row>
    <row r="150" spans="1:35" ht="12.95" customHeight="1" x14ac:dyDescent="0.35">
      <c r="A150" s="135"/>
      <c r="B150" s="215" t="s">
        <v>82</v>
      </c>
      <c r="C150" s="216" t="s">
        <v>146</v>
      </c>
      <c r="D150" s="216"/>
      <c r="E150" s="217"/>
      <c r="F150" s="217"/>
      <c r="G150" s="218"/>
      <c r="H150" s="107"/>
      <c r="I150" s="108"/>
      <c r="J150" s="109"/>
      <c r="K150" s="110"/>
      <c r="L150" s="111"/>
      <c r="M150" s="111"/>
      <c r="N150" s="111"/>
      <c r="O150" s="134">
        <v>228</v>
      </c>
      <c r="P150" s="111" t="s">
        <v>147</v>
      </c>
      <c r="Q150" s="207"/>
      <c r="R150" s="107">
        <f>O150*30000</f>
        <v>6840000</v>
      </c>
      <c r="S150" s="85">
        <f t="shared" si="98"/>
        <v>0.30546855705853432</v>
      </c>
      <c r="T150" s="99"/>
      <c r="U150" s="87"/>
      <c r="V150" s="87"/>
      <c r="W150" s="87"/>
      <c r="X150" s="87"/>
      <c r="Y150" s="88">
        <f>570000+570000+480000</f>
        <v>1620000</v>
      </c>
      <c r="Z150" s="99">
        <f t="shared" si="99"/>
        <v>23.684210526315788</v>
      </c>
      <c r="AA150" s="100">
        <f t="shared" si="100"/>
        <v>1.6917293233082704</v>
      </c>
      <c r="AB150" s="99">
        <f t="shared" si="101"/>
        <v>5.1677011532458806E-3</v>
      </c>
      <c r="AC150" s="88"/>
      <c r="AD150" s="88">
        <f t="shared" si="102"/>
        <v>5220000</v>
      </c>
      <c r="AE150" s="114"/>
    </row>
    <row r="151" spans="1:35" ht="12.95" customHeight="1" x14ac:dyDescent="0.35">
      <c r="A151" s="231"/>
      <c r="B151" s="194" t="s">
        <v>82</v>
      </c>
      <c r="C151" s="140" t="s">
        <v>148</v>
      </c>
      <c r="D151" s="140"/>
      <c r="E151" s="140"/>
      <c r="F151" s="140"/>
      <c r="G151" s="150"/>
      <c r="H151" s="107"/>
      <c r="I151" s="108"/>
      <c r="J151" s="109"/>
      <c r="K151" s="110"/>
      <c r="L151" s="111"/>
      <c r="M151" s="111"/>
      <c r="N151" s="111"/>
      <c r="O151" s="182">
        <v>22</v>
      </c>
      <c r="P151" s="140" t="s">
        <v>115</v>
      </c>
      <c r="Q151" s="183"/>
      <c r="R151" s="107">
        <f>O151*190000</f>
        <v>4180000</v>
      </c>
      <c r="S151" s="85">
        <f t="shared" si="98"/>
        <v>0.18667522931354874</v>
      </c>
      <c r="T151" s="99"/>
      <c r="U151" s="87"/>
      <c r="V151" s="87"/>
      <c r="W151" s="87"/>
      <c r="X151" s="87"/>
      <c r="Y151" s="88">
        <f>360000+180000+700000+600000+180000+180000</f>
        <v>2200000</v>
      </c>
      <c r="Z151" s="99">
        <f t="shared" si="99"/>
        <v>52.631578947368418</v>
      </c>
      <c r="AA151" s="100">
        <f t="shared" si="100"/>
        <v>3.7593984962406011</v>
      </c>
      <c r="AB151" s="99">
        <f t="shared" si="101"/>
        <v>7.0178657636672448E-3</v>
      </c>
      <c r="AC151" s="88"/>
      <c r="AD151" s="88">
        <f t="shared" si="102"/>
        <v>1980000</v>
      </c>
      <c r="AE151" s="114"/>
    </row>
    <row r="152" spans="1:35" ht="12.95" customHeight="1" x14ac:dyDescent="0.35">
      <c r="A152" s="231"/>
      <c r="B152" s="194" t="s">
        <v>82</v>
      </c>
      <c r="C152" s="140" t="s">
        <v>266</v>
      </c>
      <c r="D152" s="140"/>
      <c r="E152" s="140"/>
      <c r="F152" s="140"/>
      <c r="G152" s="150"/>
      <c r="H152" s="107"/>
      <c r="I152" s="108"/>
      <c r="J152" s="109"/>
      <c r="K152" s="110"/>
      <c r="L152" s="111"/>
      <c r="M152" s="111"/>
      <c r="N152" s="111"/>
      <c r="O152" s="182">
        <v>1</v>
      </c>
      <c r="P152" s="140" t="s">
        <v>111</v>
      </c>
      <c r="Q152" s="183"/>
      <c r="R152" s="107">
        <f>O152*9020000</f>
        <v>9020000</v>
      </c>
      <c r="S152" s="85">
        <f t="shared" si="98"/>
        <v>0.40282549483449992</v>
      </c>
      <c r="T152" s="99"/>
      <c r="U152" s="87"/>
      <c r="V152" s="87"/>
      <c r="W152" s="87"/>
      <c r="X152" s="87"/>
      <c r="Y152" s="88">
        <f>750000*4</f>
        <v>3000000</v>
      </c>
      <c r="Z152" s="99">
        <f t="shared" si="99"/>
        <v>33.259423503325941</v>
      </c>
      <c r="AA152" s="100">
        <f t="shared" si="100"/>
        <v>2.375673107380424</v>
      </c>
      <c r="AB152" s="99">
        <f t="shared" si="101"/>
        <v>9.5698169504553326E-3</v>
      </c>
      <c r="AC152" s="88"/>
      <c r="AD152" s="88">
        <f t="shared" si="102"/>
        <v>6020000</v>
      </c>
      <c r="AE152" s="114"/>
    </row>
    <row r="153" spans="1:35" ht="12.95" customHeight="1" x14ac:dyDescent="0.35">
      <c r="A153" s="199"/>
      <c r="B153" s="215" t="s">
        <v>82</v>
      </c>
      <c r="C153" s="217" t="s">
        <v>149</v>
      </c>
      <c r="D153" s="217"/>
      <c r="E153" s="217"/>
      <c r="F153" s="217"/>
      <c r="G153" s="218"/>
      <c r="H153" s="107"/>
      <c r="I153" s="108"/>
      <c r="J153" s="109"/>
      <c r="K153" s="110"/>
      <c r="L153" s="111"/>
      <c r="M153" s="111"/>
      <c r="N153" s="111"/>
      <c r="O153" s="134">
        <v>12</v>
      </c>
      <c r="P153" s="111" t="s">
        <v>88</v>
      </c>
      <c r="Q153" s="207"/>
      <c r="R153" s="203">
        <f>O153*2200000</f>
        <v>26400000</v>
      </c>
      <c r="S153" s="85">
        <f t="shared" si="98"/>
        <v>1.1790014482960973</v>
      </c>
      <c r="T153" s="99"/>
      <c r="U153" s="87"/>
      <c r="V153" s="87"/>
      <c r="W153" s="87"/>
      <c r="X153" s="87"/>
      <c r="Y153" s="88">
        <f>1023700*4</f>
        <v>4094800</v>
      </c>
      <c r="Z153" s="99">
        <f t="shared" si="99"/>
        <v>15.510606060606062</v>
      </c>
      <c r="AA153" s="100">
        <f t="shared" si="100"/>
        <v>1.1079004329004329</v>
      </c>
      <c r="AB153" s="99">
        <f t="shared" si="101"/>
        <v>1.3062162149574836E-2</v>
      </c>
      <c r="AC153" s="88"/>
      <c r="AD153" s="88">
        <f t="shared" si="102"/>
        <v>22305200</v>
      </c>
      <c r="AE153" s="114"/>
    </row>
    <row r="154" spans="1:35" ht="12.95" customHeight="1" x14ac:dyDescent="0.35">
      <c r="A154" s="199"/>
      <c r="B154" s="296" t="s">
        <v>82</v>
      </c>
      <c r="C154" s="297" t="s">
        <v>265</v>
      </c>
      <c r="D154" s="297"/>
      <c r="E154" s="297"/>
      <c r="F154" s="297"/>
      <c r="G154" s="298"/>
      <c r="H154" s="77"/>
      <c r="I154" s="78"/>
      <c r="J154" s="79"/>
      <c r="K154" s="80"/>
      <c r="L154" s="81"/>
      <c r="M154" s="81"/>
      <c r="N154" s="81"/>
      <c r="O154" s="185">
        <v>1</v>
      </c>
      <c r="P154" s="81" t="s">
        <v>83</v>
      </c>
      <c r="Q154" s="144"/>
      <c r="R154" s="77">
        <f>O154*3792000</f>
        <v>3792000</v>
      </c>
      <c r="S154" s="85">
        <f t="shared" si="98"/>
        <v>0.16934748075525763</v>
      </c>
      <c r="T154" s="99"/>
      <c r="U154" s="87"/>
      <c r="V154" s="87"/>
      <c r="W154" s="87"/>
      <c r="X154" s="87"/>
      <c r="Y154" s="88">
        <v>0</v>
      </c>
      <c r="Z154" s="99">
        <f t="shared" si="99"/>
        <v>0</v>
      </c>
      <c r="AA154" s="100">
        <f t="shared" ref="AA154" si="103">Z154</f>
        <v>0</v>
      </c>
      <c r="AB154" s="99">
        <f t="shared" si="101"/>
        <v>0</v>
      </c>
      <c r="AC154" s="88"/>
      <c r="AD154" s="88">
        <f t="shared" si="102"/>
        <v>3792000</v>
      </c>
      <c r="AE154" s="86"/>
      <c r="AF154" s="90"/>
      <c r="AG154" s="90"/>
      <c r="AH154" s="90"/>
      <c r="AI154" s="90"/>
    </row>
    <row r="155" spans="1:35" ht="12.95" customHeight="1" x14ac:dyDescent="0.35">
      <c r="A155" s="135"/>
      <c r="B155" s="94"/>
      <c r="C155" s="105"/>
      <c r="D155" s="105"/>
      <c r="E155" s="111"/>
      <c r="F155" s="111"/>
      <c r="G155" s="137"/>
      <c r="H155" s="107"/>
      <c r="I155" s="108"/>
      <c r="J155" s="109"/>
      <c r="K155" s="110"/>
      <c r="L155" s="111"/>
      <c r="M155" s="111"/>
      <c r="N155" s="111"/>
      <c r="O155" s="134"/>
      <c r="P155" s="111"/>
      <c r="Q155" s="135"/>
      <c r="R155" s="107"/>
      <c r="S155" s="113"/>
      <c r="T155" s="114"/>
      <c r="U155" s="115"/>
      <c r="V155" s="115"/>
      <c r="W155" s="115"/>
      <c r="X155" s="115"/>
      <c r="Y155" s="116"/>
      <c r="Z155" s="114"/>
      <c r="AA155" s="114"/>
      <c r="AB155" s="114"/>
      <c r="AC155" s="116"/>
      <c r="AD155" s="116"/>
      <c r="AE155" s="114"/>
    </row>
    <row r="156" spans="1:35" ht="12.95" customHeight="1" x14ac:dyDescent="0.35">
      <c r="A156" s="210">
        <v>521114</v>
      </c>
      <c r="B156" s="463" t="s">
        <v>150</v>
      </c>
      <c r="C156" s="105"/>
      <c r="D156" s="105"/>
      <c r="E156" s="105"/>
      <c r="F156" s="105"/>
      <c r="G156" s="106"/>
      <c r="H156" s="188"/>
      <c r="I156" s="171"/>
      <c r="J156" s="170"/>
      <c r="K156" s="189"/>
      <c r="L156" s="105"/>
      <c r="M156" s="105"/>
      <c r="N156" s="105"/>
      <c r="O156" s="227"/>
      <c r="P156" s="141"/>
      <c r="Q156" s="228"/>
      <c r="R156" s="229"/>
      <c r="S156" s="113"/>
      <c r="T156" s="190"/>
      <c r="U156" s="191"/>
      <c r="V156" s="191"/>
      <c r="W156" s="191"/>
      <c r="X156" s="191"/>
      <c r="Y156" s="192"/>
      <c r="Z156" s="190"/>
      <c r="AA156" s="178"/>
      <c r="AB156" s="193"/>
      <c r="AC156" s="192"/>
      <c r="AD156" s="192"/>
      <c r="AE156" s="114"/>
    </row>
    <row r="157" spans="1:35" ht="12.95" customHeight="1" x14ac:dyDescent="0.35">
      <c r="A157" s="199"/>
      <c r="B157" s="230" t="s">
        <v>82</v>
      </c>
      <c r="C157" s="217" t="s">
        <v>151</v>
      </c>
      <c r="D157" s="217"/>
      <c r="E157" s="217"/>
      <c r="F157" s="217"/>
      <c r="G157" s="218"/>
      <c r="H157" s="107"/>
      <c r="I157" s="108"/>
      <c r="J157" s="109"/>
      <c r="K157" s="110"/>
      <c r="L157" s="111"/>
      <c r="M157" s="111"/>
      <c r="N157" s="111"/>
      <c r="O157" s="134">
        <v>12</v>
      </c>
      <c r="P157" s="111" t="s">
        <v>88</v>
      </c>
      <c r="Q157" s="207"/>
      <c r="R157" s="107">
        <f>O157*715000</f>
        <v>8580000</v>
      </c>
      <c r="S157" s="85">
        <f t="shared" ref="S157" si="104">+R157/$R$184*100</f>
        <v>0.38317547069623159</v>
      </c>
      <c r="T157" s="99"/>
      <c r="U157" s="87"/>
      <c r="V157" s="87"/>
      <c r="W157" s="87"/>
      <c r="X157" s="87"/>
      <c r="Y157" s="88">
        <f>715000*4</f>
        <v>2860000</v>
      </c>
      <c r="Z157" s="99">
        <f t="shared" ref="Z157" si="105">+Y157/R157*100</f>
        <v>33.333333333333329</v>
      </c>
      <c r="AA157" s="100">
        <f t="shared" ref="AA157" si="106">1/14*Z157</f>
        <v>2.3809523809523805</v>
      </c>
      <c r="AB157" s="99">
        <f t="shared" ref="AB157" si="107">AA157*S157/100</f>
        <v>9.1232254927674176E-3</v>
      </c>
      <c r="AC157" s="88"/>
      <c r="AD157" s="88">
        <f t="shared" ref="AD157" si="108">+R157-Y157</f>
        <v>5720000</v>
      </c>
      <c r="AE157" s="86"/>
    </row>
    <row r="158" spans="1:35" ht="12.95" customHeight="1" x14ac:dyDescent="0.35">
      <c r="A158" s="199"/>
      <c r="B158" s="215"/>
      <c r="C158" s="217"/>
      <c r="D158" s="217"/>
      <c r="E158" s="217"/>
      <c r="F158" s="217"/>
      <c r="G158" s="218"/>
      <c r="H158" s="107"/>
      <c r="I158" s="108"/>
      <c r="J158" s="109"/>
      <c r="K158" s="110"/>
      <c r="L158" s="111"/>
      <c r="M158" s="111"/>
      <c r="N158" s="111"/>
      <c r="O158" s="134"/>
      <c r="P158" s="111"/>
      <c r="Q158" s="207"/>
      <c r="R158" s="107"/>
      <c r="S158" s="113"/>
      <c r="T158" s="195"/>
      <c r="U158" s="198"/>
      <c r="V158" s="198"/>
      <c r="W158" s="198"/>
      <c r="X158" s="198"/>
      <c r="Y158" s="116"/>
      <c r="Z158" s="195"/>
      <c r="AA158" s="100"/>
      <c r="AB158" s="197"/>
      <c r="AC158" s="116"/>
      <c r="AD158" s="116"/>
      <c r="AE158" s="114"/>
    </row>
    <row r="159" spans="1:35" s="28" customFormat="1" ht="12.95" customHeight="1" x14ac:dyDescent="0.35">
      <c r="A159" s="210">
        <v>521115</v>
      </c>
      <c r="B159" s="463" t="s">
        <v>152</v>
      </c>
      <c r="C159" s="232"/>
      <c r="D159" s="232"/>
      <c r="E159" s="232"/>
      <c r="F159" s="232"/>
      <c r="G159" s="233"/>
      <c r="H159" s="107"/>
      <c r="I159" s="108"/>
      <c r="J159" s="109"/>
      <c r="K159" s="110"/>
      <c r="L159" s="111"/>
      <c r="M159" s="111"/>
      <c r="N159" s="111"/>
      <c r="O159" s="182"/>
      <c r="P159" s="140"/>
      <c r="Q159" s="228"/>
      <c r="R159" s="201"/>
      <c r="S159" s="113"/>
      <c r="T159" s="190"/>
      <c r="U159" s="191"/>
      <c r="V159" s="191"/>
      <c r="W159" s="191"/>
      <c r="X159" s="191"/>
      <c r="Y159" s="192"/>
      <c r="Z159" s="190"/>
      <c r="AA159" s="178"/>
      <c r="AB159" s="193"/>
      <c r="AC159" s="192"/>
      <c r="AD159" s="192"/>
      <c r="AE159" s="179"/>
    </row>
    <row r="160" spans="1:35" ht="12.95" customHeight="1" x14ac:dyDescent="0.35">
      <c r="A160" s="199"/>
      <c r="B160" s="104"/>
      <c r="C160" s="217" t="s">
        <v>153</v>
      </c>
      <c r="D160" s="217"/>
      <c r="E160" s="217"/>
      <c r="F160" s="217"/>
      <c r="G160" s="218"/>
      <c r="H160" s="107"/>
      <c r="I160" s="108"/>
      <c r="J160" s="109"/>
      <c r="K160" s="110"/>
      <c r="L160" s="111"/>
      <c r="M160" s="111"/>
      <c r="N160" s="111"/>
      <c r="O160" s="134"/>
      <c r="P160" s="111"/>
      <c r="Q160" s="207"/>
      <c r="R160" s="188"/>
      <c r="S160" s="113"/>
      <c r="T160" s="195"/>
      <c r="U160" s="198"/>
      <c r="V160" s="198"/>
      <c r="W160" s="198"/>
      <c r="X160" s="198"/>
      <c r="Y160" s="116"/>
      <c r="Z160" s="195"/>
      <c r="AA160" s="202"/>
      <c r="AB160" s="197"/>
      <c r="AC160" s="116"/>
      <c r="AD160" s="116"/>
      <c r="AE160" s="114"/>
    </row>
    <row r="161" spans="1:31" ht="12.95" customHeight="1" x14ac:dyDescent="0.35">
      <c r="A161" s="199"/>
      <c r="B161" s="234" t="s">
        <v>82</v>
      </c>
      <c r="C161" s="217" t="s">
        <v>154</v>
      </c>
      <c r="D161" s="111"/>
      <c r="E161" s="217"/>
      <c r="F161" s="217"/>
      <c r="G161" s="217"/>
      <c r="H161" s="107"/>
      <c r="I161" s="108"/>
      <c r="J161" s="109"/>
      <c r="K161" s="110"/>
      <c r="L161" s="111"/>
      <c r="M161" s="111"/>
      <c r="N161" s="111"/>
      <c r="O161" s="134">
        <v>12</v>
      </c>
      <c r="P161" s="111" t="s">
        <v>145</v>
      </c>
      <c r="Q161" s="207"/>
      <c r="R161" s="107">
        <f>O161*900000</f>
        <v>10800000</v>
      </c>
      <c r="S161" s="85">
        <f t="shared" ref="S161:S166" si="109">+R161/$R$184*100</f>
        <v>0.48231877430294889</v>
      </c>
      <c r="T161" s="99"/>
      <c r="U161" s="87"/>
      <c r="V161" s="87"/>
      <c r="W161" s="87"/>
      <c r="X161" s="87"/>
      <c r="Y161" s="88">
        <f>R161/12*4</f>
        <v>3600000</v>
      </c>
      <c r="Z161" s="99">
        <f t="shared" ref="Z161:Z166" si="110">+Y161/R161*100</f>
        <v>33.333333333333329</v>
      </c>
      <c r="AA161" s="100">
        <f t="shared" ref="AA161:AA166" si="111">1/14*Z161</f>
        <v>2.3809523809523805</v>
      </c>
      <c r="AB161" s="99">
        <f t="shared" ref="AB161:AB166" si="112">AA161*S161/100</f>
        <v>1.1483780340546399E-2</v>
      </c>
      <c r="AC161" s="88"/>
      <c r="AD161" s="88">
        <f t="shared" ref="AD161:AD166" si="113">+R161-Y161</f>
        <v>7200000</v>
      </c>
      <c r="AE161" s="86"/>
    </row>
    <row r="162" spans="1:31" ht="12.95" customHeight="1" x14ac:dyDescent="0.35">
      <c r="A162" s="199"/>
      <c r="B162" s="234" t="s">
        <v>82</v>
      </c>
      <c r="C162" s="217" t="s">
        <v>155</v>
      </c>
      <c r="D162" s="111"/>
      <c r="E162" s="217"/>
      <c r="F162" s="217"/>
      <c r="G162" s="217"/>
      <c r="H162" s="107"/>
      <c r="I162" s="108"/>
      <c r="J162" s="109"/>
      <c r="K162" s="110"/>
      <c r="L162" s="111"/>
      <c r="M162" s="111"/>
      <c r="N162" s="111"/>
      <c r="O162" s="134">
        <v>12</v>
      </c>
      <c r="P162" s="111" t="s">
        <v>145</v>
      </c>
      <c r="Q162" s="207"/>
      <c r="R162" s="107">
        <f>O162*700000</f>
        <v>8400000</v>
      </c>
      <c r="S162" s="85">
        <f t="shared" si="109"/>
        <v>0.37513682445784913</v>
      </c>
      <c r="T162" s="99"/>
      <c r="U162" s="87"/>
      <c r="V162" s="87"/>
      <c r="W162" s="87"/>
      <c r="X162" s="87"/>
      <c r="Y162" s="88">
        <f>R162/12*4</f>
        <v>2800000</v>
      </c>
      <c r="Z162" s="99">
        <f t="shared" si="110"/>
        <v>33.333333333333329</v>
      </c>
      <c r="AA162" s="100">
        <f t="shared" si="111"/>
        <v>2.3809523809523805</v>
      </c>
      <c r="AB162" s="99">
        <f t="shared" si="112"/>
        <v>8.9318291537583104E-3</v>
      </c>
      <c r="AC162" s="88"/>
      <c r="AD162" s="88">
        <f t="shared" si="113"/>
        <v>5600000</v>
      </c>
      <c r="AE162" s="114"/>
    </row>
    <row r="163" spans="1:31" ht="12.95" customHeight="1" x14ac:dyDescent="0.35">
      <c r="A163" s="199"/>
      <c r="B163" s="234" t="s">
        <v>82</v>
      </c>
      <c r="C163" s="111" t="s">
        <v>156</v>
      </c>
      <c r="D163" s="111"/>
      <c r="E163" s="217"/>
      <c r="F163" s="217"/>
      <c r="G163" s="217"/>
      <c r="H163" s="107"/>
      <c r="I163" s="108"/>
      <c r="J163" s="109"/>
      <c r="K163" s="110"/>
      <c r="L163" s="111"/>
      <c r="M163" s="111"/>
      <c r="N163" s="111"/>
      <c r="O163" s="134">
        <v>3</v>
      </c>
      <c r="P163" s="111" t="s">
        <v>145</v>
      </c>
      <c r="Q163" s="207"/>
      <c r="R163" s="107">
        <f>O163*400000</f>
        <v>1200000</v>
      </c>
      <c r="S163" s="85">
        <f t="shared" si="109"/>
        <v>5.3590974922549883E-2</v>
      </c>
      <c r="T163" s="99"/>
      <c r="U163" s="87"/>
      <c r="V163" s="87"/>
      <c r="W163" s="87"/>
      <c r="X163" s="87"/>
      <c r="Y163" s="88">
        <f>R163/12*0</f>
        <v>0</v>
      </c>
      <c r="Z163" s="99">
        <f t="shared" si="110"/>
        <v>0</v>
      </c>
      <c r="AA163" s="100">
        <f t="shared" si="111"/>
        <v>0</v>
      </c>
      <c r="AB163" s="99">
        <f t="shared" si="112"/>
        <v>0</v>
      </c>
      <c r="AC163" s="88"/>
      <c r="AD163" s="88">
        <f t="shared" si="113"/>
        <v>1200000</v>
      </c>
      <c r="AE163" s="114"/>
    </row>
    <row r="164" spans="1:31" ht="12.95" customHeight="1" x14ac:dyDescent="0.35">
      <c r="A164" s="199"/>
      <c r="B164" s="234" t="s">
        <v>82</v>
      </c>
      <c r="C164" s="217" t="s">
        <v>157</v>
      </c>
      <c r="D164" s="111"/>
      <c r="E164" s="217"/>
      <c r="F164" s="217"/>
      <c r="G164" s="217"/>
      <c r="H164" s="107"/>
      <c r="I164" s="108"/>
      <c r="J164" s="109"/>
      <c r="K164" s="110"/>
      <c r="L164" s="111"/>
      <c r="M164" s="111"/>
      <c r="N164" s="111"/>
      <c r="O164" s="134">
        <v>12</v>
      </c>
      <c r="P164" s="111" t="s">
        <v>145</v>
      </c>
      <c r="Q164" s="207"/>
      <c r="R164" s="107">
        <f>O164*700000</f>
        <v>8400000</v>
      </c>
      <c r="S164" s="85">
        <f t="shared" si="109"/>
        <v>0.37513682445784913</v>
      </c>
      <c r="T164" s="99"/>
      <c r="U164" s="87"/>
      <c r="V164" s="87"/>
      <c r="W164" s="87"/>
      <c r="X164" s="87"/>
      <c r="Y164" s="88">
        <f>R164/12*5</f>
        <v>3500000</v>
      </c>
      <c r="Z164" s="99">
        <f t="shared" si="110"/>
        <v>41.666666666666671</v>
      </c>
      <c r="AA164" s="100">
        <f t="shared" si="111"/>
        <v>2.9761904761904763</v>
      </c>
      <c r="AB164" s="99">
        <f t="shared" si="112"/>
        <v>1.1164786442197892E-2</v>
      </c>
      <c r="AC164" s="88"/>
      <c r="AD164" s="88">
        <f t="shared" si="113"/>
        <v>4900000</v>
      </c>
      <c r="AE164" s="114"/>
    </row>
    <row r="165" spans="1:31" ht="12.95" customHeight="1" x14ac:dyDescent="0.35">
      <c r="A165" s="199"/>
      <c r="B165" s="234" t="s">
        <v>82</v>
      </c>
      <c r="C165" s="217" t="s">
        <v>158</v>
      </c>
      <c r="D165" s="111"/>
      <c r="E165" s="217"/>
      <c r="F165" s="217"/>
      <c r="G165" s="217"/>
      <c r="H165" s="107"/>
      <c r="I165" s="108"/>
      <c r="J165" s="109"/>
      <c r="K165" s="110"/>
      <c r="L165" s="111"/>
      <c r="M165" s="111"/>
      <c r="N165" s="111"/>
      <c r="O165" s="134">
        <v>12</v>
      </c>
      <c r="P165" s="111" t="s">
        <v>145</v>
      </c>
      <c r="Q165" s="207"/>
      <c r="R165" s="107">
        <f>O165*650000</f>
        <v>7800000</v>
      </c>
      <c r="S165" s="85">
        <f t="shared" si="109"/>
        <v>0.34834133699657421</v>
      </c>
      <c r="T165" s="99"/>
      <c r="U165" s="87"/>
      <c r="V165" s="87"/>
      <c r="W165" s="87"/>
      <c r="X165" s="87"/>
      <c r="Y165" s="88">
        <f>R165/12*4</f>
        <v>2600000</v>
      </c>
      <c r="Z165" s="99">
        <f t="shared" si="110"/>
        <v>33.333333333333329</v>
      </c>
      <c r="AA165" s="100">
        <f t="shared" si="111"/>
        <v>2.3809523809523805</v>
      </c>
      <c r="AB165" s="99">
        <f t="shared" si="112"/>
        <v>8.2938413570612882E-3</v>
      </c>
      <c r="AC165" s="88"/>
      <c r="AD165" s="88">
        <f t="shared" si="113"/>
        <v>5200000</v>
      </c>
      <c r="AE165" s="114"/>
    </row>
    <row r="166" spans="1:31" ht="12.95" customHeight="1" x14ac:dyDescent="0.35">
      <c r="A166" s="199"/>
      <c r="B166" s="234" t="s">
        <v>82</v>
      </c>
      <c r="C166" s="217" t="s">
        <v>159</v>
      </c>
      <c r="D166" s="111"/>
      <c r="E166" s="217"/>
      <c r="F166" s="217"/>
      <c r="G166" s="218"/>
      <c r="H166" s="107"/>
      <c r="I166" s="108"/>
      <c r="J166" s="109"/>
      <c r="K166" s="110"/>
      <c r="L166" s="111"/>
      <c r="M166" s="111"/>
      <c r="N166" s="111"/>
      <c r="O166" s="134">
        <v>24</v>
      </c>
      <c r="P166" s="111" t="s">
        <v>145</v>
      </c>
      <c r="Q166" s="207"/>
      <c r="R166" s="107">
        <f>O166*300000</f>
        <v>7200000</v>
      </c>
      <c r="S166" s="85">
        <f t="shared" si="109"/>
        <v>0.32154584953529924</v>
      </c>
      <c r="T166" s="99"/>
      <c r="U166" s="87"/>
      <c r="V166" s="87"/>
      <c r="W166" s="87"/>
      <c r="X166" s="87"/>
      <c r="Y166" s="88">
        <f>R166/12*4</f>
        <v>2400000</v>
      </c>
      <c r="Z166" s="99">
        <f t="shared" si="110"/>
        <v>33.333333333333329</v>
      </c>
      <c r="AA166" s="100">
        <f t="shared" si="111"/>
        <v>2.3809523809523805</v>
      </c>
      <c r="AB166" s="99">
        <f t="shared" si="112"/>
        <v>7.6558535603642661E-3</v>
      </c>
      <c r="AC166" s="88"/>
      <c r="AD166" s="88">
        <f t="shared" si="113"/>
        <v>4800000</v>
      </c>
      <c r="AE166" s="114"/>
    </row>
    <row r="167" spans="1:31" ht="12.95" customHeight="1" x14ac:dyDescent="0.35">
      <c r="A167" s="132"/>
      <c r="B167" s="104"/>
      <c r="C167" s="511" t="s">
        <v>160</v>
      </c>
      <c r="D167" s="511"/>
      <c r="E167" s="511"/>
      <c r="F167" s="511"/>
      <c r="G167" s="512"/>
      <c r="H167" s="107"/>
      <c r="I167" s="108"/>
      <c r="J167" s="109"/>
      <c r="K167" s="110"/>
      <c r="L167" s="111"/>
      <c r="M167" s="111"/>
      <c r="N167" s="111"/>
      <c r="O167" s="112"/>
      <c r="P167" s="105"/>
      <c r="Q167" s="212"/>
      <c r="R167" s="188"/>
      <c r="S167" s="113"/>
      <c r="T167" s="195"/>
      <c r="U167" s="198"/>
      <c r="V167" s="198"/>
      <c r="W167" s="198"/>
      <c r="X167" s="198"/>
      <c r="Y167" s="116"/>
      <c r="Z167" s="195"/>
      <c r="AA167" s="100"/>
      <c r="AB167" s="197"/>
      <c r="AC167" s="116"/>
      <c r="AD167" s="116"/>
      <c r="AE167" s="114"/>
    </row>
    <row r="168" spans="1:31" ht="12.95" customHeight="1" x14ac:dyDescent="0.35">
      <c r="A168" s="199"/>
      <c r="B168" s="234" t="s">
        <v>82</v>
      </c>
      <c r="C168" s="217" t="s">
        <v>161</v>
      </c>
      <c r="D168" s="111"/>
      <c r="E168" s="217"/>
      <c r="F168" s="217"/>
      <c r="G168" s="217"/>
      <c r="H168" s="107"/>
      <c r="I168" s="108"/>
      <c r="J168" s="109"/>
      <c r="K168" s="110"/>
      <c r="L168" s="111"/>
      <c r="M168" s="111"/>
      <c r="N168" s="111"/>
      <c r="O168" s="134">
        <v>12</v>
      </c>
      <c r="P168" s="111" t="s">
        <v>145</v>
      </c>
      <c r="Q168" s="207"/>
      <c r="R168" s="107">
        <f>O168*350000</f>
        <v>4200000</v>
      </c>
      <c r="S168" s="85">
        <f t="shared" ref="S168:S171" si="114">+R168/$R$184*100</f>
        <v>0.18756841222892456</v>
      </c>
      <c r="T168" s="99"/>
      <c r="U168" s="87"/>
      <c r="V168" s="87"/>
      <c r="W168" s="87"/>
      <c r="X168" s="87"/>
      <c r="Y168" s="88">
        <f>R168/12*4</f>
        <v>1400000</v>
      </c>
      <c r="Z168" s="99">
        <f t="shared" ref="Z168:Z171" si="115">+Y168/R168*100</f>
        <v>33.333333333333329</v>
      </c>
      <c r="AA168" s="100">
        <f t="shared" ref="AA168:AA170" si="116">1/14*Z168</f>
        <v>2.3809523809523805</v>
      </c>
      <c r="AB168" s="99">
        <f t="shared" ref="AB168:AB171" si="117">AA168*S168/100</f>
        <v>4.4659145768791552E-3</v>
      </c>
      <c r="AC168" s="88"/>
      <c r="AD168" s="88">
        <f t="shared" ref="AD168:AD171" si="118">+R168-Y168</f>
        <v>2800000</v>
      </c>
      <c r="AE168" s="86"/>
    </row>
    <row r="169" spans="1:31" ht="12.95" customHeight="1" x14ac:dyDescent="0.35">
      <c r="A169" s="199"/>
      <c r="B169" s="234" t="s">
        <v>82</v>
      </c>
      <c r="C169" s="217" t="s">
        <v>162</v>
      </c>
      <c r="D169" s="111"/>
      <c r="E169" s="217"/>
      <c r="F169" s="217"/>
      <c r="G169" s="217"/>
      <c r="H169" s="107"/>
      <c r="I169" s="108"/>
      <c r="J169" s="109"/>
      <c r="K169" s="110"/>
      <c r="L169" s="111"/>
      <c r="M169" s="111"/>
      <c r="N169" s="111"/>
      <c r="O169" s="134">
        <v>12</v>
      </c>
      <c r="P169" s="111" t="s">
        <v>145</v>
      </c>
      <c r="Q169" s="207"/>
      <c r="R169" s="107">
        <f>O169*300000</f>
        <v>3600000</v>
      </c>
      <c r="S169" s="85">
        <f t="shared" si="114"/>
        <v>0.16077292476764962</v>
      </c>
      <c r="T169" s="99"/>
      <c r="U169" s="87"/>
      <c r="V169" s="87"/>
      <c r="W169" s="87"/>
      <c r="X169" s="87"/>
      <c r="Y169" s="88">
        <f>R169/12*4</f>
        <v>1200000</v>
      </c>
      <c r="Z169" s="99">
        <f t="shared" si="115"/>
        <v>33.333333333333329</v>
      </c>
      <c r="AA169" s="100">
        <f t="shared" si="116"/>
        <v>2.3809523809523805</v>
      </c>
      <c r="AB169" s="99">
        <f t="shared" si="117"/>
        <v>3.827926780182133E-3</v>
      </c>
      <c r="AC169" s="88"/>
      <c r="AD169" s="88">
        <f t="shared" si="118"/>
        <v>2400000</v>
      </c>
      <c r="AE169" s="114"/>
    </row>
    <row r="170" spans="1:31" ht="12.95" customHeight="1" x14ac:dyDescent="0.35">
      <c r="A170" s="199"/>
      <c r="B170" s="234" t="s">
        <v>82</v>
      </c>
      <c r="C170" s="217" t="s">
        <v>163</v>
      </c>
      <c r="D170" s="111"/>
      <c r="E170" s="217"/>
      <c r="F170" s="217"/>
      <c r="G170" s="217"/>
      <c r="H170" s="107"/>
      <c r="I170" s="108"/>
      <c r="J170" s="109"/>
      <c r="K170" s="110"/>
      <c r="L170" s="111"/>
      <c r="M170" s="111"/>
      <c r="N170" s="111"/>
      <c r="O170" s="134">
        <v>12</v>
      </c>
      <c r="P170" s="111" t="s">
        <v>145</v>
      </c>
      <c r="Q170" s="207"/>
      <c r="R170" s="107">
        <f>O170*250000</f>
        <v>3000000</v>
      </c>
      <c r="S170" s="85">
        <f t="shared" si="114"/>
        <v>0.13397743730637471</v>
      </c>
      <c r="T170" s="99"/>
      <c r="U170" s="87"/>
      <c r="V170" s="87"/>
      <c r="W170" s="87"/>
      <c r="X170" s="87"/>
      <c r="Y170" s="88">
        <f>R170/12*4</f>
        <v>1000000</v>
      </c>
      <c r="Z170" s="99">
        <f t="shared" si="115"/>
        <v>33.333333333333329</v>
      </c>
      <c r="AA170" s="100">
        <f t="shared" si="116"/>
        <v>2.3809523809523805</v>
      </c>
      <c r="AB170" s="99">
        <f t="shared" si="117"/>
        <v>3.1899389834851117E-3</v>
      </c>
      <c r="AC170" s="88"/>
      <c r="AD170" s="88">
        <f t="shared" si="118"/>
        <v>2000000</v>
      </c>
      <c r="AE170" s="114"/>
    </row>
    <row r="171" spans="1:31" ht="12.95" customHeight="1" x14ac:dyDescent="0.35">
      <c r="A171" s="199"/>
      <c r="B171" s="234" t="s">
        <v>82</v>
      </c>
      <c r="C171" s="217" t="s">
        <v>164</v>
      </c>
      <c r="D171" s="111"/>
      <c r="E171" s="217"/>
      <c r="F171" s="217"/>
      <c r="G171" s="217"/>
      <c r="H171" s="107"/>
      <c r="I171" s="108"/>
      <c r="J171" s="109"/>
      <c r="K171" s="110"/>
      <c r="L171" s="111"/>
      <c r="M171" s="111"/>
      <c r="N171" s="111"/>
      <c r="O171" s="134">
        <v>48</v>
      </c>
      <c r="P171" s="111" t="s">
        <v>145</v>
      </c>
      <c r="Q171" s="207"/>
      <c r="R171" s="107">
        <f>O171*200000</f>
        <v>9600000</v>
      </c>
      <c r="S171" s="85">
        <f t="shared" si="114"/>
        <v>0.42872779938039907</v>
      </c>
      <c r="T171" s="99"/>
      <c r="U171" s="87"/>
      <c r="V171" s="87"/>
      <c r="W171" s="87"/>
      <c r="X171" s="87"/>
      <c r="Y171" s="88">
        <f>R171/12*4</f>
        <v>3200000</v>
      </c>
      <c r="Z171" s="99">
        <f t="shared" si="115"/>
        <v>33.333333333333329</v>
      </c>
      <c r="AA171" s="100">
        <f>1/14*Z171</f>
        <v>2.3809523809523805</v>
      </c>
      <c r="AB171" s="99">
        <f t="shared" si="117"/>
        <v>1.0207804747152356E-2</v>
      </c>
      <c r="AC171" s="88"/>
      <c r="AD171" s="88">
        <f t="shared" si="118"/>
        <v>6400000</v>
      </c>
      <c r="AE171" s="114"/>
    </row>
    <row r="172" spans="1:31" ht="12.95" customHeight="1" x14ac:dyDescent="0.35">
      <c r="A172" s="199"/>
      <c r="B172" s="234"/>
      <c r="C172" s="217"/>
      <c r="D172" s="111"/>
      <c r="E172" s="217"/>
      <c r="F172" s="217"/>
      <c r="G172" s="217"/>
      <c r="H172" s="107"/>
      <c r="I172" s="108"/>
      <c r="J172" s="109"/>
      <c r="K172" s="110"/>
      <c r="L172" s="111"/>
      <c r="M172" s="111"/>
      <c r="N172" s="111"/>
      <c r="O172" s="134"/>
      <c r="P172" s="111"/>
      <c r="Q172" s="207"/>
      <c r="R172" s="107"/>
      <c r="S172" s="113"/>
      <c r="T172" s="195"/>
      <c r="U172" s="196"/>
      <c r="V172" s="196"/>
      <c r="W172" s="196"/>
      <c r="X172" s="196"/>
      <c r="Y172" s="116"/>
      <c r="Z172" s="195"/>
      <c r="AA172" s="100"/>
      <c r="AB172" s="197"/>
      <c r="AC172" s="116"/>
      <c r="AD172" s="116"/>
      <c r="AE172" s="114"/>
    </row>
    <row r="173" spans="1:31" ht="12.95" customHeight="1" x14ac:dyDescent="0.35">
      <c r="A173" s="219">
        <v>521219</v>
      </c>
      <c r="B173" s="211" t="s">
        <v>165</v>
      </c>
      <c r="C173" s="105"/>
      <c r="D173" s="105"/>
      <c r="E173" s="105"/>
      <c r="F173" s="105"/>
      <c r="G173" s="106"/>
      <c r="H173" s="188"/>
      <c r="I173" s="171"/>
      <c r="J173" s="170"/>
      <c r="K173" s="189"/>
      <c r="L173" s="105"/>
      <c r="M173" s="105"/>
      <c r="N173" s="105"/>
      <c r="O173" s="112"/>
      <c r="P173" s="105"/>
      <c r="Q173" s="212"/>
      <c r="R173" s="188"/>
      <c r="S173" s="113"/>
      <c r="T173" s="190"/>
      <c r="U173" s="191"/>
      <c r="V173" s="191"/>
      <c r="W173" s="191"/>
      <c r="X173" s="191"/>
      <c r="Y173" s="192"/>
      <c r="Z173" s="190"/>
      <c r="AA173" s="100"/>
      <c r="AB173" s="193"/>
      <c r="AC173" s="192"/>
      <c r="AD173" s="192"/>
      <c r="AE173" s="179"/>
    </row>
    <row r="174" spans="1:31" ht="12.95" customHeight="1" x14ac:dyDescent="0.35">
      <c r="A174" s="199"/>
      <c r="B174" s="299" t="s">
        <v>82</v>
      </c>
      <c r="C174" s="300" t="s">
        <v>166</v>
      </c>
      <c r="D174" s="81"/>
      <c r="E174" s="81"/>
      <c r="F174" s="81"/>
      <c r="G174" s="289"/>
      <c r="H174" s="77"/>
      <c r="I174" s="78"/>
      <c r="J174" s="79"/>
      <c r="K174" s="80"/>
      <c r="L174" s="81"/>
      <c r="M174" s="81"/>
      <c r="N174" s="81"/>
      <c r="O174" s="185">
        <v>1</v>
      </c>
      <c r="P174" s="81" t="s">
        <v>83</v>
      </c>
      <c r="Q174" s="144"/>
      <c r="R174" s="77">
        <f>O174*4500000</f>
        <v>4500000</v>
      </c>
      <c r="S174" s="85">
        <f t="shared" ref="S174:S175" si="119">+R174/$R$184*100</f>
        <v>0.20096615595956205</v>
      </c>
      <c r="T174" s="99"/>
      <c r="U174" s="87"/>
      <c r="V174" s="87"/>
      <c r="W174" s="87"/>
      <c r="X174" s="87"/>
      <c r="Y174" s="88">
        <v>0</v>
      </c>
      <c r="Z174" s="99">
        <f t="shared" ref="Z174:Z175" si="120">+Y174/R174*100</f>
        <v>0</v>
      </c>
      <c r="AA174" s="100">
        <f t="shared" ref="AA174:AA175" si="121">Z174</f>
        <v>0</v>
      </c>
      <c r="AB174" s="99">
        <f t="shared" ref="AB174:AB175" si="122">AA174*S174/100</f>
        <v>0</v>
      </c>
      <c r="AC174" s="88"/>
      <c r="AD174" s="88">
        <f t="shared" ref="AD174:AD175" si="123">+R174-Y174</f>
        <v>4500000</v>
      </c>
      <c r="AE174" s="86"/>
    </row>
    <row r="175" spans="1:31" ht="12.95" customHeight="1" x14ac:dyDescent="0.35">
      <c r="A175" s="199"/>
      <c r="B175" s="235" t="s">
        <v>82</v>
      </c>
      <c r="C175" s="216" t="s">
        <v>167</v>
      </c>
      <c r="D175" s="111"/>
      <c r="E175" s="111"/>
      <c r="F175" s="111"/>
      <c r="G175" s="137"/>
      <c r="H175" s="107"/>
      <c r="I175" s="108"/>
      <c r="J175" s="109"/>
      <c r="K175" s="110"/>
      <c r="L175" s="111"/>
      <c r="M175" s="111"/>
      <c r="N175" s="111"/>
      <c r="O175" s="134">
        <v>2</v>
      </c>
      <c r="P175" s="111" t="s">
        <v>147</v>
      </c>
      <c r="Q175" s="207"/>
      <c r="R175" s="107">
        <f>O175*3000000</f>
        <v>6000000</v>
      </c>
      <c r="S175" s="85">
        <f t="shared" si="119"/>
        <v>0.26795487461274942</v>
      </c>
      <c r="T175" s="99"/>
      <c r="U175" s="87"/>
      <c r="V175" s="87"/>
      <c r="W175" s="87"/>
      <c r="X175" s="87"/>
      <c r="Y175" s="88">
        <v>0</v>
      </c>
      <c r="Z175" s="99">
        <f t="shared" si="120"/>
        <v>0</v>
      </c>
      <c r="AA175" s="100">
        <f t="shared" si="121"/>
        <v>0</v>
      </c>
      <c r="AB175" s="99">
        <f t="shared" si="122"/>
        <v>0</v>
      </c>
      <c r="AC175" s="88"/>
      <c r="AD175" s="88">
        <f t="shared" si="123"/>
        <v>6000000</v>
      </c>
      <c r="AE175" s="114"/>
    </row>
    <row r="176" spans="1:31" ht="12.95" customHeight="1" x14ac:dyDescent="0.35">
      <c r="A176" s="199"/>
      <c r="B176" s="235"/>
      <c r="C176" s="216"/>
      <c r="D176" s="111"/>
      <c r="E176" s="111"/>
      <c r="F176" s="111"/>
      <c r="G176" s="137"/>
      <c r="H176" s="107"/>
      <c r="I176" s="108"/>
      <c r="J176" s="109"/>
      <c r="K176" s="110"/>
      <c r="L176" s="111"/>
      <c r="M176" s="111"/>
      <c r="N176" s="111"/>
      <c r="O176" s="134"/>
      <c r="P176" s="111"/>
      <c r="Q176" s="207"/>
      <c r="R176" s="107"/>
      <c r="S176" s="113"/>
      <c r="T176" s="195"/>
      <c r="U176" s="196"/>
      <c r="V176" s="196"/>
      <c r="W176" s="196"/>
      <c r="X176" s="196"/>
      <c r="Y176" s="116"/>
      <c r="Z176" s="195"/>
      <c r="AA176" s="100"/>
      <c r="AB176" s="197"/>
      <c r="AC176" s="116"/>
      <c r="AD176" s="116"/>
      <c r="AE176" s="114"/>
    </row>
    <row r="177" spans="1:32" ht="12.95" customHeight="1" x14ac:dyDescent="0.35">
      <c r="A177" s="219">
        <v>522141</v>
      </c>
      <c r="B177" s="513" t="s">
        <v>168</v>
      </c>
      <c r="C177" s="514"/>
      <c r="D177" s="514"/>
      <c r="E177" s="514"/>
      <c r="F177" s="514"/>
      <c r="G177" s="515"/>
      <c r="H177" s="107"/>
      <c r="I177" s="108"/>
      <c r="J177" s="109"/>
      <c r="K177" s="110"/>
      <c r="L177" s="111"/>
      <c r="M177" s="111"/>
      <c r="N177" s="111"/>
      <c r="O177" s="134"/>
      <c r="P177" s="111"/>
      <c r="Q177" s="207"/>
      <c r="R177" s="107"/>
      <c r="S177" s="113"/>
      <c r="T177" s="195"/>
      <c r="U177" s="196"/>
      <c r="V177" s="196"/>
      <c r="W177" s="196"/>
      <c r="X177" s="196"/>
      <c r="Y177" s="116"/>
      <c r="Z177" s="195"/>
      <c r="AA177" s="100"/>
      <c r="AB177" s="197"/>
      <c r="AC177" s="116"/>
      <c r="AD177" s="116"/>
      <c r="AE177" s="114"/>
    </row>
    <row r="178" spans="1:32" ht="12.95" customHeight="1" x14ac:dyDescent="0.35">
      <c r="A178" s="199"/>
      <c r="B178" s="235" t="s">
        <v>82</v>
      </c>
      <c r="C178" s="216" t="s">
        <v>169</v>
      </c>
      <c r="D178" s="111"/>
      <c r="E178" s="111"/>
      <c r="F178" s="111"/>
      <c r="G178" s="137"/>
      <c r="H178" s="107"/>
      <c r="I178" s="108"/>
      <c r="J178" s="109"/>
      <c r="K178" s="110"/>
      <c r="L178" s="111"/>
      <c r="M178" s="111"/>
      <c r="N178" s="111"/>
      <c r="O178" s="134">
        <v>1</v>
      </c>
      <c r="P178" s="111" t="s">
        <v>83</v>
      </c>
      <c r="Q178" s="207"/>
      <c r="R178" s="107">
        <f>O178*4000000</f>
        <v>4000000</v>
      </c>
      <c r="S178" s="85">
        <f t="shared" ref="S178" si="124">+R178/$R$184*100</f>
        <v>0.17863658307516625</v>
      </c>
      <c r="T178" s="99"/>
      <c r="U178" s="87"/>
      <c r="V178" s="87"/>
      <c r="W178" s="87"/>
      <c r="X178" s="87"/>
      <c r="Y178" s="88">
        <v>0</v>
      </c>
      <c r="Z178" s="99">
        <f t="shared" ref="Z178" si="125">+Y178/R178*100</f>
        <v>0</v>
      </c>
      <c r="AA178" s="100">
        <f t="shared" ref="AA178" si="126">Z178</f>
        <v>0</v>
      </c>
      <c r="AB178" s="99">
        <f t="shared" ref="AB178" si="127">AA178*S178/100</f>
        <v>0</v>
      </c>
      <c r="AC178" s="88"/>
      <c r="AD178" s="88">
        <f t="shared" ref="AD178" si="128">+R178-Y178</f>
        <v>4000000</v>
      </c>
      <c r="AE178" s="86"/>
    </row>
    <row r="179" spans="1:32" ht="12.95" customHeight="1" x14ac:dyDescent="0.35">
      <c r="A179" s="199"/>
      <c r="B179" s="235"/>
      <c r="C179" s="216"/>
      <c r="D179" s="111"/>
      <c r="E179" s="111"/>
      <c r="F179" s="111"/>
      <c r="G179" s="137"/>
      <c r="H179" s="107"/>
      <c r="I179" s="108"/>
      <c r="J179" s="109"/>
      <c r="K179" s="110"/>
      <c r="L179" s="111"/>
      <c r="M179" s="111"/>
      <c r="N179" s="111"/>
      <c r="O179" s="134"/>
      <c r="P179" s="111"/>
      <c r="Q179" s="207"/>
      <c r="R179" s="107"/>
      <c r="S179" s="113"/>
      <c r="T179" s="195"/>
      <c r="U179" s="196"/>
      <c r="V179" s="196"/>
      <c r="W179" s="196"/>
      <c r="X179" s="196"/>
      <c r="Y179" s="116"/>
      <c r="Z179" s="195"/>
      <c r="AA179" s="100"/>
      <c r="AB179" s="197"/>
      <c r="AC179" s="116"/>
      <c r="AD179" s="116"/>
      <c r="AE179" s="114"/>
    </row>
    <row r="180" spans="1:32" ht="12.95" customHeight="1" x14ac:dyDescent="0.35">
      <c r="A180" s="199">
        <v>524111</v>
      </c>
      <c r="B180" s="301" t="s">
        <v>85</v>
      </c>
      <c r="C180" s="216"/>
      <c r="D180" s="111"/>
      <c r="E180" s="111"/>
      <c r="F180" s="111"/>
      <c r="G180" s="137"/>
      <c r="H180" s="107"/>
      <c r="I180" s="108"/>
      <c r="J180" s="109"/>
      <c r="K180" s="110"/>
      <c r="L180" s="111"/>
      <c r="M180" s="111"/>
      <c r="N180" s="111"/>
      <c r="O180" s="134"/>
      <c r="P180" s="111"/>
      <c r="Q180" s="207"/>
      <c r="R180" s="107"/>
      <c r="S180" s="113"/>
      <c r="T180" s="195"/>
      <c r="U180" s="196"/>
      <c r="V180" s="196"/>
      <c r="W180" s="196"/>
      <c r="X180" s="196"/>
      <c r="Y180" s="116"/>
      <c r="Z180" s="195"/>
      <c r="AA180" s="100"/>
      <c r="AB180" s="197"/>
      <c r="AC180" s="116"/>
      <c r="AD180" s="116"/>
      <c r="AE180" s="114"/>
    </row>
    <row r="181" spans="1:32" ht="12.95" customHeight="1" x14ac:dyDescent="0.35">
      <c r="A181" s="199"/>
      <c r="B181" s="230" t="s">
        <v>82</v>
      </c>
      <c r="C181" s="217" t="s">
        <v>102</v>
      </c>
      <c r="D181" s="217"/>
      <c r="E181" s="217"/>
      <c r="F181" s="217"/>
      <c r="G181" s="218"/>
      <c r="H181" s="107"/>
      <c r="I181" s="108"/>
      <c r="J181" s="109"/>
      <c r="K181" s="110"/>
      <c r="L181" s="111"/>
      <c r="M181" s="111"/>
      <c r="N181" s="111"/>
      <c r="O181" s="134">
        <v>1</v>
      </c>
      <c r="P181" s="111" t="s">
        <v>83</v>
      </c>
      <c r="Q181" s="207"/>
      <c r="R181" s="107">
        <f>O181*40500000</f>
        <v>40500000</v>
      </c>
      <c r="S181" s="85">
        <f t="shared" ref="S181" si="129">+R181/$R$184*100</f>
        <v>1.8086954036360583</v>
      </c>
      <c r="T181" s="99"/>
      <c r="U181" s="87"/>
      <c r="V181" s="87"/>
      <c r="W181" s="87"/>
      <c r="X181" s="87"/>
      <c r="Y181" s="88">
        <v>12675000</v>
      </c>
      <c r="Z181" s="99">
        <f t="shared" ref="Z181" si="130">+Y181/R181*100</f>
        <v>31.296296296296294</v>
      </c>
      <c r="AA181" s="100">
        <f>4/12*Z181</f>
        <v>10.432098765432098</v>
      </c>
      <c r="AB181" s="99">
        <f t="shared" ref="AB181" si="131">AA181*S181/100</f>
        <v>0.18868489087314433</v>
      </c>
      <c r="AC181" s="88"/>
      <c r="AD181" s="88">
        <f t="shared" ref="AD181" si="132">+R181-Y181</f>
        <v>27825000</v>
      </c>
      <c r="AE181" s="86"/>
    </row>
    <row r="182" spans="1:32" ht="12.95" customHeight="1" x14ac:dyDescent="0.35">
      <c r="A182" s="302"/>
      <c r="B182" s="303"/>
      <c r="C182" s="304"/>
      <c r="D182" s="278"/>
      <c r="E182" s="278"/>
      <c r="F182" s="278"/>
      <c r="G182" s="101"/>
      <c r="H182" s="173"/>
      <c r="I182" s="290"/>
      <c r="J182" s="291"/>
      <c r="K182" s="292"/>
      <c r="L182" s="278"/>
      <c r="M182" s="278"/>
      <c r="N182" s="278"/>
      <c r="O182" s="293"/>
      <c r="P182" s="278"/>
      <c r="Q182" s="294"/>
      <c r="R182" s="173"/>
      <c r="S182" s="305"/>
      <c r="T182" s="175"/>
      <c r="U182" s="306"/>
      <c r="V182" s="306"/>
      <c r="W182" s="306"/>
      <c r="X182" s="306"/>
      <c r="Y182" s="177"/>
      <c r="Z182" s="175"/>
      <c r="AA182" s="178"/>
      <c r="AB182" s="295"/>
      <c r="AC182" s="177"/>
      <c r="AD182" s="177"/>
      <c r="AE182" s="174"/>
      <c r="AF182" s="90"/>
    </row>
    <row r="183" spans="1:32" ht="12.95" customHeight="1" x14ac:dyDescent="0.35">
      <c r="A183" s="199"/>
      <c r="B183" s="462"/>
      <c r="C183" s="217"/>
      <c r="D183" s="111"/>
      <c r="E183" s="217"/>
      <c r="F183" s="217"/>
      <c r="G183" s="217"/>
      <c r="H183" s="107"/>
      <c r="I183" s="108"/>
      <c r="J183" s="109"/>
      <c r="K183" s="110"/>
      <c r="L183" s="111"/>
      <c r="M183" s="111"/>
      <c r="N183" s="111"/>
      <c r="O183" s="134"/>
      <c r="P183" s="111"/>
      <c r="Q183" s="207"/>
      <c r="R183" s="107"/>
      <c r="S183" s="113"/>
      <c r="T183" s="195"/>
      <c r="U183" s="196"/>
      <c r="V183" s="196"/>
      <c r="W183" s="196"/>
      <c r="X183" s="196"/>
      <c r="Y183" s="116"/>
      <c r="Z183" s="195"/>
      <c r="AA183" s="202"/>
      <c r="AB183" s="197"/>
      <c r="AC183" s="116"/>
      <c r="AD183" s="116"/>
      <c r="AE183" s="114"/>
    </row>
    <row r="184" spans="1:32" s="28" customFormat="1" ht="14.25" customHeight="1" thickBot="1" x14ac:dyDescent="0.4">
      <c r="A184" s="238"/>
      <c r="B184" s="239" t="s">
        <v>171</v>
      </c>
      <c r="C184" s="240"/>
      <c r="D184" s="241"/>
      <c r="E184" s="241"/>
      <c r="F184" s="241"/>
      <c r="G184" s="242"/>
      <c r="H184" s="243"/>
      <c r="I184" s="244"/>
      <c r="J184" s="245"/>
      <c r="K184" s="246"/>
      <c r="L184" s="241"/>
      <c r="M184" s="241"/>
      <c r="N184" s="241"/>
      <c r="O184" s="247"/>
      <c r="P184" s="248"/>
      <c r="Q184" s="249"/>
      <c r="R184" s="250">
        <f>SUM(R17:R183)</f>
        <v>2239183000</v>
      </c>
      <c r="S184" s="251">
        <f>SUM(S26:S183)</f>
        <v>100.00000000000001</v>
      </c>
      <c r="T184" s="251">
        <f>SUM(T66:T183)</f>
        <v>0</v>
      </c>
      <c r="U184" s="252" t="s">
        <v>82</v>
      </c>
      <c r="V184" s="252" t="s">
        <v>82</v>
      </c>
      <c r="W184" s="252" t="s">
        <v>82</v>
      </c>
      <c r="X184" s="252" t="s">
        <v>82</v>
      </c>
      <c r="Y184" s="253">
        <f>SUM(Y17:Y183)</f>
        <v>470239042</v>
      </c>
      <c r="Z184" s="251">
        <f>+Y184/R184*100</f>
        <v>21.000473922854898</v>
      </c>
      <c r="AA184" s="254">
        <f>SUM(AA17:AA183)</f>
        <v>276.24194598848311</v>
      </c>
      <c r="AB184" s="254">
        <f>SUM(AB17:AB183)</f>
        <v>14.464524618385999</v>
      </c>
      <c r="AC184" s="253">
        <f>SUM(AC17:AC183)</f>
        <v>0</v>
      </c>
      <c r="AD184" s="253">
        <f>SUM(AD17:AD183)</f>
        <v>1768943958</v>
      </c>
      <c r="AE184" s="255"/>
    </row>
    <row r="185" spans="1:32" ht="12.95" customHeight="1" thickTop="1" x14ac:dyDescent="0.35">
      <c r="A185" s="256"/>
      <c r="B185" s="455"/>
      <c r="C185" s="257"/>
      <c r="D185" s="13"/>
      <c r="E185" s="14"/>
      <c r="F185" s="14"/>
      <c r="G185" s="14"/>
      <c r="H185" s="258"/>
      <c r="I185" s="258"/>
      <c r="J185" s="258"/>
      <c r="K185" s="259"/>
    </row>
    <row r="186" spans="1:32" ht="12.95" customHeight="1" x14ac:dyDescent="0.35">
      <c r="A186" s="261"/>
      <c r="B186" s="262"/>
      <c r="C186" s="262"/>
      <c r="G186" s="516"/>
      <c r="H186" s="516"/>
      <c r="I186" s="516"/>
      <c r="J186" s="516"/>
      <c r="K186" s="516"/>
      <c r="AB186" s="502" t="s">
        <v>270</v>
      </c>
      <c r="AC186" s="502"/>
      <c r="AD186" s="502"/>
      <c r="AE186" s="502"/>
    </row>
    <row r="187" spans="1:32" ht="12.95" customHeight="1" x14ac:dyDescent="0.35">
      <c r="A187" s="261"/>
      <c r="B187" s="262"/>
      <c r="C187" s="262"/>
      <c r="G187" s="265"/>
      <c r="H187" s="266"/>
      <c r="I187" s="266"/>
      <c r="J187" s="266"/>
      <c r="K187" s="266"/>
      <c r="Q187" s="267" t="s">
        <v>172</v>
      </c>
    </row>
    <row r="188" spans="1:32" ht="12.95" customHeight="1" x14ac:dyDescent="0.35">
      <c r="A188" s="261"/>
      <c r="B188" s="262"/>
      <c r="C188" s="268"/>
      <c r="G188" s="265"/>
      <c r="H188" s="265"/>
      <c r="I188" s="265"/>
      <c r="J188" s="265"/>
      <c r="K188" s="265"/>
      <c r="Q188" s="267" t="s">
        <v>173</v>
      </c>
      <c r="AB188" s="502" t="s">
        <v>174</v>
      </c>
      <c r="AC188" s="502"/>
      <c r="AD188" s="502"/>
      <c r="AE188" s="502"/>
    </row>
    <row r="189" spans="1:32" ht="12.95" customHeight="1" x14ac:dyDescent="0.35">
      <c r="A189" s="261"/>
      <c r="B189" s="262"/>
      <c r="C189" s="262"/>
      <c r="G189" s="269"/>
      <c r="H189" s="269"/>
      <c r="I189" s="269"/>
      <c r="J189" s="269"/>
      <c r="K189" s="269"/>
      <c r="Q189" s="270" t="s">
        <v>175</v>
      </c>
    </row>
    <row r="190" spans="1:32" ht="12.95" customHeight="1" x14ac:dyDescent="0.35">
      <c r="A190" s="261"/>
      <c r="B190" s="262"/>
      <c r="C190" s="262"/>
      <c r="G190" s="28"/>
      <c r="H190" s="28"/>
      <c r="I190" s="271"/>
      <c r="J190" s="271"/>
      <c r="K190" s="272"/>
    </row>
    <row r="191" spans="1:32" ht="12.95" customHeight="1" x14ac:dyDescent="0.35">
      <c r="A191" s="273"/>
      <c r="G191" s="28"/>
      <c r="H191" s="28"/>
      <c r="I191" s="271"/>
      <c r="J191" s="271"/>
      <c r="K191" s="272"/>
      <c r="AB191" s="517" t="s">
        <v>176</v>
      </c>
      <c r="AC191" s="517"/>
      <c r="AD191" s="517"/>
      <c r="AE191" s="517"/>
    </row>
    <row r="192" spans="1:32" ht="12.95" customHeight="1" x14ac:dyDescent="0.35">
      <c r="A192" s="273"/>
      <c r="H192" s="13"/>
      <c r="I192" s="13"/>
      <c r="J192" s="272"/>
      <c r="K192" s="274"/>
      <c r="AB192" s="502" t="s">
        <v>177</v>
      </c>
      <c r="AC192" s="502"/>
      <c r="AD192" s="502"/>
      <c r="AE192" s="502"/>
    </row>
    <row r="193" spans="1:17" ht="18" customHeight="1" x14ac:dyDescent="0.35">
      <c r="A193" s="273"/>
      <c r="H193" s="13"/>
      <c r="I193" s="13"/>
      <c r="J193" s="272"/>
      <c r="K193" s="274"/>
      <c r="Q193" s="267" t="s">
        <v>178</v>
      </c>
    </row>
    <row r="194" spans="1:17" ht="18" customHeight="1" x14ac:dyDescent="0.35">
      <c r="A194" s="273"/>
      <c r="H194" s="268"/>
      <c r="I194" s="268"/>
      <c r="J194" s="268"/>
      <c r="K194" s="268"/>
    </row>
  </sheetData>
  <mergeCells count="34">
    <mergeCell ref="A1:S1"/>
    <mergeCell ref="A2:AE2"/>
    <mergeCell ref="A3:AE3"/>
    <mergeCell ref="F7:G7"/>
    <mergeCell ref="W11:X12"/>
    <mergeCell ref="Y11:Z11"/>
    <mergeCell ref="AA11:AB11"/>
    <mergeCell ref="AC11:AD12"/>
    <mergeCell ref="AE11:AE15"/>
    <mergeCell ref="A12:A15"/>
    <mergeCell ref="B12:G15"/>
    <mergeCell ref="H12:K12"/>
    <mergeCell ref="O12:P15"/>
    <mergeCell ref="Q12:Q15"/>
    <mergeCell ref="R12:R15"/>
    <mergeCell ref="T12:U12"/>
    <mergeCell ref="Y12:Z12"/>
    <mergeCell ref="AA12:AB12"/>
    <mergeCell ref="H13:I15"/>
    <mergeCell ref="J13:J15"/>
    <mergeCell ref="K13:K15"/>
    <mergeCell ref="S12:S15"/>
    <mergeCell ref="AB192:AE192"/>
    <mergeCell ref="B16:G16"/>
    <mergeCell ref="H16:I16"/>
    <mergeCell ref="O16:P16"/>
    <mergeCell ref="D68:G68"/>
    <mergeCell ref="B139:G139"/>
    <mergeCell ref="C167:G167"/>
    <mergeCell ref="B177:G177"/>
    <mergeCell ref="G186:K186"/>
    <mergeCell ref="AB186:AE186"/>
    <mergeCell ref="AB188:AE188"/>
    <mergeCell ref="AB191:AE191"/>
  </mergeCells>
  <printOptions horizontalCentered="1"/>
  <pageMargins left="0.25" right="0.25" top="0.5" bottom="0.5" header="0.511811023622047" footer="0.511811023622047"/>
  <pageSetup paperSize="5" scale="75" orientation="landscape" horizontalDpi="4294967294" r:id="rId1"/>
  <headerFooter alignWithMargins="0"/>
  <rowBreaks count="1" manualBreakCount="1">
    <brk id="92" max="16383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3"/>
  </sheetPr>
  <dimension ref="A1:AO194"/>
  <sheetViews>
    <sheetView view="pageBreakPreview" topLeftCell="C119" zoomScale="91" zoomScaleSheetLayoutView="91" workbookViewId="0">
      <selection activeCell="Y138" sqref="Y138"/>
    </sheetView>
  </sheetViews>
  <sheetFormatPr defaultRowHeight="18" customHeight="1" x14ac:dyDescent="0.35"/>
  <cols>
    <col min="1" max="1" width="12.28515625" style="275" customWidth="1"/>
    <col min="2" max="2" width="2.42578125" style="263" customWidth="1"/>
    <col min="3" max="3" width="3.42578125" style="263" customWidth="1"/>
    <col min="4" max="4" width="13.28515625" style="263" customWidth="1"/>
    <col min="5" max="5" width="3.140625" style="263" customWidth="1"/>
    <col min="6" max="6" width="5.140625" style="263" customWidth="1"/>
    <col min="7" max="7" width="16.42578125" style="13" customWidth="1"/>
    <col min="8" max="8" width="6.85546875" style="263" hidden="1" customWidth="1"/>
    <col min="9" max="9" width="5.28515625" style="263" hidden="1" customWidth="1"/>
    <col min="10" max="10" width="16.140625" style="276" hidden="1" customWidth="1"/>
    <col min="11" max="11" width="22.42578125" style="277" hidden="1" customWidth="1"/>
    <col min="12" max="14" width="9.140625" style="13" hidden="1" customWidth="1"/>
    <col min="15" max="15" width="4.140625" style="13" customWidth="1"/>
    <col min="16" max="16" width="5.7109375" style="13" customWidth="1"/>
    <col min="17" max="17" width="16.140625" style="13" hidden="1" customWidth="1"/>
    <col min="18" max="18" width="15.7109375" style="13" customWidth="1"/>
    <col min="19" max="19" width="7.7109375" style="260" customWidth="1"/>
    <col min="20" max="20" width="9.140625" style="13"/>
    <col min="21" max="21" width="10.85546875" style="13" customWidth="1"/>
    <col min="22" max="22" width="9.7109375" style="13" customWidth="1"/>
    <col min="23" max="23" width="8.85546875" style="13" customWidth="1"/>
    <col min="24" max="24" width="10.7109375" style="13" customWidth="1"/>
    <col min="25" max="25" width="16" style="13" customWidth="1"/>
    <col min="26" max="26" width="8.7109375" style="13" customWidth="1"/>
    <col min="27" max="27" width="8.140625" style="13" bestFit="1" customWidth="1"/>
    <col min="28" max="28" width="8.7109375" style="13" customWidth="1"/>
    <col min="29" max="29" width="16" style="13" customWidth="1"/>
    <col min="30" max="30" width="16.140625" style="13" bestFit="1" customWidth="1"/>
    <col min="31" max="31" width="9.42578125" style="13" customWidth="1"/>
    <col min="32" max="256" width="9.140625" style="13"/>
    <col min="257" max="257" width="12.28515625" style="13" customWidth="1"/>
    <col min="258" max="258" width="2.42578125" style="13" customWidth="1"/>
    <col min="259" max="259" width="3.42578125" style="13" customWidth="1"/>
    <col min="260" max="260" width="13.28515625" style="13" customWidth="1"/>
    <col min="261" max="261" width="3.140625" style="13" customWidth="1"/>
    <col min="262" max="262" width="5.140625" style="13" customWidth="1"/>
    <col min="263" max="263" width="16.42578125" style="13" customWidth="1"/>
    <col min="264" max="270" width="0" style="13" hidden="1" customWidth="1"/>
    <col min="271" max="271" width="4.140625" style="13" customWidth="1"/>
    <col min="272" max="272" width="5.7109375" style="13" customWidth="1"/>
    <col min="273" max="273" width="0" style="13" hidden="1" customWidth="1"/>
    <col min="274" max="274" width="15.7109375" style="13" customWidth="1"/>
    <col min="275" max="275" width="7.7109375" style="13" customWidth="1"/>
    <col min="276" max="276" width="9.140625" style="13"/>
    <col min="277" max="277" width="10.85546875" style="13" customWidth="1"/>
    <col min="278" max="278" width="9.7109375" style="13" customWidth="1"/>
    <col min="279" max="279" width="8.85546875" style="13" customWidth="1"/>
    <col min="280" max="280" width="10.7109375" style="13" customWidth="1"/>
    <col min="281" max="281" width="16" style="13" customWidth="1"/>
    <col min="282" max="282" width="8.7109375" style="13" customWidth="1"/>
    <col min="283" max="283" width="6.5703125" style="13" bestFit="1" customWidth="1"/>
    <col min="284" max="284" width="8.7109375" style="13" customWidth="1"/>
    <col min="285" max="285" width="16" style="13" customWidth="1"/>
    <col min="286" max="286" width="15" style="13" customWidth="1"/>
    <col min="287" max="287" width="9.42578125" style="13" customWidth="1"/>
    <col min="288" max="512" width="9.140625" style="13"/>
    <col min="513" max="513" width="12.28515625" style="13" customWidth="1"/>
    <col min="514" max="514" width="2.42578125" style="13" customWidth="1"/>
    <col min="515" max="515" width="3.42578125" style="13" customWidth="1"/>
    <col min="516" max="516" width="13.28515625" style="13" customWidth="1"/>
    <col min="517" max="517" width="3.140625" style="13" customWidth="1"/>
    <col min="518" max="518" width="5.140625" style="13" customWidth="1"/>
    <col min="519" max="519" width="16.42578125" style="13" customWidth="1"/>
    <col min="520" max="526" width="0" style="13" hidden="1" customWidth="1"/>
    <col min="527" max="527" width="4.140625" style="13" customWidth="1"/>
    <col min="528" max="528" width="5.7109375" style="13" customWidth="1"/>
    <col min="529" max="529" width="0" style="13" hidden="1" customWidth="1"/>
    <col min="530" max="530" width="15.7109375" style="13" customWidth="1"/>
    <col min="531" max="531" width="7.7109375" style="13" customWidth="1"/>
    <col min="532" max="532" width="9.140625" style="13"/>
    <col min="533" max="533" width="10.85546875" style="13" customWidth="1"/>
    <col min="534" max="534" width="9.7109375" style="13" customWidth="1"/>
    <col min="535" max="535" width="8.85546875" style="13" customWidth="1"/>
    <col min="536" max="536" width="10.7109375" style="13" customWidth="1"/>
    <col min="537" max="537" width="16" style="13" customWidth="1"/>
    <col min="538" max="538" width="8.7109375" style="13" customWidth="1"/>
    <col min="539" max="539" width="6.5703125" style="13" bestFit="1" customWidth="1"/>
    <col min="540" max="540" width="8.7109375" style="13" customWidth="1"/>
    <col min="541" max="541" width="16" style="13" customWidth="1"/>
    <col min="542" max="542" width="15" style="13" customWidth="1"/>
    <col min="543" max="543" width="9.42578125" style="13" customWidth="1"/>
    <col min="544" max="768" width="9.140625" style="13"/>
    <col min="769" max="769" width="12.28515625" style="13" customWidth="1"/>
    <col min="770" max="770" width="2.42578125" style="13" customWidth="1"/>
    <col min="771" max="771" width="3.42578125" style="13" customWidth="1"/>
    <col min="772" max="772" width="13.28515625" style="13" customWidth="1"/>
    <col min="773" max="773" width="3.140625" style="13" customWidth="1"/>
    <col min="774" max="774" width="5.140625" style="13" customWidth="1"/>
    <col min="775" max="775" width="16.42578125" style="13" customWidth="1"/>
    <col min="776" max="782" width="0" style="13" hidden="1" customWidth="1"/>
    <col min="783" max="783" width="4.140625" style="13" customWidth="1"/>
    <col min="784" max="784" width="5.7109375" style="13" customWidth="1"/>
    <col min="785" max="785" width="0" style="13" hidden="1" customWidth="1"/>
    <col min="786" max="786" width="15.7109375" style="13" customWidth="1"/>
    <col min="787" max="787" width="7.7109375" style="13" customWidth="1"/>
    <col min="788" max="788" width="9.140625" style="13"/>
    <col min="789" max="789" width="10.85546875" style="13" customWidth="1"/>
    <col min="790" max="790" width="9.7109375" style="13" customWidth="1"/>
    <col min="791" max="791" width="8.85546875" style="13" customWidth="1"/>
    <col min="792" max="792" width="10.7109375" style="13" customWidth="1"/>
    <col min="793" max="793" width="16" style="13" customWidth="1"/>
    <col min="794" max="794" width="8.7109375" style="13" customWidth="1"/>
    <col min="795" max="795" width="6.5703125" style="13" bestFit="1" customWidth="1"/>
    <col min="796" max="796" width="8.7109375" style="13" customWidth="1"/>
    <col min="797" max="797" width="16" style="13" customWidth="1"/>
    <col min="798" max="798" width="15" style="13" customWidth="1"/>
    <col min="799" max="799" width="9.42578125" style="13" customWidth="1"/>
    <col min="800" max="1024" width="9.140625" style="13"/>
    <col min="1025" max="1025" width="12.28515625" style="13" customWidth="1"/>
    <col min="1026" max="1026" width="2.42578125" style="13" customWidth="1"/>
    <col min="1027" max="1027" width="3.42578125" style="13" customWidth="1"/>
    <col min="1028" max="1028" width="13.28515625" style="13" customWidth="1"/>
    <col min="1029" max="1029" width="3.140625" style="13" customWidth="1"/>
    <col min="1030" max="1030" width="5.140625" style="13" customWidth="1"/>
    <col min="1031" max="1031" width="16.42578125" style="13" customWidth="1"/>
    <col min="1032" max="1038" width="0" style="13" hidden="1" customWidth="1"/>
    <col min="1039" max="1039" width="4.140625" style="13" customWidth="1"/>
    <col min="1040" max="1040" width="5.7109375" style="13" customWidth="1"/>
    <col min="1041" max="1041" width="0" style="13" hidden="1" customWidth="1"/>
    <col min="1042" max="1042" width="15.7109375" style="13" customWidth="1"/>
    <col min="1043" max="1043" width="7.7109375" style="13" customWidth="1"/>
    <col min="1044" max="1044" width="9.140625" style="13"/>
    <col min="1045" max="1045" width="10.85546875" style="13" customWidth="1"/>
    <col min="1046" max="1046" width="9.7109375" style="13" customWidth="1"/>
    <col min="1047" max="1047" width="8.85546875" style="13" customWidth="1"/>
    <col min="1048" max="1048" width="10.7109375" style="13" customWidth="1"/>
    <col min="1049" max="1049" width="16" style="13" customWidth="1"/>
    <col min="1050" max="1050" width="8.7109375" style="13" customWidth="1"/>
    <col min="1051" max="1051" width="6.5703125" style="13" bestFit="1" customWidth="1"/>
    <col min="1052" max="1052" width="8.7109375" style="13" customWidth="1"/>
    <col min="1053" max="1053" width="16" style="13" customWidth="1"/>
    <col min="1054" max="1054" width="15" style="13" customWidth="1"/>
    <col min="1055" max="1055" width="9.42578125" style="13" customWidth="1"/>
    <col min="1056" max="1280" width="9.140625" style="13"/>
    <col min="1281" max="1281" width="12.28515625" style="13" customWidth="1"/>
    <col min="1282" max="1282" width="2.42578125" style="13" customWidth="1"/>
    <col min="1283" max="1283" width="3.42578125" style="13" customWidth="1"/>
    <col min="1284" max="1284" width="13.28515625" style="13" customWidth="1"/>
    <col min="1285" max="1285" width="3.140625" style="13" customWidth="1"/>
    <col min="1286" max="1286" width="5.140625" style="13" customWidth="1"/>
    <col min="1287" max="1287" width="16.42578125" style="13" customWidth="1"/>
    <col min="1288" max="1294" width="0" style="13" hidden="1" customWidth="1"/>
    <col min="1295" max="1295" width="4.140625" style="13" customWidth="1"/>
    <col min="1296" max="1296" width="5.7109375" style="13" customWidth="1"/>
    <col min="1297" max="1297" width="0" style="13" hidden="1" customWidth="1"/>
    <col min="1298" max="1298" width="15.7109375" style="13" customWidth="1"/>
    <col min="1299" max="1299" width="7.7109375" style="13" customWidth="1"/>
    <col min="1300" max="1300" width="9.140625" style="13"/>
    <col min="1301" max="1301" width="10.85546875" style="13" customWidth="1"/>
    <col min="1302" max="1302" width="9.7109375" style="13" customWidth="1"/>
    <col min="1303" max="1303" width="8.85546875" style="13" customWidth="1"/>
    <col min="1304" max="1304" width="10.7109375" style="13" customWidth="1"/>
    <col min="1305" max="1305" width="16" style="13" customWidth="1"/>
    <col min="1306" max="1306" width="8.7109375" style="13" customWidth="1"/>
    <col min="1307" max="1307" width="6.5703125" style="13" bestFit="1" customWidth="1"/>
    <col min="1308" max="1308" width="8.7109375" style="13" customWidth="1"/>
    <col min="1309" max="1309" width="16" style="13" customWidth="1"/>
    <col min="1310" max="1310" width="15" style="13" customWidth="1"/>
    <col min="1311" max="1311" width="9.42578125" style="13" customWidth="1"/>
    <col min="1312" max="1536" width="9.140625" style="13"/>
    <col min="1537" max="1537" width="12.28515625" style="13" customWidth="1"/>
    <col min="1538" max="1538" width="2.42578125" style="13" customWidth="1"/>
    <col min="1539" max="1539" width="3.42578125" style="13" customWidth="1"/>
    <col min="1540" max="1540" width="13.28515625" style="13" customWidth="1"/>
    <col min="1541" max="1541" width="3.140625" style="13" customWidth="1"/>
    <col min="1542" max="1542" width="5.140625" style="13" customWidth="1"/>
    <col min="1543" max="1543" width="16.42578125" style="13" customWidth="1"/>
    <col min="1544" max="1550" width="0" style="13" hidden="1" customWidth="1"/>
    <col min="1551" max="1551" width="4.140625" style="13" customWidth="1"/>
    <col min="1552" max="1552" width="5.7109375" style="13" customWidth="1"/>
    <col min="1553" max="1553" width="0" style="13" hidden="1" customWidth="1"/>
    <col min="1554" max="1554" width="15.7109375" style="13" customWidth="1"/>
    <col min="1555" max="1555" width="7.7109375" style="13" customWidth="1"/>
    <col min="1556" max="1556" width="9.140625" style="13"/>
    <col min="1557" max="1557" width="10.85546875" style="13" customWidth="1"/>
    <col min="1558" max="1558" width="9.7109375" style="13" customWidth="1"/>
    <col min="1559" max="1559" width="8.85546875" style="13" customWidth="1"/>
    <col min="1560" max="1560" width="10.7109375" style="13" customWidth="1"/>
    <col min="1561" max="1561" width="16" style="13" customWidth="1"/>
    <col min="1562" max="1562" width="8.7109375" style="13" customWidth="1"/>
    <col min="1563" max="1563" width="6.5703125" style="13" bestFit="1" customWidth="1"/>
    <col min="1564" max="1564" width="8.7109375" style="13" customWidth="1"/>
    <col min="1565" max="1565" width="16" style="13" customWidth="1"/>
    <col min="1566" max="1566" width="15" style="13" customWidth="1"/>
    <col min="1567" max="1567" width="9.42578125" style="13" customWidth="1"/>
    <col min="1568" max="1792" width="9.140625" style="13"/>
    <col min="1793" max="1793" width="12.28515625" style="13" customWidth="1"/>
    <col min="1794" max="1794" width="2.42578125" style="13" customWidth="1"/>
    <col min="1795" max="1795" width="3.42578125" style="13" customWidth="1"/>
    <col min="1796" max="1796" width="13.28515625" style="13" customWidth="1"/>
    <col min="1797" max="1797" width="3.140625" style="13" customWidth="1"/>
    <col min="1798" max="1798" width="5.140625" style="13" customWidth="1"/>
    <col min="1799" max="1799" width="16.42578125" style="13" customWidth="1"/>
    <col min="1800" max="1806" width="0" style="13" hidden="1" customWidth="1"/>
    <col min="1807" max="1807" width="4.140625" style="13" customWidth="1"/>
    <col min="1808" max="1808" width="5.7109375" style="13" customWidth="1"/>
    <col min="1809" max="1809" width="0" style="13" hidden="1" customWidth="1"/>
    <col min="1810" max="1810" width="15.7109375" style="13" customWidth="1"/>
    <col min="1811" max="1811" width="7.7109375" style="13" customWidth="1"/>
    <col min="1812" max="1812" width="9.140625" style="13"/>
    <col min="1813" max="1813" width="10.85546875" style="13" customWidth="1"/>
    <col min="1814" max="1814" width="9.7109375" style="13" customWidth="1"/>
    <col min="1815" max="1815" width="8.85546875" style="13" customWidth="1"/>
    <col min="1816" max="1816" width="10.7109375" style="13" customWidth="1"/>
    <col min="1817" max="1817" width="16" style="13" customWidth="1"/>
    <col min="1818" max="1818" width="8.7109375" style="13" customWidth="1"/>
    <col min="1819" max="1819" width="6.5703125" style="13" bestFit="1" customWidth="1"/>
    <col min="1820" max="1820" width="8.7109375" style="13" customWidth="1"/>
    <col min="1821" max="1821" width="16" style="13" customWidth="1"/>
    <col min="1822" max="1822" width="15" style="13" customWidth="1"/>
    <col min="1823" max="1823" width="9.42578125" style="13" customWidth="1"/>
    <col min="1824" max="2048" width="9.140625" style="13"/>
    <col min="2049" max="2049" width="12.28515625" style="13" customWidth="1"/>
    <col min="2050" max="2050" width="2.42578125" style="13" customWidth="1"/>
    <col min="2051" max="2051" width="3.42578125" style="13" customWidth="1"/>
    <col min="2052" max="2052" width="13.28515625" style="13" customWidth="1"/>
    <col min="2053" max="2053" width="3.140625" style="13" customWidth="1"/>
    <col min="2054" max="2054" width="5.140625" style="13" customWidth="1"/>
    <col min="2055" max="2055" width="16.42578125" style="13" customWidth="1"/>
    <col min="2056" max="2062" width="0" style="13" hidden="1" customWidth="1"/>
    <col min="2063" max="2063" width="4.140625" style="13" customWidth="1"/>
    <col min="2064" max="2064" width="5.7109375" style="13" customWidth="1"/>
    <col min="2065" max="2065" width="0" style="13" hidden="1" customWidth="1"/>
    <col min="2066" max="2066" width="15.7109375" style="13" customWidth="1"/>
    <col min="2067" max="2067" width="7.7109375" style="13" customWidth="1"/>
    <col min="2068" max="2068" width="9.140625" style="13"/>
    <col min="2069" max="2069" width="10.85546875" style="13" customWidth="1"/>
    <col min="2070" max="2070" width="9.7109375" style="13" customWidth="1"/>
    <col min="2071" max="2071" width="8.85546875" style="13" customWidth="1"/>
    <col min="2072" max="2072" width="10.7109375" style="13" customWidth="1"/>
    <col min="2073" max="2073" width="16" style="13" customWidth="1"/>
    <col min="2074" max="2074" width="8.7109375" style="13" customWidth="1"/>
    <col min="2075" max="2075" width="6.5703125" style="13" bestFit="1" customWidth="1"/>
    <col min="2076" max="2076" width="8.7109375" style="13" customWidth="1"/>
    <col min="2077" max="2077" width="16" style="13" customWidth="1"/>
    <col min="2078" max="2078" width="15" style="13" customWidth="1"/>
    <col min="2079" max="2079" width="9.42578125" style="13" customWidth="1"/>
    <col min="2080" max="2304" width="9.140625" style="13"/>
    <col min="2305" max="2305" width="12.28515625" style="13" customWidth="1"/>
    <col min="2306" max="2306" width="2.42578125" style="13" customWidth="1"/>
    <col min="2307" max="2307" width="3.42578125" style="13" customWidth="1"/>
    <col min="2308" max="2308" width="13.28515625" style="13" customWidth="1"/>
    <col min="2309" max="2309" width="3.140625" style="13" customWidth="1"/>
    <col min="2310" max="2310" width="5.140625" style="13" customWidth="1"/>
    <col min="2311" max="2311" width="16.42578125" style="13" customWidth="1"/>
    <col min="2312" max="2318" width="0" style="13" hidden="1" customWidth="1"/>
    <col min="2319" max="2319" width="4.140625" style="13" customWidth="1"/>
    <col min="2320" max="2320" width="5.7109375" style="13" customWidth="1"/>
    <col min="2321" max="2321" width="0" style="13" hidden="1" customWidth="1"/>
    <col min="2322" max="2322" width="15.7109375" style="13" customWidth="1"/>
    <col min="2323" max="2323" width="7.7109375" style="13" customWidth="1"/>
    <col min="2324" max="2324" width="9.140625" style="13"/>
    <col min="2325" max="2325" width="10.85546875" style="13" customWidth="1"/>
    <col min="2326" max="2326" width="9.7109375" style="13" customWidth="1"/>
    <col min="2327" max="2327" width="8.85546875" style="13" customWidth="1"/>
    <col min="2328" max="2328" width="10.7109375" style="13" customWidth="1"/>
    <col min="2329" max="2329" width="16" style="13" customWidth="1"/>
    <col min="2330" max="2330" width="8.7109375" style="13" customWidth="1"/>
    <col min="2331" max="2331" width="6.5703125" style="13" bestFit="1" customWidth="1"/>
    <col min="2332" max="2332" width="8.7109375" style="13" customWidth="1"/>
    <col min="2333" max="2333" width="16" style="13" customWidth="1"/>
    <col min="2334" max="2334" width="15" style="13" customWidth="1"/>
    <col min="2335" max="2335" width="9.42578125" style="13" customWidth="1"/>
    <col min="2336" max="2560" width="9.140625" style="13"/>
    <col min="2561" max="2561" width="12.28515625" style="13" customWidth="1"/>
    <col min="2562" max="2562" width="2.42578125" style="13" customWidth="1"/>
    <col min="2563" max="2563" width="3.42578125" style="13" customWidth="1"/>
    <col min="2564" max="2564" width="13.28515625" style="13" customWidth="1"/>
    <col min="2565" max="2565" width="3.140625" style="13" customWidth="1"/>
    <col min="2566" max="2566" width="5.140625" style="13" customWidth="1"/>
    <col min="2567" max="2567" width="16.42578125" style="13" customWidth="1"/>
    <col min="2568" max="2574" width="0" style="13" hidden="1" customWidth="1"/>
    <col min="2575" max="2575" width="4.140625" style="13" customWidth="1"/>
    <col min="2576" max="2576" width="5.7109375" style="13" customWidth="1"/>
    <col min="2577" max="2577" width="0" style="13" hidden="1" customWidth="1"/>
    <col min="2578" max="2578" width="15.7109375" style="13" customWidth="1"/>
    <col min="2579" max="2579" width="7.7109375" style="13" customWidth="1"/>
    <col min="2580" max="2580" width="9.140625" style="13"/>
    <col min="2581" max="2581" width="10.85546875" style="13" customWidth="1"/>
    <col min="2582" max="2582" width="9.7109375" style="13" customWidth="1"/>
    <col min="2583" max="2583" width="8.85546875" style="13" customWidth="1"/>
    <col min="2584" max="2584" width="10.7109375" style="13" customWidth="1"/>
    <col min="2585" max="2585" width="16" style="13" customWidth="1"/>
    <col min="2586" max="2586" width="8.7109375" style="13" customWidth="1"/>
    <col min="2587" max="2587" width="6.5703125" style="13" bestFit="1" customWidth="1"/>
    <col min="2588" max="2588" width="8.7109375" style="13" customWidth="1"/>
    <col min="2589" max="2589" width="16" style="13" customWidth="1"/>
    <col min="2590" max="2590" width="15" style="13" customWidth="1"/>
    <col min="2591" max="2591" width="9.42578125" style="13" customWidth="1"/>
    <col min="2592" max="2816" width="9.140625" style="13"/>
    <col min="2817" max="2817" width="12.28515625" style="13" customWidth="1"/>
    <col min="2818" max="2818" width="2.42578125" style="13" customWidth="1"/>
    <col min="2819" max="2819" width="3.42578125" style="13" customWidth="1"/>
    <col min="2820" max="2820" width="13.28515625" style="13" customWidth="1"/>
    <col min="2821" max="2821" width="3.140625" style="13" customWidth="1"/>
    <col min="2822" max="2822" width="5.140625" style="13" customWidth="1"/>
    <col min="2823" max="2823" width="16.42578125" style="13" customWidth="1"/>
    <col min="2824" max="2830" width="0" style="13" hidden="1" customWidth="1"/>
    <col min="2831" max="2831" width="4.140625" style="13" customWidth="1"/>
    <col min="2832" max="2832" width="5.7109375" style="13" customWidth="1"/>
    <col min="2833" max="2833" width="0" style="13" hidden="1" customWidth="1"/>
    <col min="2834" max="2834" width="15.7109375" style="13" customWidth="1"/>
    <col min="2835" max="2835" width="7.7109375" style="13" customWidth="1"/>
    <col min="2836" max="2836" width="9.140625" style="13"/>
    <col min="2837" max="2837" width="10.85546875" style="13" customWidth="1"/>
    <col min="2838" max="2838" width="9.7109375" style="13" customWidth="1"/>
    <col min="2839" max="2839" width="8.85546875" style="13" customWidth="1"/>
    <col min="2840" max="2840" width="10.7109375" style="13" customWidth="1"/>
    <col min="2841" max="2841" width="16" style="13" customWidth="1"/>
    <col min="2842" max="2842" width="8.7109375" style="13" customWidth="1"/>
    <col min="2843" max="2843" width="6.5703125" style="13" bestFit="1" customWidth="1"/>
    <col min="2844" max="2844" width="8.7109375" style="13" customWidth="1"/>
    <col min="2845" max="2845" width="16" style="13" customWidth="1"/>
    <col min="2846" max="2846" width="15" style="13" customWidth="1"/>
    <col min="2847" max="2847" width="9.42578125" style="13" customWidth="1"/>
    <col min="2848" max="3072" width="9.140625" style="13"/>
    <col min="3073" max="3073" width="12.28515625" style="13" customWidth="1"/>
    <col min="3074" max="3074" width="2.42578125" style="13" customWidth="1"/>
    <col min="3075" max="3075" width="3.42578125" style="13" customWidth="1"/>
    <col min="3076" max="3076" width="13.28515625" style="13" customWidth="1"/>
    <col min="3077" max="3077" width="3.140625" style="13" customWidth="1"/>
    <col min="3078" max="3078" width="5.140625" style="13" customWidth="1"/>
    <col min="3079" max="3079" width="16.42578125" style="13" customWidth="1"/>
    <col min="3080" max="3086" width="0" style="13" hidden="1" customWidth="1"/>
    <col min="3087" max="3087" width="4.140625" style="13" customWidth="1"/>
    <col min="3088" max="3088" width="5.7109375" style="13" customWidth="1"/>
    <col min="3089" max="3089" width="0" style="13" hidden="1" customWidth="1"/>
    <col min="3090" max="3090" width="15.7109375" style="13" customWidth="1"/>
    <col min="3091" max="3091" width="7.7109375" style="13" customWidth="1"/>
    <col min="3092" max="3092" width="9.140625" style="13"/>
    <col min="3093" max="3093" width="10.85546875" style="13" customWidth="1"/>
    <col min="3094" max="3094" width="9.7109375" style="13" customWidth="1"/>
    <col min="3095" max="3095" width="8.85546875" style="13" customWidth="1"/>
    <col min="3096" max="3096" width="10.7109375" style="13" customWidth="1"/>
    <col min="3097" max="3097" width="16" style="13" customWidth="1"/>
    <col min="3098" max="3098" width="8.7109375" style="13" customWidth="1"/>
    <col min="3099" max="3099" width="6.5703125" style="13" bestFit="1" customWidth="1"/>
    <col min="3100" max="3100" width="8.7109375" style="13" customWidth="1"/>
    <col min="3101" max="3101" width="16" style="13" customWidth="1"/>
    <col min="3102" max="3102" width="15" style="13" customWidth="1"/>
    <col min="3103" max="3103" width="9.42578125" style="13" customWidth="1"/>
    <col min="3104" max="3328" width="9.140625" style="13"/>
    <col min="3329" max="3329" width="12.28515625" style="13" customWidth="1"/>
    <col min="3330" max="3330" width="2.42578125" style="13" customWidth="1"/>
    <col min="3331" max="3331" width="3.42578125" style="13" customWidth="1"/>
    <col min="3332" max="3332" width="13.28515625" style="13" customWidth="1"/>
    <col min="3333" max="3333" width="3.140625" style="13" customWidth="1"/>
    <col min="3334" max="3334" width="5.140625" style="13" customWidth="1"/>
    <col min="3335" max="3335" width="16.42578125" style="13" customWidth="1"/>
    <col min="3336" max="3342" width="0" style="13" hidden="1" customWidth="1"/>
    <col min="3343" max="3343" width="4.140625" style="13" customWidth="1"/>
    <col min="3344" max="3344" width="5.7109375" style="13" customWidth="1"/>
    <col min="3345" max="3345" width="0" style="13" hidden="1" customWidth="1"/>
    <col min="3346" max="3346" width="15.7109375" style="13" customWidth="1"/>
    <col min="3347" max="3347" width="7.7109375" style="13" customWidth="1"/>
    <col min="3348" max="3348" width="9.140625" style="13"/>
    <col min="3349" max="3349" width="10.85546875" style="13" customWidth="1"/>
    <col min="3350" max="3350" width="9.7109375" style="13" customWidth="1"/>
    <col min="3351" max="3351" width="8.85546875" style="13" customWidth="1"/>
    <col min="3352" max="3352" width="10.7109375" style="13" customWidth="1"/>
    <col min="3353" max="3353" width="16" style="13" customWidth="1"/>
    <col min="3354" max="3354" width="8.7109375" style="13" customWidth="1"/>
    <col min="3355" max="3355" width="6.5703125" style="13" bestFit="1" customWidth="1"/>
    <col min="3356" max="3356" width="8.7109375" style="13" customWidth="1"/>
    <col min="3357" max="3357" width="16" style="13" customWidth="1"/>
    <col min="3358" max="3358" width="15" style="13" customWidth="1"/>
    <col min="3359" max="3359" width="9.42578125" style="13" customWidth="1"/>
    <col min="3360" max="3584" width="9.140625" style="13"/>
    <col min="3585" max="3585" width="12.28515625" style="13" customWidth="1"/>
    <col min="3586" max="3586" width="2.42578125" style="13" customWidth="1"/>
    <col min="3587" max="3587" width="3.42578125" style="13" customWidth="1"/>
    <col min="3588" max="3588" width="13.28515625" style="13" customWidth="1"/>
    <col min="3589" max="3589" width="3.140625" style="13" customWidth="1"/>
    <col min="3590" max="3590" width="5.140625" style="13" customWidth="1"/>
    <col min="3591" max="3591" width="16.42578125" style="13" customWidth="1"/>
    <col min="3592" max="3598" width="0" style="13" hidden="1" customWidth="1"/>
    <col min="3599" max="3599" width="4.140625" style="13" customWidth="1"/>
    <col min="3600" max="3600" width="5.7109375" style="13" customWidth="1"/>
    <col min="3601" max="3601" width="0" style="13" hidden="1" customWidth="1"/>
    <col min="3602" max="3602" width="15.7109375" style="13" customWidth="1"/>
    <col min="3603" max="3603" width="7.7109375" style="13" customWidth="1"/>
    <col min="3604" max="3604" width="9.140625" style="13"/>
    <col min="3605" max="3605" width="10.85546875" style="13" customWidth="1"/>
    <col min="3606" max="3606" width="9.7109375" style="13" customWidth="1"/>
    <col min="3607" max="3607" width="8.85546875" style="13" customWidth="1"/>
    <col min="3608" max="3608" width="10.7109375" style="13" customWidth="1"/>
    <col min="3609" max="3609" width="16" style="13" customWidth="1"/>
    <col min="3610" max="3610" width="8.7109375" style="13" customWidth="1"/>
    <col min="3611" max="3611" width="6.5703125" style="13" bestFit="1" customWidth="1"/>
    <col min="3612" max="3612" width="8.7109375" style="13" customWidth="1"/>
    <col min="3613" max="3613" width="16" style="13" customWidth="1"/>
    <col min="3614" max="3614" width="15" style="13" customWidth="1"/>
    <col min="3615" max="3615" width="9.42578125" style="13" customWidth="1"/>
    <col min="3616" max="3840" width="9.140625" style="13"/>
    <col min="3841" max="3841" width="12.28515625" style="13" customWidth="1"/>
    <col min="3842" max="3842" width="2.42578125" style="13" customWidth="1"/>
    <col min="3843" max="3843" width="3.42578125" style="13" customWidth="1"/>
    <col min="3844" max="3844" width="13.28515625" style="13" customWidth="1"/>
    <col min="3845" max="3845" width="3.140625" style="13" customWidth="1"/>
    <col min="3846" max="3846" width="5.140625" style="13" customWidth="1"/>
    <col min="3847" max="3847" width="16.42578125" style="13" customWidth="1"/>
    <col min="3848" max="3854" width="0" style="13" hidden="1" customWidth="1"/>
    <col min="3855" max="3855" width="4.140625" style="13" customWidth="1"/>
    <col min="3856" max="3856" width="5.7109375" style="13" customWidth="1"/>
    <col min="3857" max="3857" width="0" style="13" hidden="1" customWidth="1"/>
    <col min="3858" max="3858" width="15.7109375" style="13" customWidth="1"/>
    <col min="3859" max="3859" width="7.7109375" style="13" customWidth="1"/>
    <col min="3860" max="3860" width="9.140625" style="13"/>
    <col min="3861" max="3861" width="10.85546875" style="13" customWidth="1"/>
    <col min="3862" max="3862" width="9.7109375" style="13" customWidth="1"/>
    <col min="3863" max="3863" width="8.85546875" style="13" customWidth="1"/>
    <col min="3864" max="3864" width="10.7109375" style="13" customWidth="1"/>
    <col min="3865" max="3865" width="16" style="13" customWidth="1"/>
    <col min="3866" max="3866" width="8.7109375" style="13" customWidth="1"/>
    <col min="3867" max="3867" width="6.5703125" style="13" bestFit="1" customWidth="1"/>
    <col min="3868" max="3868" width="8.7109375" style="13" customWidth="1"/>
    <col min="3869" max="3869" width="16" style="13" customWidth="1"/>
    <col min="3870" max="3870" width="15" style="13" customWidth="1"/>
    <col min="3871" max="3871" width="9.42578125" style="13" customWidth="1"/>
    <col min="3872" max="4096" width="9.140625" style="13"/>
    <col min="4097" max="4097" width="12.28515625" style="13" customWidth="1"/>
    <col min="4098" max="4098" width="2.42578125" style="13" customWidth="1"/>
    <col min="4099" max="4099" width="3.42578125" style="13" customWidth="1"/>
    <col min="4100" max="4100" width="13.28515625" style="13" customWidth="1"/>
    <col min="4101" max="4101" width="3.140625" style="13" customWidth="1"/>
    <col min="4102" max="4102" width="5.140625" style="13" customWidth="1"/>
    <col min="4103" max="4103" width="16.42578125" style="13" customWidth="1"/>
    <col min="4104" max="4110" width="0" style="13" hidden="1" customWidth="1"/>
    <col min="4111" max="4111" width="4.140625" style="13" customWidth="1"/>
    <col min="4112" max="4112" width="5.7109375" style="13" customWidth="1"/>
    <col min="4113" max="4113" width="0" style="13" hidden="1" customWidth="1"/>
    <col min="4114" max="4114" width="15.7109375" style="13" customWidth="1"/>
    <col min="4115" max="4115" width="7.7109375" style="13" customWidth="1"/>
    <col min="4116" max="4116" width="9.140625" style="13"/>
    <col min="4117" max="4117" width="10.85546875" style="13" customWidth="1"/>
    <col min="4118" max="4118" width="9.7109375" style="13" customWidth="1"/>
    <col min="4119" max="4119" width="8.85546875" style="13" customWidth="1"/>
    <col min="4120" max="4120" width="10.7109375" style="13" customWidth="1"/>
    <col min="4121" max="4121" width="16" style="13" customWidth="1"/>
    <col min="4122" max="4122" width="8.7109375" style="13" customWidth="1"/>
    <col min="4123" max="4123" width="6.5703125" style="13" bestFit="1" customWidth="1"/>
    <col min="4124" max="4124" width="8.7109375" style="13" customWidth="1"/>
    <col min="4125" max="4125" width="16" style="13" customWidth="1"/>
    <col min="4126" max="4126" width="15" style="13" customWidth="1"/>
    <col min="4127" max="4127" width="9.42578125" style="13" customWidth="1"/>
    <col min="4128" max="4352" width="9.140625" style="13"/>
    <col min="4353" max="4353" width="12.28515625" style="13" customWidth="1"/>
    <col min="4354" max="4354" width="2.42578125" style="13" customWidth="1"/>
    <col min="4355" max="4355" width="3.42578125" style="13" customWidth="1"/>
    <col min="4356" max="4356" width="13.28515625" style="13" customWidth="1"/>
    <col min="4357" max="4357" width="3.140625" style="13" customWidth="1"/>
    <col min="4358" max="4358" width="5.140625" style="13" customWidth="1"/>
    <col min="4359" max="4359" width="16.42578125" style="13" customWidth="1"/>
    <col min="4360" max="4366" width="0" style="13" hidden="1" customWidth="1"/>
    <col min="4367" max="4367" width="4.140625" style="13" customWidth="1"/>
    <col min="4368" max="4368" width="5.7109375" style="13" customWidth="1"/>
    <col min="4369" max="4369" width="0" style="13" hidden="1" customWidth="1"/>
    <col min="4370" max="4370" width="15.7109375" style="13" customWidth="1"/>
    <col min="4371" max="4371" width="7.7109375" style="13" customWidth="1"/>
    <col min="4372" max="4372" width="9.140625" style="13"/>
    <col min="4373" max="4373" width="10.85546875" style="13" customWidth="1"/>
    <col min="4374" max="4374" width="9.7109375" style="13" customWidth="1"/>
    <col min="4375" max="4375" width="8.85546875" style="13" customWidth="1"/>
    <col min="4376" max="4376" width="10.7109375" style="13" customWidth="1"/>
    <col min="4377" max="4377" width="16" style="13" customWidth="1"/>
    <col min="4378" max="4378" width="8.7109375" style="13" customWidth="1"/>
    <col min="4379" max="4379" width="6.5703125" style="13" bestFit="1" customWidth="1"/>
    <col min="4380" max="4380" width="8.7109375" style="13" customWidth="1"/>
    <col min="4381" max="4381" width="16" style="13" customWidth="1"/>
    <col min="4382" max="4382" width="15" style="13" customWidth="1"/>
    <col min="4383" max="4383" width="9.42578125" style="13" customWidth="1"/>
    <col min="4384" max="4608" width="9.140625" style="13"/>
    <col min="4609" max="4609" width="12.28515625" style="13" customWidth="1"/>
    <col min="4610" max="4610" width="2.42578125" style="13" customWidth="1"/>
    <col min="4611" max="4611" width="3.42578125" style="13" customWidth="1"/>
    <col min="4612" max="4612" width="13.28515625" style="13" customWidth="1"/>
    <col min="4613" max="4613" width="3.140625" style="13" customWidth="1"/>
    <col min="4614" max="4614" width="5.140625" style="13" customWidth="1"/>
    <col min="4615" max="4615" width="16.42578125" style="13" customWidth="1"/>
    <col min="4616" max="4622" width="0" style="13" hidden="1" customWidth="1"/>
    <col min="4623" max="4623" width="4.140625" style="13" customWidth="1"/>
    <col min="4624" max="4624" width="5.7109375" style="13" customWidth="1"/>
    <col min="4625" max="4625" width="0" style="13" hidden="1" customWidth="1"/>
    <col min="4626" max="4626" width="15.7109375" style="13" customWidth="1"/>
    <col min="4627" max="4627" width="7.7109375" style="13" customWidth="1"/>
    <col min="4628" max="4628" width="9.140625" style="13"/>
    <col min="4629" max="4629" width="10.85546875" style="13" customWidth="1"/>
    <col min="4630" max="4630" width="9.7109375" style="13" customWidth="1"/>
    <col min="4631" max="4631" width="8.85546875" style="13" customWidth="1"/>
    <col min="4632" max="4632" width="10.7109375" style="13" customWidth="1"/>
    <col min="4633" max="4633" width="16" style="13" customWidth="1"/>
    <col min="4634" max="4634" width="8.7109375" style="13" customWidth="1"/>
    <col min="4635" max="4635" width="6.5703125" style="13" bestFit="1" customWidth="1"/>
    <col min="4636" max="4636" width="8.7109375" style="13" customWidth="1"/>
    <col min="4637" max="4637" width="16" style="13" customWidth="1"/>
    <col min="4638" max="4638" width="15" style="13" customWidth="1"/>
    <col min="4639" max="4639" width="9.42578125" style="13" customWidth="1"/>
    <col min="4640" max="4864" width="9.140625" style="13"/>
    <col min="4865" max="4865" width="12.28515625" style="13" customWidth="1"/>
    <col min="4866" max="4866" width="2.42578125" style="13" customWidth="1"/>
    <col min="4867" max="4867" width="3.42578125" style="13" customWidth="1"/>
    <col min="4868" max="4868" width="13.28515625" style="13" customWidth="1"/>
    <col min="4869" max="4869" width="3.140625" style="13" customWidth="1"/>
    <col min="4870" max="4870" width="5.140625" style="13" customWidth="1"/>
    <col min="4871" max="4871" width="16.42578125" style="13" customWidth="1"/>
    <col min="4872" max="4878" width="0" style="13" hidden="1" customWidth="1"/>
    <col min="4879" max="4879" width="4.140625" style="13" customWidth="1"/>
    <col min="4880" max="4880" width="5.7109375" style="13" customWidth="1"/>
    <col min="4881" max="4881" width="0" style="13" hidden="1" customWidth="1"/>
    <col min="4882" max="4882" width="15.7109375" style="13" customWidth="1"/>
    <col min="4883" max="4883" width="7.7109375" style="13" customWidth="1"/>
    <col min="4884" max="4884" width="9.140625" style="13"/>
    <col min="4885" max="4885" width="10.85546875" style="13" customWidth="1"/>
    <col min="4886" max="4886" width="9.7109375" style="13" customWidth="1"/>
    <col min="4887" max="4887" width="8.85546875" style="13" customWidth="1"/>
    <col min="4888" max="4888" width="10.7109375" style="13" customWidth="1"/>
    <col min="4889" max="4889" width="16" style="13" customWidth="1"/>
    <col min="4890" max="4890" width="8.7109375" style="13" customWidth="1"/>
    <col min="4891" max="4891" width="6.5703125" style="13" bestFit="1" customWidth="1"/>
    <col min="4892" max="4892" width="8.7109375" style="13" customWidth="1"/>
    <col min="4893" max="4893" width="16" style="13" customWidth="1"/>
    <col min="4894" max="4894" width="15" style="13" customWidth="1"/>
    <col min="4895" max="4895" width="9.42578125" style="13" customWidth="1"/>
    <col min="4896" max="5120" width="9.140625" style="13"/>
    <col min="5121" max="5121" width="12.28515625" style="13" customWidth="1"/>
    <col min="5122" max="5122" width="2.42578125" style="13" customWidth="1"/>
    <col min="5123" max="5123" width="3.42578125" style="13" customWidth="1"/>
    <col min="5124" max="5124" width="13.28515625" style="13" customWidth="1"/>
    <col min="5125" max="5125" width="3.140625" style="13" customWidth="1"/>
    <col min="5126" max="5126" width="5.140625" style="13" customWidth="1"/>
    <col min="5127" max="5127" width="16.42578125" style="13" customWidth="1"/>
    <col min="5128" max="5134" width="0" style="13" hidden="1" customWidth="1"/>
    <col min="5135" max="5135" width="4.140625" style="13" customWidth="1"/>
    <col min="5136" max="5136" width="5.7109375" style="13" customWidth="1"/>
    <col min="5137" max="5137" width="0" style="13" hidden="1" customWidth="1"/>
    <col min="5138" max="5138" width="15.7109375" style="13" customWidth="1"/>
    <col min="5139" max="5139" width="7.7109375" style="13" customWidth="1"/>
    <col min="5140" max="5140" width="9.140625" style="13"/>
    <col min="5141" max="5141" width="10.85546875" style="13" customWidth="1"/>
    <col min="5142" max="5142" width="9.7109375" style="13" customWidth="1"/>
    <col min="5143" max="5143" width="8.85546875" style="13" customWidth="1"/>
    <col min="5144" max="5144" width="10.7109375" style="13" customWidth="1"/>
    <col min="5145" max="5145" width="16" style="13" customWidth="1"/>
    <col min="5146" max="5146" width="8.7109375" style="13" customWidth="1"/>
    <col min="5147" max="5147" width="6.5703125" style="13" bestFit="1" customWidth="1"/>
    <col min="5148" max="5148" width="8.7109375" style="13" customWidth="1"/>
    <col min="5149" max="5149" width="16" style="13" customWidth="1"/>
    <col min="5150" max="5150" width="15" style="13" customWidth="1"/>
    <col min="5151" max="5151" width="9.42578125" style="13" customWidth="1"/>
    <col min="5152" max="5376" width="9.140625" style="13"/>
    <col min="5377" max="5377" width="12.28515625" style="13" customWidth="1"/>
    <col min="5378" max="5378" width="2.42578125" style="13" customWidth="1"/>
    <col min="5379" max="5379" width="3.42578125" style="13" customWidth="1"/>
    <col min="5380" max="5380" width="13.28515625" style="13" customWidth="1"/>
    <col min="5381" max="5381" width="3.140625" style="13" customWidth="1"/>
    <col min="5382" max="5382" width="5.140625" style="13" customWidth="1"/>
    <col min="5383" max="5383" width="16.42578125" style="13" customWidth="1"/>
    <col min="5384" max="5390" width="0" style="13" hidden="1" customWidth="1"/>
    <col min="5391" max="5391" width="4.140625" style="13" customWidth="1"/>
    <col min="5392" max="5392" width="5.7109375" style="13" customWidth="1"/>
    <col min="5393" max="5393" width="0" style="13" hidden="1" customWidth="1"/>
    <col min="5394" max="5394" width="15.7109375" style="13" customWidth="1"/>
    <col min="5395" max="5395" width="7.7109375" style="13" customWidth="1"/>
    <col min="5396" max="5396" width="9.140625" style="13"/>
    <col min="5397" max="5397" width="10.85546875" style="13" customWidth="1"/>
    <col min="5398" max="5398" width="9.7109375" style="13" customWidth="1"/>
    <col min="5399" max="5399" width="8.85546875" style="13" customWidth="1"/>
    <col min="5400" max="5400" width="10.7109375" style="13" customWidth="1"/>
    <col min="5401" max="5401" width="16" style="13" customWidth="1"/>
    <col min="5402" max="5402" width="8.7109375" style="13" customWidth="1"/>
    <col min="5403" max="5403" width="6.5703125" style="13" bestFit="1" customWidth="1"/>
    <col min="5404" max="5404" width="8.7109375" style="13" customWidth="1"/>
    <col min="5405" max="5405" width="16" style="13" customWidth="1"/>
    <col min="5406" max="5406" width="15" style="13" customWidth="1"/>
    <col min="5407" max="5407" width="9.42578125" style="13" customWidth="1"/>
    <col min="5408" max="5632" width="9.140625" style="13"/>
    <col min="5633" max="5633" width="12.28515625" style="13" customWidth="1"/>
    <col min="5634" max="5634" width="2.42578125" style="13" customWidth="1"/>
    <col min="5635" max="5635" width="3.42578125" style="13" customWidth="1"/>
    <col min="5636" max="5636" width="13.28515625" style="13" customWidth="1"/>
    <col min="5637" max="5637" width="3.140625" style="13" customWidth="1"/>
    <col min="5638" max="5638" width="5.140625" style="13" customWidth="1"/>
    <col min="5639" max="5639" width="16.42578125" style="13" customWidth="1"/>
    <col min="5640" max="5646" width="0" style="13" hidden="1" customWidth="1"/>
    <col min="5647" max="5647" width="4.140625" style="13" customWidth="1"/>
    <col min="5648" max="5648" width="5.7109375" style="13" customWidth="1"/>
    <col min="5649" max="5649" width="0" style="13" hidden="1" customWidth="1"/>
    <col min="5650" max="5650" width="15.7109375" style="13" customWidth="1"/>
    <col min="5651" max="5651" width="7.7109375" style="13" customWidth="1"/>
    <col min="5652" max="5652" width="9.140625" style="13"/>
    <col min="5653" max="5653" width="10.85546875" style="13" customWidth="1"/>
    <col min="5654" max="5654" width="9.7109375" style="13" customWidth="1"/>
    <col min="5655" max="5655" width="8.85546875" style="13" customWidth="1"/>
    <col min="5656" max="5656" width="10.7109375" style="13" customWidth="1"/>
    <col min="5657" max="5657" width="16" style="13" customWidth="1"/>
    <col min="5658" max="5658" width="8.7109375" style="13" customWidth="1"/>
    <col min="5659" max="5659" width="6.5703125" style="13" bestFit="1" customWidth="1"/>
    <col min="5660" max="5660" width="8.7109375" style="13" customWidth="1"/>
    <col min="5661" max="5661" width="16" style="13" customWidth="1"/>
    <col min="5662" max="5662" width="15" style="13" customWidth="1"/>
    <col min="5663" max="5663" width="9.42578125" style="13" customWidth="1"/>
    <col min="5664" max="5888" width="9.140625" style="13"/>
    <col min="5889" max="5889" width="12.28515625" style="13" customWidth="1"/>
    <col min="5890" max="5890" width="2.42578125" style="13" customWidth="1"/>
    <col min="5891" max="5891" width="3.42578125" style="13" customWidth="1"/>
    <col min="5892" max="5892" width="13.28515625" style="13" customWidth="1"/>
    <col min="5893" max="5893" width="3.140625" style="13" customWidth="1"/>
    <col min="5894" max="5894" width="5.140625" style="13" customWidth="1"/>
    <col min="5895" max="5895" width="16.42578125" style="13" customWidth="1"/>
    <col min="5896" max="5902" width="0" style="13" hidden="1" customWidth="1"/>
    <col min="5903" max="5903" width="4.140625" style="13" customWidth="1"/>
    <col min="5904" max="5904" width="5.7109375" style="13" customWidth="1"/>
    <col min="5905" max="5905" width="0" style="13" hidden="1" customWidth="1"/>
    <col min="5906" max="5906" width="15.7109375" style="13" customWidth="1"/>
    <col min="5907" max="5907" width="7.7109375" style="13" customWidth="1"/>
    <col min="5908" max="5908" width="9.140625" style="13"/>
    <col min="5909" max="5909" width="10.85546875" style="13" customWidth="1"/>
    <col min="5910" max="5910" width="9.7109375" style="13" customWidth="1"/>
    <col min="5911" max="5911" width="8.85546875" style="13" customWidth="1"/>
    <col min="5912" max="5912" width="10.7109375" style="13" customWidth="1"/>
    <col min="5913" max="5913" width="16" style="13" customWidth="1"/>
    <col min="5914" max="5914" width="8.7109375" style="13" customWidth="1"/>
    <col min="5915" max="5915" width="6.5703125" style="13" bestFit="1" customWidth="1"/>
    <col min="5916" max="5916" width="8.7109375" style="13" customWidth="1"/>
    <col min="5917" max="5917" width="16" style="13" customWidth="1"/>
    <col min="5918" max="5918" width="15" style="13" customWidth="1"/>
    <col min="5919" max="5919" width="9.42578125" style="13" customWidth="1"/>
    <col min="5920" max="6144" width="9.140625" style="13"/>
    <col min="6145" max="6145" width="12.28515625" style="13" customWidth="1"/>
    <col min="6146" max="6146" width="2.42578125" style="13" customWidth="1"/>
    <col min="6147" max="6147" width="3.42578125" style="13" customWidth="1"/>
    <col min="6148" max="6148" width="13.28515625" style="13" customWidth="1"/>
    <col min="6149" max="6149" width="3.140625" style="13" customWidth="1"/>
    <col min="6150" max="6150" width="5.140625" style="13" customWidth="1"/>
    <col min="6151" max="6151" width="16.42578125" style="13" customWidth="1"/>
    <col min="6152" max="6158" width="0" style="13" hidden="1" customWidth="1"/>
    <col min="6159" max="6159" width="4.140625" style="13" customWidth="1"/>
    <col min="6160" max="6160" width="5.7109375" style="13" customWidth="1"/>
    <col min="6161" max="6161" width="0" style="13" hidden="1" customWidth="1"/>
    <col min="6162" max="6162" width="15.7109375" style="13" customWidth="1"/>
    <col min="6163" max="6163" width="7.7109375" style="13" customWidth="1"/>
    <col min="6164" max="6164" width="9.140625" style="13"/>
    <col min="6165" max="6165" width="10.85546875" style="13" customWidth="1"/>
    <col min="6166" max="6166" width="9.7109375" style="13" customWidth="1"/>
    <col min="6167" max="6167" width="8.85546875" style="13" customWidth="1"/>
    <col min="6168" max="6168" width="10.7109375" style="13" customWidth="1"/>
    <col min="6169" max="6169" width="16" style="13" customWidth="1"/>
    <col min="6170" max="6170" width="8.7109375" style="13" customWidth="1"/>
    <col min="6171" max="6171" width="6.5703125" style="13" bestFit="1" customWidth="1"/>
    <col min="6172" max="6172" width="8.7109375" style="13" customWidth="1"/>
    <col min="6173" max="6173" width="16" style="13" customWidth="1"/>
    <col min="6174" max="6174" width="15" style="13" customWidth="1"/>
    <col min="6175" max="6175" width="9.42578125" style="13" customWidth="1"/>
    <col min="6176" max="6400" width="9.140625" style="13"/>
    <col min="6401" max="6401" width="12.28515625" style="13" customWidth="1"/>
    <col min="6402" max="6402" width="2.42578125" style="13" customWidth="1"/>
    <col min="6403" max="6403" width="3.42578125" style="13" customWidth="1"/>
    <col min="6404" max="6404" width="13.28515625" style="13" customWidth="1"/>
    <col min="6405" max="6405" width="3.140625" style="13" customWidth="1"/>
    <col min="6406" max="6406" width="5.140625" style="13" customWidth="1"/>
    <col min="6407" max="6407" width="16.42578125" style="13" customWidth="1"/>
    <col min="6408" max="6414" width="0" style="13" hidden="1" customWidth="1"/>
    <col min="6415" max="6415" width="4.140625" style="13" customWidth="1"/>
    <col min="6416" max="6416" width="5.7109375" style="13" customWidth="1"/>
    <col min="6417" max="6417" width="0" style="13" hidden="1" customWidth="1"/>
    <col min="6418" max="6418" width="15.7109375" style="13" customWidth="1"/>
    <col min="6419" max="6419" width="7.7109375" style="13" customWidth="1"/>
    <col min="6420" max="6420" width="9.140625" style="13"/>
    <col min="6421" max="6421" width="10.85546875" style="13" customWidth="1"/>
    <col min="6422" max="6422" width="9.7109375" style="13" customWidth="1"/>
    <col min="6423" max="6423" width="8.85546875" style="13" customWidth="1"/>
    <col min="6424" max="6424" width="10.7109375" style="13" customWidth="1"/>
    <col min="6425" max="6425" width="16" style="13" customWidth="1"/>
    <col min="6426" max="6426" width="8.7109375" style="13" customWidth="1"/>
    <col min="6427" max="6427" width="6.5703125" style="13" bestFit="1" customWidth="1"/>
    <col min="6428" max="6428" width="8.7109375" style="13" customWidth="1"/>
    <col min="6429" max="6429" width="16" style="13" customWidth="1"/>
    <col min="6430" max="6430" width="15" style="13" customWidth="1"/>
    <col min="6431" max="6431" width="9.42578125" style="13" customWidth="1"/>
    <col min="6432" max="6656" width="9.140625" style="13"/>
    <col min="6657" max="6657" width="12.28515625" style="13" customWidth="1"/>
    <col min="6658" max="6658" width="2.42578125" style="13" customWidth="1"/>
    <col min="6659" max="6659" width="3.42578125" style="13" customWidth="1"/>
    <col min="6660" max="6660" width="13.28515625" style="13" customWidth="1"/>
    <col min="6661" max="6661" width="3.140625" style="13" customWidth="1"/>
    <col min="6662" max="6662" width="5.140625" style="13" customWidth="1"/>
    <col min="6663" max="6663" width="16.42578125" style="13" customWidth="1"/>
    <col min="6664" max="6670" width="0" style="13" hidden="1" customWidth="1"/>
    <col min="6671" max="6671" width="4.140625" style="13" customWidth="1"/>
    <col min="6672" max="6672" width="5.7109375" style="13" customWidth="1"/>
    <col min="6673" max="6673" width="0" style="13" hidden="1" customWidth="1"/>
    <col min="6674" max="6674" width="15.7109375" style="13" customWidth="1"/>
    <col min="6675" max="6675" width="7.7109375" style="13" customWidth="1"/>
    <col min="6676" max="6676" width="9.140625" style="13"/>
    <col min="6677" max="6677" width="10.85546875" style="13" customWidth="1"/>
    <col min="6678" max="6678" width="9.7109375" style="13" customWidth="1"/>
    <col min="6679" max="6679" width="8.85546875" style="13" customWidth="1"/>
    <col min="6680" max="6680" width="10.7109375" style="13" customWidth="1"/>
    <col min="6681" max="6681" width="16" style="13" customWidth="1"/>
    <col min="6682" max="6682" width="8.7109375" style="13" customWidth="1"/>
    <col min="6683" max="6683" width="6.5703125" style="13" bestFit="1" customWidth="1"/>
    <col min="6684" max="6684" width="8.7109375" style="13" customWidth="1"/>
    <col min="6685" max="6685" width="16" style="13" customWidth="1"/>
    <col min="6686" max="6686" width="15" style="13" customWidth="1"/>
    <col min="6687" max="6687" width="9.42578125" style="13" customWidth="1"/>
    <col min="6688" max="6912" width="9.140625" style="13"/>
    <col min="6913" max="6913" width="12.28515625" style="13" customWidth="1"/>
    <col min="6914" max="6914" width="2.42578125" style="13" customWidth="1"/>
    <col min="6915" max="6915" width="3.42578125" style="13" customWidth="1"/>
    <col min="6916" max="6916" width="13.28515625" style="13" customWidth="1"/>
    <col min="6917" max="6917" width="3.140625" style="13" customWidth="1"/>
    <col min="6918" max="6918" width="5.140625" style="13" customWidth="1"/>
    <col min="6919" max="6919" width="16.42578125" style="13" customWidth="1"/>
    <col min="6920" max="6926" width="0" style="13" hidden="1" customWidth="1"/>
    <col min="6927" max="6927" width="4.140625" style="13" customWidth="1"/>
    <col min="6928" max="6928" width="5.7109375" style="13" customWidth="1"/>
    <col min="6929" max="6929" width="0" style="13" hidden="1" customWidth="1"/>
    <col min="6930" max="6930" width="15.7109375" style="13" customWidth="1"/>
    <col min="6931" max="6931" width="7.7109375" style="13" customWidth="1"/>
    <col min="6932" max="6932" width="9.140625" style="13"/>
    <col min="6933" max="6933" width="10.85546875" style="13" customWidth="1"/>
    <col min="6934" max="6934" width="9.7109375" style="13" customWidth="1"/>
    <col min="6935" max="6935" width="8.85546875" style="13" customWidth="1"/>
    <col min="6936" max="6936" width="10.7109375" style="13" customWidth="1"/>
    <col min="6937" max="6937" width="16" style="13" customWidth="1"/>
    <col min="6938" max="6938" width="8.7109375" style="13" customWidth="1"/>
    <col min="6939" max="6939" width="6.5703125" style="13" bestFit="1" customWidth="1"/>
    <col min="6940" max="6940" width="8.7109375" style="13" customWidth="1"/>
    <col min="6941" max="6941" width="16" style="13" customWidth="1"/>
    <col min="6942" max="6942" width="15" style="13" customWidth="1"/>
    <col min="6943" max="6943" width="9.42578125" style="13" customWidth="1"/>
    <col min="6944" max="7168" width="9.140625" style="13"/>
    <col min="7169" max="7169" width="12.28515625" style="13" customWidth="1"/>
    <col min="7170" max="7170" width="2.42578125" style="13" customWidth="1"/>
    <col min="7171" max="7171" width="3.42578125" style="13" customWidth="1"/>
    <col min="7172" max="7172" width="13.28515625" style="13" customWidth="1"/>
    <col min="7173" max="7173" width="3.140625" style="13" customWidth="1"/>
    <col min="7174" max="7174" width="5.140625" style="13" customWidth="1"/>
    <col min="7175" max="7175" width="16.42578125" style="13" customWidth="1"/>
    <col min="7176" max="7182" width="0" style="13" hidden="1" customWidth="1"/>
    <col min="7183" max="7183" width="4.140625" style="13" customWidth="1"/>
    <col min="7184" max="7184" width="5.7109375" style="13" customWidth="1"/>
    <col min="7185" max="7185" width="0" style="13" hidden="1" customWidth="1"/>
    <col min="7186" max="7186" width="15.7109375" style="13" customWidth="1"/>
    <col min="7187" max="7187" width="7.7109375" style="13" customWidth="1"/>
    <col min="7188" max="7188" width="9.140625" style="13"/>
    <col min="7189" max="7189" width="10.85546875" style="13" customWidth="1"/>
    <col min="7190" max="7190" width="9.7109375" style="13" customWidth="1"/>
    <col min="7191" max="7191" width="8.85546875" style="13" customWidth="1"/>
    <col min="7192" max="7192" width="10.7109375" style="13" customWidth="1"/>
    <col min="7193" max="7193" width="16" style="13" customWidth="1"/>
    <col min="7194" max="7194" width="8.7109375" style="13" customWidth="1"/>
    <col min="7195" max="7195" width="6.5703125" style="13" bestFit="1" customWidth="1"/>
    <col min="7196" max="7196" width="8.7109375" style="13" customWidth="1"/>
    <col min="7197" max="7197" width="16" style="13" customWidth="1"/>
    <col min="7198" max="7198" width="15" style="13" customWidth="1"/>
    <col min="7199" max="7199" width="9.42578125" style="13" customWidth="1"/>
    <col min="7200" max="7424" width="9.140625" style="13"/>
    <col min="7425" max="7425" width="12.28515625" style="13" customWidth="1"/>
    <col min="7426" max="7426" width="2.42578125" style="13" customWidth="1"/>
    <col min="7427" max="7427" width="3.42578125" style="13" customWidth="1"/>
    <col min="7428" max="7428" width="13.28515625" style="13" customWidth="1"/>
    <col min="7429" max="7429" width="3.140625" style="13" customWidth="1"/>
    <col min="7430" max="7430" width="5.140625" style="13" customWidth="1"/>
    <col min="7431" max="7431" width="16.42578125" style="13" customWidth="1"/>
    <col min="7432" max="7438" width="0" style="13" hidden="1" customWidth="1"/>
    <col min="7439" max="7439" width="4.140625" style="13" customWidth="1"/>
    <col min="7440" max="7440" width="5.7109375" style="13" customWidth="1"/>
    <col min="7441" max="7441" width="0" style="13" hidden="1" customWidth="1"/>
    <col min="7442" max="7442" width="15.7109375" style="13" customWidth="1"/>
    <col min="7443" max="7443" width="7.7109375" style="13" customWidth="1"/>
    <col min="7444" max="7444" width="9.140625" style="13"/>
    <col min="7445" max="7445" width="10.85546875" style="13" customWidth="1"/>
    <col min="7446" max="7446" width="9.7109375" style="13" customWidth="1"/>
    <col min="7447" max="7447" width="8.85546875" style="13" customWidth="1"/>
    <col min="7448" max="7448" width="10.7109375" style="13" customWidth="1"/>
    <col min="7449" max="7449" width="16" style="13" customWidth="1"/>
    <col min="7450" max="7450" width="8.7109375" style="13" customWidth="1"/>
    <col min="7451" max="7451" width="6.5703125" style="13" bestFit="1" customWidth="1"/>
    <col min="7452" max="7452" width="8.7109375" style="13" customWidth="1"/>
    <col min="7453" max="7453" width="16" style="13" customWidth="1"/>
    <col min="7454" max="7454" width="15" style="13" customWidth="1"/>
    <col min="7455" max="7455" width="9.42578125" style="13" customWidth="1"/>
    <col min="7456" max="7680" width="9.140625" style="13"/>
    <col min="7681" max="7681" width="12.28515625" style="13" customWidth="1"/>
    <col min="7682" max="7682" width="2.42578125" style="13" customWidth="1"/>
    <col min="7683" max="7683" width="3.42578125" style="13" customWidth="1"/>
    <col min="7684" max="7684" width="13.28515625" style="13" customWidth="1"/>
    <col min="7685" max="7685" width="3.140625" style="13" customWidth="1"/>
    <col min="7686" max="7686" width="5.140625" style="13" customWidth="1"/>
    <col min="7687" max="7687" width="16.42578125" style="13" customWidth="1"/>
    <col min="7688" max="7694" width="0" style="13" hidden="1" customWidth="1"/>
    <col min="7695" max="7695" width="4.140625" style="13" customWidth="1"/>
    <col min="7696" max="7696" width="5.7109375" style="13" customWidth="1"/>
    <col min="7697" max="7697" width="0" style="13" hidden="1" customWidth="1"/>
    <col min="7698" max="7698" width="15.7109375" style="13" customWidth="1"/>
    <col min="7699" max="7699" width="7.7109375" style="13" customWidth="1"/>
    <col min="7700" max="7700" width="9.140625" style="13"/>
    <col min="7701" max="7701" width="10.85546875" style="13" customWidth="1"/>
    <col min="7702" max="7702" width="9.7109375" style="13" customWidth="1"/>
    <col min="7703" max="7703" width="8.85546875" style="13" customWidth="1"/>
    <col min="7704" max="7704" width="10.7109375" style="13" customWidth="1"/>
    <col min="7705" max="7705" width="16" style="13" customWidth="1"/>
    <col min="7706" max="7706" width="8.7109375" style="13" customWidth="1"/>
    <col min="7707" max="7707" width="6.5703125" style="13" bestFit="1" customWidth="1"/>
    <col min="7708" max="7708" width="8.7109375" style="13" customWidth="1"/>
    <col min="7709" max="7709" width="16" style="13" customWidth="1"/>
    <col min="7710" max="7710" width="15" style="13" customWidth="1"/>
    <col min="7711" max="7711" width="9.42578125" style="13" customWidth="1"/>
    <col min="7712" max="7936" width="9.140625" style="13"/>
    <col min="7937" max="7937" width="12.28515625" style="13" customWidth="1"/>
    <col min="7938" max="7938" width="2.42578125" style="13" customWidth="1"/>
    <col min="7939" max="7939" width="3.42578125" style="13" customWidth="1"/>
    <col min="7940" max="7940" width="13.28515625" style="13" customWidth="1"/>
    <col min="7941" max="7941" width="3.140625" style="13" customWidth="1"/>
    <col min="7942" max="7942" width="5.140625" style="13" customWidth="1"/>
    <col min="7943" max="7943" width="16.42578125" style="13" customWidth="1"/>
    <col min="7944" max="7950" width="0" style="13" hidden="1" customWidth="1"/>
    <col min="7951" max="7951" width="4.140625" style="13" customWidth="1"/>
    <col min="7952" max="7952" width="5.7109375" style="13" customWidth="1"/>
    <col min="7953" max="7953" width="0" style="13" hidden="1" customWidth="1"/>
    <col min="7954" max="7954" width="15.7109375" style="13" customWidth="1"/>
    <col min="7955" max="7955" width="7.7109375" style="13" customWidth="1"/>
    <col min="7956" max="7956" width="9.140625" style="13"/>
    <col min="7957" max="7957" width="10.85546875" style="13" customWidth="1"/>
    <col min="7958" max="7958" width="9.7109375" style="13" customWidth="1"/>
    <col min="7959" max="7959" width="8.85546875" style="13" customWidth="1"/>
    <col min="7960" max="7960" width="10.7109375" style="13" customWidth="1"/>
    <col min="7961" max="7961" width="16" style="13" customWidth="1"/>
    <col min="7962" max="7962" width="8.7109375" style="13" customWidth="1"/>
    <col min="7963" max="7963" width="6.5703125" style="13" bestFit="1" customWidth="1"/>
    <col min="7964" max="7964" width="8.7109375" style="13" customWidth="1"/>
    <col min="7965" max="7965" width="16" style="13" customWidth="1"/>
    <col min="7966" max="7966" width="15" style="13" customWidth="1"/>
    <col min="7967" max="7967" width="9.42578125" style="13" customWidth="1"/>
    <col min="7968" max="8192" width="9.140625" style="13"/>
    <col min="8193" max="8193" width="12.28515625" style="13" customWidth="1"/>
    <col min="8194" max="8194" width="2.42578125" style="13" customWidth="1"/>
    <col min="8195" max="8195" width="3.42578125" style="13" customWidth="1"/>
    <col min="8196" max="8196" width="13.28515625" style="13" customWidth="1"/>
    <col min="8197" max="8197" width="3.140625" style="13" customWidth="1"/>
    <col min="8198" max="8198" width="5.140625" style="13" customWidth="1"/>
    <col min="8199" max="8199" width="16.42578125" style="13" customWidth="1"/>
    <col min="8200" max="8206" width="0" style="13" hidden="1" customWidth="1"/>
    <col min="8207" max="8207" width="4.140625" style="13" customWidth="1"/>
    <col min="8208" max="8208" width="5.7109375" style="13" customWidth="1"/>
    <col min="8209" max="8209" width="0" style="13" hidden="1" customWidth="1"/>
    <col min="8210" max="8210" width="15.7109375" style="13" customWidth="1"/>
    <col min="8211" max="8211" width="7.7109375" style="13" customWidth="1"/>
    <col min="8212" max="8212" width="9.140625" style="13"/>
    <col min="8213" max="8213" width="10.85546875" style="13" customWidth="1"/>
    <col min="8214" max="8214" width="9.7109375" style="13" customWidth="1"/>
    <col min="8215" max="8215" width="8.85546875" style="13" customWidth="1"/>
    <col min="8216" max="8216" width="10.7109375" style="13" customWidth="1"/>
    <col min="8217" max="8217" width="16" style="13" customWidth="1"/>
    <col min="8218" max="8218" width="8.7109375" style="13" customWidth="1"/>
    <col min="8219" max="8219" width="6.5703125" style="13" bestFit="1" customWidth="1"/>
    <col min="8220" max="8220" width="8.7109375" style="13" customWidth="1"/>
    <col min="8221" max="8221" width="16" style="13" customWidth="1"/>
    <col min="8222" max="8222" width="15" style="13" customWidth="1"/>
    <col min="8223" max="8223" width="9.42578125" style="13" customWidth="1"/>
    <col min="8224" max="8448" width="9.140625" style="13"/>
    <col min="8449" max="8449" width="12.28515625" style="13" customWidth="1"/>
    <col min="8450" max="8450" width="2.42578125" style="13" customWidth="1"/>
    <col min="8451" max="8451" width="3.42578125" style="13" customWidth="1"/>
    <col min="8452" max="8452" width="13.28515625" style="13" customWidth="1"/>
    <col min="8453" max="8453" width="3.140625" style="13" customWidth="1"/>
    <col min="8454" max="8454" width="5.140625" style="13" customWidth="1"/>
    <col min="8455" max="8455" width="16.42578125" style="13" customWidth="1"/>
    <col min="8456" max="8462" width="0" style="13" hidden="1" customWidth="1"/>
    <col min="8463" max="8463" width="4.140625" style="13" customWidth="1"/>
    <col min="8464" max="8464" width="5.7109375" style="13" customWidth="1"/>
    <col min="8465" max="8465" width="0" style="13" hidden="1" customWidth="1"/>
    <col min="8466" max="8466" width="15.7109375" style="13" customWidth="1"/>
    <col min="8467" max="8467" width="7.7109375" style="13" customWidth="1"/>
    <col min="8468" max="8468" width="9.140625" style="13"/>
    <col min="8469" max="8469" width="10.85546875" style="13" customWidth="1"/>
    <col min="8470" max="8470" width="9.7109375" style="13" customWidth="1"/>
    <col min="8471" max="8471" width="8.85546875" style="13" customWidth="1"/>
    <col min="8472" max="8472" width="10.7109375" style="13" customWidth="1"/>
    <col min="8473" max="8473" width="16" style="13" customWidth="1"/>
    <col min="8474" max="8474" width="8.7109375" style="13" customWidth="1"/>
    <col min="8475" max="8475" width="6.5703125" style="13" bestFit="1" customWidth="1"/>
    <col min="8476" max="8476" width="8.7109375" style="13" customWidth="1"/>
    <col min="8477" max="8477" width="16" style="13" customWidth="1"/>
    <col min="8478" max="8478" width="15" style="13" customWidth="1"/>
    <col min="8479" max="8479" width="9.42578125" style="13" customWidth="1"/>
    <col min="8480" max="8704" width="9.140625" style="13"/>
    <col min="8705" max="8705" width="12.28515625" style="13" customWidth="1"/>
    <col min="8706" max="8706" width="2.42578125" style="13" customWidth="1"/>
    <col min="8707" max="8707" width="3.42578125" style="13" customWidth="1"/>
    <col min="8708" max="8708" width="13.28515625" style="13" customWidth="1"/>
    <col min="8709" max="8709" width="3.140625" style="13" customWidth="1"/>
    <col min="8710" max="8710" width="5.140625" style="13" customWidth="1"/>
    <col min="8711" max="8711" width="16.42578125" style="13" customWidth="1"/>
    <col min="8712" max="8718" width="0" style="13" hidden="1" customWidth="1"/>
    <col min="8719" max="8719" width="4.140625" style="13" customWidth="1"/>
    <col min="8720" max="8720" width="5.7109375" style="13" customWidth="1"/>
    <col min="8721" max="8721" width="0" style="13" hidden="1" customWidth="1"/>
    <col min="8722" max="8722" width="15.7109375" style="13" customWidth="1"/>
    <col min="8723" max="8723" width="7.7109375" style="13" customWidth="1"/>
    <col min="8724" max="8724" width="9.140625" style="13"/>
    <col min="8725" max="8725" width="10.85546875" style="13" customWidth="1"/>
    <col min="8726" max="8726" width="9.7109375" style="13" customWidth="1"/>
    <col min="8727" max="8727" width="8.85546875" style="13" customWidth="1"/>
    <col min="8728" max="8728" width="10.7109375" style="13" customWidth="1"/>
    <col min="8729" max="8729" width="16" style="13" customWidth="1"/>
    <col min="8730" max="8730" width="8.7109375" style="13" customWidth="1"/>
    <col min="8731" max="8731" width="6.5703125" style="13" bestFit="1" customWidth="1"/>
    <col min="8732" max="8732" width="8.7109375" style="13" customWidth="1"/>
    <col min="8733" max="8733" width="16" style="13" customWidth="1"/>
    <col min="8734" max="8734" width="15" style="13" customWidth="1"/>
    <col min="8735" max="8735" width="9.42578125" style="13" customWidth="1"/>
    <col min="8736" max="8960" width="9.140625" style="13"/>
    <col min="8961" max="8961" width="12.28515625" style="13" customWidth="1"/>
    <col min="8962" max="8962" width="2.42578125" style="13" customWidth="1"/>
    <col min="8963" max="8963" width="3.42578125" style="13" customWidth="1"/>
    <col min="8964" max="8964" width="13.28515625" style="13" customWidth="1"/>
    <col min="8965" max="8965" width="3.140625" style="13" customWidth="1"/>
    <col min="8966" max="8966" width="5.140625" style="13" customWidth="1"/>
    <col min="8967" max="8967" width="16.42578125" style="13" customWidth="1"/>
    <col min="8968" max="8974" width="0" style="13" hidden="1" customWidth="1"/>
    <col min="8975" max="8975" width="4.140625" style="13" customWidth="1"/>
    <col min="8976" max="8976" width="5.7109375" style="13" customWidth="1"/>
    <col min="8977" max="8977" width="0" style="13" hidden="1" customWidth="1"/>
    <col min="8978" max="8978" width="15.7109375" style="13" customWidth="1"/>
    <col min="8979" max="8979" width="7.7109375" style="13" customWidth="1"/>
    <col min="8980" max="8980" width="9.140625" style="13"/>
    <col min="8981" max="8981" width="10.85546875" style="13" customWidth="1"/>
    <col min="8982" max="8982" width="9.7109375" style="13" customWidth="1"/>
    <col min="8983" max="8983" width="8.85546875" style="13" customWidth="1"/>
    <col min="8984" max="8984" width="10.7109375" style="13" customWidth="1"/>
    <col min="8985" max="8985" width="16" style="13" customWidth="1"/>
    <col min="8986" max="8986" width="8.7109375" style="13" customWidth="1"/>
    <col min="8987" max="8987" width="6.5703125" style="13" bestFit="1" customWidth="1"/>
    <col min="8988" max="8988" width="8.7109375" style="13" customWidth="1"/>
    <col min="8989" max="8989" width="16" style="13" customWidth="1"/>
    <col min="8990" max="8990" width="15" style="13" customWidth="1"/>
    <col min="8991" max="8991" width="9.42578125" style="13" customWidth="1"/>
    <col min="8992" max="9216" width="9.140625" style="13"/>
    <col min="9217" max="9217" width="12.28515625" style="13" customWidth="1"/>
    <col min="9218" max="9218" width="2.42578125" style="13" customWidth="1"/>
    <col min="9219" max="9219" width="3.42578125" style="13" customWidth="1"/>
    <col min="9220" max="9220" width="13.28515625" style="13" customWidth="1"/>
    <col min="9221" max="9221" width="3.140625" style="13" customWidth="1"/>
    <col min="9222" max="9222" width="5.140625" style="13" customWidth="1"/>
    <col min="9223" max="9223" width="16.42578125" style="13" customWidth="1"/>
    <col min="9224" max="9230" width="0" style="13" hidden="1" customWidth="1"/>
    <col min="9231" max="9231" width="4.140625" style="13" customWidth="1"/>
    <col min="9232" max="9232" width="5.7109375" style="13" customWidth="1"/>
    <col min="9233" max="9233" width="0" style="13" hidden="1" customWidth="1"/>
    <col min="9234" max="9234" width="15.7109375" style="13" customWidth="1"/>
    <col min="9235" max="9235" width="7.7109375" style="13" customWidth="1"/>
    <col min="9236" max="9236" width="9.140625" style="13"/>
    <col min="9237" max="9237" width="10.85546875" style="13" customWidth="1"/>
    <col min="9238" max="9238" width="9.7109375" style="13" customWidth="1"/>
    <col min="9239" max="9239" width="8.85546875" style="13" customWidth="1"/>
    <col min="9240" max="9240" width="10.7109375" style="13" customWidth="1"/>
    <col min="9241" max="9241" width="16" style="13" customWidth="1"/>
    <col min="9242" max="9242" width="8.7109375" style="13" customWidth="1"/>
    <col min="9243" max="9243" width="6.5703125" style="13" bestFit="1" customWidth="1"/>
    <col min="9244" max="9244" width="8.7109375" style="13" customWidth="1"/>
    <col min="9245" max="9245" width="16" style="13" customWidth="1"/>
    <col min="9246" max="9246" width="15" style="13" customWidth="1"/>
    <col min="9247" max="9247" width="9.42578125" style="13" customWidth="1"/>
    <col min="9248" max="9472" width="9.140625" style="13"/>
    <col min="9473" max="9473" width="12.28515625" style="13" customWidth="1"/>
    <col min="9474" max="9474" width="2.42578125" style="13" customWidth="1"/>
    <col min="9475" max="9475" width="3.42578125" style="13" customWidth="1"/>
    <col min="9476" max="9476" width="13.28515625" style="13" customWidth="1"/>
    <col min="9477" max="9477" width="3.140625" style="13" customWidth="1"/>
    <col min="9478" max="9478" width="5.140625" style="13" customWidth="1"/>
    <col min="9479" max="9479" width="16.42578125" style="13" customWidth="1"/>
    <col min="9480" max="9486" width="0" style="13" hidden="1" customWidth="1"/>
    <col min="9487" max="9487" width="4.140625" style="13" customWidth="1"/>
    <col min="9488" max="9488" width="5.7109375" style="13" customWidth="1"/>
    <col min="9489" max="9489" width="0" style="13" hidden="1" customWidth="1"/>
    <col min="9490" max="9490" width="15.7109375" style="13" customWidth="1"/>
    <col min="9491" max="9491" width="7.7109375" style="13" customWidth="1"/>
    <col min="9492" max="9492" width="9.140625" style="13"/>
    <col min="9493" max="9493" width="10.85546875" style="13" customWidth="1"/>
    <col min="9494" max="9494" width="9.7109375" style="13" customWidth="1"/>
    <col min="9495" max="9495" width="8.85546875" style="13" customWidth="1"/>
    <col min="9496" max="9496" width="10.7109375" style="13" customWidth="1"/>
    <col min="9497" max="9497" width="16" style="13" customWidth="1"/>
    <col min="9498" max="9498" width="8.7109375" style="13" customWidth="1"/>
    <col min="9499" max="9499" width="6.5703125" style="13" bestFit="1" customWidth="1"/>
    <col min="9500" max="9500" width="8.7109375" style="13" customWidth="1"/>
    <col min="9501" max="9501" width="16" style="13" customWidth="1"/>
    <col min="9502" max="9502" width="15" style="13" customWidth="1"/>
    <col min="9503" max="9503" width="9.42578125" style="13" customWidth="1"/>
    <col min="9504" max="9728" width="9.140625" style="13"/>
    <col min="9729" max="9729" width="12.28515625" style="13" customWidth="1"/>
    <col min="9730" max="9730" width="2.42578125" style="13" customWidth="1"/>
    <col min="9731" max="9731" width="3.42578125" style="13" customWidth="1"/>
    <col min="9732" max="9732" width="13.28515625" style="13" customWidth="1"/>
    <col min="9733" max="9733" width="3.140625" style="13" customWidth="1"/>
    <col min="9734" max="9734" width="5.140625" style="13" customWidth="1"/>
    <col min="9735" max="9735" width="16.42578125" style="13" customWidth="1"/>
    <col min="9736" max="9742" width="0" style="13" hidden="1" customWidth="1"/>
    <col min="9743" max="9743" width="4.140625" style="13" customWidth="1"/>
    <col min="9744" max="9744" width="5.7109375" style="13" customWidth="1"/>
    <col min="9745" max="9745" width="0" style="13" hidden="1" customWidth="1"/>
    <col min="9746" max="9746" width="15.7109375" style="13" customWidth="1"/>
    <col min="9747" max="9747" width="7.7109375" style="13" customWidth="1"/>
    <col min="9748" max="9748" width="9.140625" style="13"/>
    <col min="9749" max="9749" width="10.85546875" style="13" customWidth="1"/>
    <col min="9750" max="9750" width="9.7109375" style="13" customWidth="1"/>
    <col min="9751" max="9751" width="8.85546875" style="13" customWidth="1"/>
    <col min="9752" max="9752" width="10.7109375" style="13" customWidth="1"/>
    <col min="9753" max="9753" width="16" style="13" customWidth="1"/>
    <col min="9754" max="9754" width="8.7109375" style="13" customWidth="1"/>
    <col min="9755" max="9755" width="6.5703125" style="13" bestFit="1" customWidth="1"/>
    <col min="9756" max="9756" width="8.7109375" style="13" customWidth="1"/>
    <col min="9757" max="9757" width="16" style="13" customWidth="1"/>
    <col min="9758" max="9758" width="15" style="13" customWidth="1"/>
    <col min="9759" max="9759" width="9.42578125" style="13" customWidth="1"/>
    <col min="9760" max="9984" width="9.140625" style="13"/>
    <col min="9985" max="9985" width="12.28515625" style="13" customWidth="1"/>
    <col min="9986" max="9986" width="2.42578125" style="13" customWidth="1"/>
    <col min="9987" max="9987" width="3.42578125" style="13" customWidth="1"/>
    <col min="9988" max="9988" width="13.28515625" style="13" customWidth="1"/>
    <col min="9989" max="9989" width="3.140625" style="13" customWidth="1"/>
    <col min="9990" max="9990" width="5.140625" style="13" customWidth="1"/>
    <col min="9991" max="9991" width="16.42578125" style="13" customWidth="1"/>
    <col min="9992" max="9998" width="0" style="13" hidden="1" customWidth="1"/>
    <col min="9999" max="9999" width="4.140625" style="13" customWidth="1"/>
    <col min="10000" max="10000" width="5.7109375" style="13" customWidth="1"/>
    <col min="10001" max="10001" width="0" style="13" hidden="1" customWidth="1"/>
    <col min="10002" max="10002" width="15.7109375" style="13" customWidth="1"/>
    <col min="10003" max="10003" width="7.7109375" style="13" customWidth="1"/>
    <col min="10004" max="10004" width="9.140625" style="13"/>
    <col min="10005" max="10005" width="10.85546875" style="13" customWidth="1"/>
    <col min="10006" max="10006" width="9.7109375" style="13" customWidth="1"/>
    <col min="10007" max="10007" width="8.85546875" style="13" customWidth="1"/>
    <col min="10008" max="10008" width="10.7109375" style="13" customWidth="1"/>
    <col min="10009" max="10009" width="16" style="13" customWidth="1"/>
    <col min="10010" max="10010" width="8.7109375" style="13" customWidth="1"/>
    <col min="10011" max="10011" width="6.5703125" style="13" bestFit="1" customWidth="1"/>
    <col min="10012" max="10012" width="8.7109375" style="13" customWidth="1"/>
    <col min="10013" max="10013" width="16" style="13" customWidth="1"/>
    <col min="10014" max="10014" width="15" style="13" customWidth="1"/>
    <col min="10015" max="10015" width="9.42578125" style="13" customWidth="1"/>
    <col min="10016" max="10240" width="9.140625" style="13"/>
    <col min="10241" max="10241" width="12.28515625" style="13" customWidth="1"/>
    <col min="10242" max="10242" width="2.42578125" style="13" customWidth="1"/>
    <col min="10243" max="10243" width="3.42578125" style="13" customWidth="1"/>
    <col min="10244" max="10244" width="13.28515625" style="13" customWidth="1"/>
    <col min="10245" max="10245" width="3.140625" style="13" customWidth="1"/>
    <col min="10246" max="10246" width="5.140625" style="13" customWidth="1"/>
    <col min="10247" max="10247" width="16.42578125" style="13" customWidth="1"/>
    <col min="10248" max="10254" width="0" style="13" hidden="1" customWidth="1"/>
    <col min="10255" max="10255" width="4.140625" style="13" customWidth="1"/>
    <col min="10256" max="10256" width="5.7109375" style="13" customWidth="1"/>
    <col min="10257" max="10257" width="0" style="13" hidden="1" customWidth="1"/>
    <col min="10258" max="10258" width="15.7109375" style="13" customWidth="1"/>
    <col min="10259" max="10259" width="7.7109375" style="13" customWidth="1"/>
    <col min="10260" max="10260" width="9.140625" style="13"/>
    <col min="10261" max="10261" width="10.85546875" style="13" customWidth="1"/>
    <col min="10262" max="10262" width="9.7109375" style="13" customWidth="1"/>
    <col min="10263" max="10263" width="8.85546875" style="13" customWidth="1"/>
    <col min="10264" max="10264" width="10.7109375" style="13" customWidth="1"/>
    <col min="10265" max="10265" width="16" style="13" customWidth="1"/>
    <col min="10266" max="10266" width="8.7109375" style="13" customWidth="1"/>
    <col min="10267" max="10267" width="6.5703125" style="13" bestFit="1" customWidth="1"/>
    <col min="10268" max="10268" width="8.7109375" style="13" customWidth="1"/>
    <col min="10269" max="10269" width="16" style="13" customWidth="1"/>
    <col min="10270" max="10270" width="15" style="13" customWidth="1"/>
    <col min="10271" max="10271" width="9.42578125" style="13" customWidth="1"/>
    <col min="10272" max="10496" width="9.140625" style="13"/>
    <col min="10497" max="10497" width="12.28515625" style="13" customWidth="1"/>
    <col min="10498" max="10498" width="2.42578125" style="13" customWidth="1"/>
    <col min="10499" max="10499" width="3.42578125" style="13" customWidth="1"/>
    <col min="10500" max="10500" width="13.28515625" style="13" customWidth="1"/>
    <col min="10501" max="10501" width="3.140625" style="13" customWidth="1"/>
    <col min="10502" max="10502" width="5.140625" style="13" customWidth="1"/>
    <col min="10503" max="10503" width="16.42578125" style="13" customWidth="1"/>
    <col min="10504" max="10510" width="0" style="13" hidden="1" customWidth="1"/>
    <col min="10511" max="10511" width="4.140625" style="13" customWidth="1"/>
    <col min="10512" max="10512" width="5.7109375" style="13" customWidth="1"/>
    <col min="10513" max="10513" width="0" style="13" hidden="1" customWidth="1"/>
    <col min="10514" max="10514" width="15.7109375" style="13" customWidth="1"/>
    <col min="10515" max="10515" width="7.7109375" style="13" customWidth="1"/>
    <col min="10516" max="10516" width="9.140625" style="13"/>
    <col min="10517" max="10517" width="10.85546875" style="13" customWidth="1"/>
    <col min="10518" max="10518" width="9.7109375" style="13" customWidth="1"/>
    <col min="10519" max="10519" width="8.85546875" style="13" customWidth="1"/>
    <col min="10520" max="10520" width="10.7109375" style="13" customWidth="1"/>
    <col min="10521" max="10521" width="16" style="13" customWidth="1"/>
    <col min="10522" max="10522" width="8.7109375" style="13" customWidth="1"/>
    <col min="10523" max="10523" width="6.5703125" style="13" bestFit="1" customWidth="1"/>
    <col min="10524" max="10524" width="8.7109375" style="13" customWidth="1"/>
    <col min="10525" max="10525" width="16" style="13" customWidth="1"/>
    <col min="10526" max="10526" width="15" style="13" customWidth="1"/>
    <col min="10527" max="10527" width="9.42578125" style="13" customWidth="1"/>
    <col min="10528" max="10752" width="9.140625" style="13"/>
    <col min="10753" max="10753" width="12.28515625" style="13" customWidth="1"/>
    <col min="10754" max="10754" width="2.42578125" style="13" customWidth="1"/>
    <col min="10755" max="10755" width="3.42578125" style="13" customWidth="1"/>
    <col min="10756" max="10756" width="13.28515625" style="13" customWidth="1"/>
    <col min="10757" max="10757" width="3.140625" style="13" customWidth="1"/>
    <col min="10758" max="10758" width="5.140625" style="13" customWidth="1"/>
    <col min="10759" max="10759" width="16.42578125" style="13" customWidth="1"/>
    <col min="10760" max="10766" width="0" style="13" hidden="1" customWidth="1"/>
    <col min="10767" max="10767" width="4.140625" style="13" customWidth="1"/>
    <col min="10768" max="10768" width="5.7109375" style="13" customWidth="1"/>
    <col min="10769" max="10769" width="0" style="13" hidden="1" customWidth="1"/>
    <col min="10770" max="10770" width="15.7109375" style="13" customWidth="1"/>
    <col min="10771" max="10771" width="7.7109375" style="13" customWidth="1"/>
    <col min="10772" max="10772" width="9.140625" style="13"/>
    <col min="10773" max="10773" width="10.85546875" style="13" customWidth="1"/>
    <col min="10774" max="10774" width="9.7109375" style="13" customWidth="1"/>
    <col min="10775" max="10775" width="8.85546875" style="13" customWidth="1"/>
    <col min="10776" max="10776" width="10.7109375" style="13" customWidth="1"/>
    <col min="10777" max="10777" width="16" style="13" customWidth="1"/>
    <col min="10778" max="10778" width="8.7109375" style="13" customWidth="1"/>
    <col min="10779" max="10779" width="6.5703125" style="13" bestFit="1" customWidth="1"/>
    <col min="10780" max="10780" width="8.7109375" style="13" customWidth="1"/>
    <col min="10781" max="10781" width="16" style="13" customWidth="1"/>
    <col min="10782" max="10782" width="15" style="13" customWidth="1"/>
    <col min="10783" max="10783" width="9.42578125" style="13" customWidth="1"/>
    <col min="10784" max="11008" width="9.140625" style="13"/>
    <col min="11009" max="11009" width="12.28515625" style="13" customWidth="1"/>
    <col min="11010" max="11010" width="2.42578125" style="13" customWidth="1"/>
    <col min="11011" max="11011" width="3.42578125" style="13" customWidth="1"/>
    <col min="11012" max="11012" width="13.28515625" style="13" customWidth="1"/>
    <col min="11013" max="11013" width="3.140625" style="13" customWidth="1"/>
    <col min="11014" max="11014" width="5.140625" style="13" customWidth="1"/>
    <col min="11015" max="11015" width="16.42578125" style="13" customWidth="1"/>
    <col min="11016" max="11022" width="0" style="13" hidden="1" customWidth="1"/>
    <col min="11023" max="11023" width="4.140625" style="13" customWidth="1"/>
    <col min="11024" max="11024" width="5.7109375" style="13" customWidth="1"/>
    <col min="11025" max="11025" width="0" style="13" hidden="1" customWidth="1"/>
    <col min="11026" max="11026" width="15.7109375" style="13" customWidth="1"/>
    <col min="11027" max="11027" width="7.7109375" style="13" customWidth="1"/>
    <col min="11028" max="11028" width="9.140625" style="13"/>
    <col min="11029" max="11029" width="10.85546875" style="13" customWidth="1"/>
    <col min="11030" max="11030" width="9.7109375" style="13" customWidth="1"/>
    <col min="11031" max="11031" width="8.85546875" style="13" customWidth="1"/>
    <col min="11032" max="11032" width="10.7109375" style="13" customWidth="1"/>
    <col min="11033" max="11033" width="16" style="13" customWidth="1"/>
    <col min="11034" max="11034" width="8.7109375" style="13" customWidth="1"/>
    <col min="11035" max="11035" width="6.5703125" style="13" bestFit="1" customWidth="1"/>
    <col min="11036" max="11036" width="8.7109375" style="13" customWidth="1"/>
    <col min="11037" max="11037" width="16" style="13" customWidth="1"/>
    <col min="11038" max="11038" width="15" style="13" customWidth="1"/>
    <col min="11039" max="11039" width="9.42578125" style="13" customWidth="1"/>
    <col min="11040" max="11264" width="9.140625" style="13"/>
    <col min="11265" max="11265" width="12.28515625" style="13" customWidth="1"/>
    <col min="11266" max="11266" width="2.42578125" style="13" customWidth="1"/>
    <col min="11267" max="11267" width="3.42578125" style="13" customWidth="1"/>
    <col min="11268" max="11268" width="13.28515625" style="13" customWidth="1"/>
    <col min="11269" max="11269" width="3.140625" style="13" customWidth="1"/>
    <col min="11270" max="11270" width="5.140625" style="13" customWidth="1"/>
    <col min="11271" max="11271" width="16.42578125" style="13" customWidth="1"/>
    <col min="11272" max="11278" width="0" style="13" hidden="1" customWidth="1"/>
    <col min="11279" max="11279" width="4.140625" style="13" customWidth="1"/>
    <col min="11280" max="11280" width="5.7109375" style="13" customWidth="1"/>
    <col min="11281" max="11281" width="0" style="13" hidden="1" customWidth="1"/>
    <col min="11282" max="11282" width="15.7109375" style="13" customWidth="1"/>
    <col min="11283" max="11283" width="7.7109375" style="13" customWidth="1"/>
    <col min="11284" max="11284" width="9.140625" style="13"/>
    <col min="11285" max="11285" width="10.85546875" style="13" customWidth="1"/>
    <col min="11286" max="11286" width="9.7109375" style="13" customWidth="1"/>
    <col min="11287" max="11287" width="8.85546875" style="13" customWidth="1"/>
    <col min="11288" max="11288" width="10.7109375" style="13" customWidth="1"/>
    <col min="11289" max="11289" width="16" style="13" customWidth="1"/>
    <col min="11290" max="11290" width="8.7109375" style="13" customWidth="1"/>
    <col min="11291" max="11291" width="6.5703125" style="13" bestFit="1" customWidth="1"/>
    <col min="11292" max="11292" width="8.7109375" style="13" customWidth="1"/>
    <col min="11293" max="11293" width="16" style="13" customWidth="1"/>
    <col min="11294" max="11294" width="15" style="13" customWidth="1"/>
    <col min="11295" max="11295" width="9.42578125" style="13" customWidth="1"/>
    <col min="11296" max="11520" width="9.140625" style="13"/>
    <col min="11521" max="11521" width="12.28515625" style="13" customWidth="1"/>
    <col min="11522" max="11522" width="2.42578125" style="13" customWidth="1"/>
    <col min="11523" max="11523" width="3.42578125" style="13" customWidth="1"/>
    <col min="11524" max="11524" width="13.28515625" style="13" customWidth="1"/>
    <col min="11525" max="11525" width="3.140625" style="13" customWidth="1"/>
    <col min="11526" max="11526" width="5.140625" style="13" customWidth="1"/>
    <col min="11527" max="11527" width="16.42578125" style="13" customWidth="1"/>
    <col min="11528" max="11534" width="0" style="13" hidden="1" customWidth="1"/>
    <col min="11535" max="11535" width="4.140625" style="13" customWidth="1"/>
    <col min="11536" max="11536" width="5.7109375" style="13" customWidth="1"/>
    <col min="11537" max="11537" width="0" style="13" hidden="1" customWidth="1"/>
    <col min="11538" max="11538" width="15.7109375" style="13" customWidth="1"/>
    <col min="11539" max="11539" width="7.7109375" style="13" customWidth="1"/>
    <col min="11540" max="11540" width="9.140625" style="13"/>
    <col min="11541" max="11541" width="10.85546875" style="13" customWidth="1"/>
    <col min="11542" max="11542" width="9.7109375" style="13" customWidth="1"/>
    <col min="11543" max="11543" width="8.85546875" style="13" customWidth="1"/>
    <col min="11544" max="11544" width="10.7109375" style="13" customWidth="1"/>
    <col min="11545" max="11545" width="16" style="13" customWidth="1"/>
    <col min="11546" max="11546" width="8.7109375" style="13" customWidth="1"/>
    <col min="11547" max="11547" width="6.5703125" style="13" bestFit="1" customWidth="1"/>
    <col min="11548" max="11548" width="8.7109375" style="13" customWidth="1"/>
    <col min="11549" max="11549" width="16" style="13" customWidth="1"/>
    <col min="11550" max="11550" width="15" style="13" customWidth="1"/>
    <col min="11551" max="11551" width="9.42578125" style="13" customWidth="1"/>
    <col min="11552" max="11776" width="9.140625" style="13"/>
    <col min="11777" max="11777" width="12.28515625" style="13" customWidth="1"/>
    <col min="11778" max="11778" width="2.42578125" style="13" customWidth="1"/>
    <col min="11779" max="11779" width="3.42578125" style="13" customWidth="1"/>
    <col min="11780" max="11780" width="13.28515625" style="13" customWidth="1"/>
    <col min="11781" max="11781" width="3.140625" style="13" customWidth="1"/>
    <col min="11782" max="11782" width="5.140625" style="13" customWidth="1"/>
    <col min="11783" max="11783" width="16.42578125" style="13" customWidth="1"/>
    <col min="11784" max="11790" width="0" style="13" hidden="1" customWidth="1"/>
    <col min="11791" max="11791" width="4.140625" style="13" customWidth="1"/>
    <col min="11792" max="11792" width="5.7109375" style="13" customWidth="1"/>
    <col min="11793" max="11793" width="0" style="13" hidden="1" customWidth="1"/>
    <col min="11794" max="11794" width="15.7109375" style="13" customWidth="1"/>
    <col min="11795" max="11795" width="7.7109375" style="13" customWidth="1"/>
    <col min="11796" max="11796" width="9.140625" style="13"/>
    <col min="11797" max="11797" width="10.85546875" style="13" customWidth="1"/>
    <col min="11798" max="11798" width="9.7109375" style="13" customWidth="1"/>
    <col min="11799" max="11799" width="8.85546875" style="13" customWidth="1"/>
    <col min="11800" max="11800" width="10.7109375" style="13" customWidth="1"/>
    <col min="11801" max="11801" width="16" style="13" customWidth="1"/>
    <col min="11802" max="11802" width="8.7109375" style="13" customWidth="1"/>
    <col min="11803" max="11803" width="6.5703125" style="13" bestFit="1" customWidth="1"/>
    <col min="11804" max="11804" width="8.7109375" style="13" customWidth="1"/>
    <col min="11805" max="11805" width="16" style="13" customWidth="1"/>
    <col min="11806" max="11806" width="15" style="13" customWidth="1"/>
    <col min="11807" max="11807" width="9.42578125" style="13" customWidth="1"/>
    <col min="11808" max="12032" width="9.140625" style="13"/>
    <col min="12033" max="12033" width="12.28515625" style="13" customWidth="1"/>
    <col min="12034" max="12034" width="2.42578125" style="13" customWidth="1"/>
    <col min="12035" max="12035" width="3.42578125" style="13" customWidth="1"/>
    <col min="12036" max="12036" width="13.28515625" style="13" customWidth="1"/>
    <col min="12037" max="12037" width="3.140625" style="13" customWidth="1"/>
    <col min="12038" max="12038" width="5.140625" style="13" customWidth="1"/>
    <col min="12039" max="12039" width="16.42578125" style="13" customWidth="1"/>
    <col min="12040" max="12046" width="0" style="13" hidden="1" customWidth="1"/>
    <col min="12047" max="12047" width="4.140625" style="13" customWidth="1"/>
    <col min="12048" max="12048" width="5.7109375" style="13" customWidth="1"/>
    <col min="12049" max="12049" width="0" style="13" hidden="1" customWidth="1"/>
    <col min="12050" max="12050" width="15.7109375" style="13" customWidth="1"/>
    <col min="12051" max="12051" width="7.7109375" style="13" customWidth="1"/>
    <col min="12052" max="12052" width="9.140625" style="13"/>
    <col min="12053" max="12053" width="10.85546875" style="13" customWidth="1"/>
    <col min="12054" max="12054" width="9.7109375" style="13" customWidth="1"/>
    <col min="12055" max="12055" width="8.85546875" style="13" customWidth="1"/>
    <col min="12056" max="12056" width="10.7109375" style="13" customWidth="1"/>
    <col min="12057" max="12057" width="16" style="13" customWidth="1"/>
    <col min="12058" max="12058" width="8.7109375" style="13" customWidth="1"/>
    <col min="12059" max="12059" width="6.5703125" style="13" bestFit="1" customWidth="1"/>
    <col min="12060" max="12060" width="8.7109375" style="13" customWidth="1"/>
    <col min="12061" max="12061" width="16" style="13" customWidth="1"/>
    <col min="12062" max="12062" width="15" style="13" customWidth="1"/>
    <col min="12063" max="12063" width="9.42578125" style="13" customWidth="1"/>
    <col min="12064" max="12288" width="9.140625" style="13"/>
    <col min="12289" max="12289" width="12.28515625" style="13" customWidth="1"/>
    <col min="12290" max="12290" width="2.42578125" style="13" customWidth="1"/>
    <col min="12291" max="12291" width="3.42578125" style="13" customWidth="1"/>
    <col min="12292" max="12292" width="13.28515625" style="13" customWidth="1"/>
    <col min="12293" max="12293" width="3.140625" style="13" customWidth="1"/>
    <col min="12294" max="12294" width="5.140625" style="13" customWidth="1"/>
    <col min="12295" max="12295" width="16.42578125" style="13" customWidth="1"/>
    <col min="12296" max="12302" width="0" style="13" hidden="1" customWidth="1"/>
    <col min="12303" max="12303" width="4.140625" style="13" customWidth="1"/>
    <col min="12304" max="12304" width="5.7109375" style="13" customWidth="1"/>
    <col min="12305" max="12305" width="0" style="13" hidden="1" customWidth="1"/>
    <col min="12306" max="12306" width="15.7109375" style="13" customWidth="1"/>
    <col min="12307" max="12307" width="7.7109375" style="13" customWidth="1"/>
    <col min="12308" max="12308" width="9.140625" style="13"/>
    <col min="12309" max="12309" width="10.85546875" style="13" customWidth="1"/>
    <col min="12310" max="12310" width="9.7109375" style="13" customWidth="1"/>
    <col min="12311" max="12311" width="8.85546875" style="13" customWidth="1"/>
    <col min="12312" max="12312" width="10.7109375" style="13" customWidth="1"/>
    <col min="12313" max="12313" width="16" style="13" customWidth="1"/>
    <col min="12314" max="12314" width="8.7109375" style="13" customWidth="1"/>
    <col min="12315" max="12315" width="6.5703125" style="13" bestFit="1" customWidth="1"/>
    <col min="12316" max="12316" width="8.7109375" style="13" customWidth="1"/>
    <col min="12317" max="12317" width="16" style="13" customWidth="1"/>
    <col min="12318" max="12318" width="15" style="13" customWidth="1"/>
    <col min="12319" max="12319" width="9.42578125" style="13" customWidth="1"/>
    <col min="12320" max="12544" width="9.140625" style="13"/>
    <col min="12545" max="12545" width="12.28515625" style="13" customWidth="1"/>
    <col min="12546" max="12546" width="2.42578125" style="13" customWidth="1"/>
    <col min="12547" max="12547" width="3.42578125" style="13" customWidth="1"/>
    <col min="12548" max="12548" width="13.28515625" style="13" customWidth="1"/>
    <col min="12549" max="12549" width="3.140625" style="13" customWidth="1"/>
    <col min="12550" max="12550" width="5.140625" style="13" customWidth="1"/>
    <col min="12551" max="12551" width="16.42578125" style="13" customWidth="1"/>
    <col min="12552" max="12558" width="0" style="13" hidden="1" customWidth="1"/>
    <col min="12559" max="12559" width="4.140625" style="13" customWidth="1"/>
    <col min="12560" max="12560" width="5.7109375" style="13" customWidth="1"/>
    <col min="12561" max="12561" width="0" style="13" hidden="1" customWidth="1"/>
    <col min="12562" max="12562" width="15.7109375" style="13" customWidth="1"/>
    <col min="12563" max="12563" width="7.7109375" style="13" customWidth="1"/>
    <col min="12564" max="12564" width="9.140625" style="13"/>
    <col min="12565" max="12565" width="10.85546875" style="13" customWidth="1"/>
    <col min="12566" max="12566" width="9.7109375" style="13" customWidth="1"/>
    <col min="12567" max="12567" width="8.85546875" style="13" customWidth="1"/>
    <col min="12568" max="12568" width="10.7109375" style="13" customWidth="1"/>
    <col min="12569" max="12569" width="16" style="13" customWidth="1"/>
    <col min="12570" max="12570" width="8.7109375" style="13" customWidth="1"/>
    <col min="12571" max="12571" width="6.5703125" style="13" bestFit="1" customWidth="1"/>
    <col min="12572" max="12572" width="8.7109375" style="13" customWidth="1"/>
    <col min="12573" max="12573" width="16" style="13" customWidth="1"/>
    <col min="12574" max="12574" width="15" style="13" customWidth="1"/>
    <col min="12575" max="12575" width="9.42578125" style="13" customWidth="1"/>
    <col min="12576" max="12800" width="9.140625" style="13"/>
    <col min="12801" max="12801" width="12.28515625" style="13" customWidth="1"/>
    <col min="12802" max="12802" width="2.42578125" style="13" customWidth="1"/>
    <col min="12803" max="12803" width="3.42578125" style="13" customWidth="1"/>
    <col min="12804" max="12804" width="13.28515625" style="13" customWidth="1"/>
    <col min="12805" max="12805" width="3.140625" style="13" customWidth="1"/>
    <col min="12806" max="12806" width="5.140625" style="13" customWidth="1"/>
    <col min="12807" max="12807" width="16.42578125" style="13" customWidth="1"/>
    <col min="12808" max="12814" width="0" style="13" hidden="1" customWidth="1"/>
    <col min="12815" max="12815" width="4.140625" style="13" customWidth="1"/>
    <col min="12816" max="12816" width="5.7109375" style="13" customWidth="1"/>
    <col min="12817" max="12817" width="0" style="13" hidden="1" customWidth="1"/>
    <col min="12818" max="12818" width="15.7109375" style="13" customWidth="1"/>
    <col min="12819" max="12819" width="7.7109375" style="13" customWidth="1"/>
    <col min="12820" max="12820" width="9.140625" style="13"/>
    <col min="12821" max="12821" width="10.85546875" style="13" customWidth="1"/>
    <col min="12822" max="12822" width="9.7109375" style="13" customWidth="1"/>
    <col min="12823" max="12823" width="8.85546875" style="13" customWidth="1"/>
    <col min="12824" max="12824" width="10.7109375" style="13" customWidth="1"/>
    <col min="12825" max="12825" width="16" style="13" customWidth="1"/>
    <col min="12826" max="12826" width="8.7109375" style="13" customWidth="1"/>
    <col min="12827" max="12827" width="6.5703125" style="13" bestFit="1" customWidth="1"/>
    <col min="12828" max="12828" width="8.7109375" style="13" customWidth="1"/>
    <col min="12829" max="12829" width="16" style="13" customWidth="1"/>
    <col min="12830" max="12830" width="15" style="13" customWidth="1"/>
    <col min="12831" max="12831" width="9.42578125" style="13" customWidth="1"/>
    <col min="12832" max="13056" width="9.140625" style="13"/>
    <col min="13057" max="13057" width="12.28515625" style="13" customWidth="1"/>
    <col min="13058" max="13058" width="2.42578125" style="13" customWidth="1"/>
    <col min="13059" max="13059" width="3.42578125" style="13" customWidth="1"/>
    <col min="13060" max="13060" width="13.28515625" style="13" customWidth="1"/>
    <col min="13061" max="13061" width="3.140625" style="13" customWidth="1"/>
    <col min="13062" max="13062" width="5.140625" style="13" customWidth="1"/>
    <col min="13063" max="13063" width="16.42578125" style="13" customWidth="1"/>
    <col min="13064" max="13070" width="0" style="13" hidden="1" customWidth="1"/>
    <col min="13071" max="13071" width="4.140625" style="13" customWidth="1"/>
    <col min="13072" max="13072" width="5.7109375" style="13" customWidth="1"/>
    <col min="13073" max="13073" width="0" style="13" hidden="1" customWidth="1"/>
    <col min="13074" max="13074" width="15.7109375" style="13" customWidth="1"/>
    <col min="13075" max="13075" width="7.7109375" style="13" customWidth="1"/>
    <col min="13076" max="13076" width="9.140625" style="13"/>
    <col min="13077" max="13077" width="10.85546875" style="13" customWidth="1"/>
    <col min="13078" max="13078" width="9.7109375" style="13" customWidth="1"/>
    <col min="13079" max="13079" width="8.85546875" style="13" customWidth="1"/>
    <col min="13080" max="13080" width="10.7109375" style="13" customWidth="1"/>
    <col min="13081" max="13081" width="16" style="13" customWidth="1"/>
    <col min="13082" max="13082" width="8.7109375" style="13" customWidth="1"/>
    <col min="13083" max="13083" width="6.5703125" style="13" bestFit="1" customWidth="1"/>
    <col min="13084" max="13084" width="8.7109375" style="13" customWidth="1"/>
    <col min="13085" max="13085" width="16" style="13" customWidth="1"/>
    <col min="13086" max="13086" width="15" style="13" customWidth="1"/>
    <col min="13087" max="13087" width="9.42578125" style="13" customWidth="1"/>
    <col min="13088" max="13312" width="9.140625" style="13"/>
    <col min="13313" max="13313" width="12.28515625" style="13" customWidth="1"/>
    <col min="13314" max="13314" width="2.42578125" style="13" customWidth="1"/>
    <col min="13315" max="13315" width="3.42578125" style="13" customWidth="1"/>
    <col min="13316" max="13316" width="13.28515625" style="13" customWidth="1"/>
    <col min="13317" max="13317" width="3.140625" style="13" customWidth="1"/>
    <col min="13318" max="13318" width="5.140625" style="13" customWidth="1"/>
    <col min="13319" max="13319" width="16.42578125" style="13" customWidth="1"/>
    <col min="13320" max="13326" width="0" style="13" hidden="1" customWidth="1"/>
    <col min="13327" max="13327" width="4.140625" style="13" customWidth="1"/>
    <col min="13328" max="13328" width="5.7109375" style="13" customWidth="1"/>
    <col min="13329" max="13329" width="0" style="13" hidden="1" customWidth="1"/>
    <col min="13330" max="13330" width="15.7109375" style="13" customWidth="1"/>
    <col min="13331" max="13331" width="7.7109375" style="13" customWidth="1"/>
    <col min="13332" max="13332" width="9.140625" style="13"/>
    <col min="13333" max="13333" width="10.85546875" style="13" customWidth="1"/>
    <col min="13334" max="13334" width="9.7109375" style="13" customWidth="1"/>
    <col min="13335" max="13335" width="8.85546875" style="13" customWidth="1"/>
    <col min="13336" max="13336" width="10.7109375" style="13" customWidth="1"/>
    <col min="13337" max="13337" width="16" style="13" customWidth="1"/>
    <col min="13338" max="13338" width="8.7109375" style="13" customWidth="1"/>
    <col min="13339" max="13339" width="6.5703125" style="13" bestFit="1" customWidth="1"/>
    <col min="13340" max="13340" width="8.7109375" style="13" customWidth="1"/>
    <col min="13341" max="13341" width="16" style="13" customWidth="1"/>
    <col min="13342" max="13342" width="15" style="13" customWidth="1"/>
    <col min="13343" max="13343" width="9.42578125" style="13" customWidth="1"/>
    <col min="13344" max="13568" width="9.140625" style="13"/>
    <col min="13569" max="13569" width="12.28515625" style="13" customWidth="1"/>
    <col min="13570" max="13570" width="2.42578125" style="13" customWidth="1"/>
    <col min="13571" max="13571" width="3.42578125" style="13" customWidth="1"/>
    <col min="13572" max="13572" width="13.28515625" style="13" customWidth="1"/>
    <col min="13573" max="13573" width="3.140625" style="13" customWidth="1"/>
    <col min="13574" max="13574" width="5.140625" style="13" customWidth="1"/>
    <col min="13575" max="13575" width="16.42578125" style="13" customWidth="1"/>
    <col min="13576" max="13582" width="0" style="13" hidden="1" customWidth="1"/>
    <col min="13583" max="13583" width="4.140625" style="13" customWidth="1"/>
    <col min="13584" max="13584" width="5.7109375" style="13" customWidth="1"/>
    <col min="13585" max="13585" width="0" style="13" hidden="1" customWidth="1"/>
    <col min="13586" max="13586" width="15.7109375" style="13" customWidth="1"/>
    <col min="13587" max="13587" width="7.7109375" style="13" customWidth="1"/>
    <col min="13588" max="13588" width="9.140625" style="13"/>
    <col min="13589" max="13589" width="10.85546875" style="13" customWidth="1"/>
    <col min="13590" max="13590" width="9.7109375" style="13" customWidth="1"/>
    <col min="13591" max="13591" width="8.85546875" style="13" customWidth="1"/>
    <col min="13592" max="13592" width="10.7109375" style="13" customWidth="1"/>
    <col min="13593" max="13593" width="16" style="13" customWidth="1"/>
    <col min="13594" max="13594" width="8.7109375" style="13" customWidth="1"/>
    <col min="13595" max="13595" width="6.5703125" style="13" bestFit="1" customWidth="1"/>
    <col min="13596" max="13596" width="8.7109375" style="13" customWidth="1"/>
    <col min="13597" max="13597" width="16" style="13" customWidth="1"/>
    <col min="13598" max="13598" width="15" style="13" customWidth="1"/>
    <col min="13599" max="13599" width="9.42578125" style="13" customWidth="1"/>
    <col min="13600" max="13824" width="9.140625" style="13"/>
    <col min="13825" max="13825" width="12.28515625" style="13" customWidth="1"/>
    <col min="13826" max="13826" width="2.42578125" style="13" customWidth="1"/>
    <col min="13827" max="13827" width="3.42578125" style="13" customWidth="1"/>
    <col min="13828" max="13828" width="13.28515625" style="13" customWidth="1"/>
    <col min="13829" max="13829" width="3.140625" style="13" customWidth="1"/>
    <col min="13830" max="13830" width="5.140625" style="13" customWidth="1"/>
    <col min="13831" max="13831" width="16.42578125" style="13" customWidth="1"/>
    <col min="13832" max="13838" width="0" style="13" hidden="1" customWidth="1"/>
    <col min="13839" max="13839" width="4.140625" style="13" customWidth="1"/>
    <col min="13840" max="13840" width="5.7109375" style="13" customWidth="1"/>
    <col min="13841" max="13841" width="0" style="13" hidden="1" customWidth="1"/>
    <col min="13842" max="13842" width="15.7109375" style="13" customWidth="1"/>
    <col min="13843" max="13843" width="7.7109375" style="13" customWidth="1"/>
    <col min="13844" max="13844" width="9.140625" style="13"/>
    <col min="13845" max="13845" width="10.85546875" style="13" customWidth="1"/>
    <col min="13846" max="13846" width="9.7109375" style="13" customWidth="1"/>
    <col min="13847" max="13847" width="8.85546875" style="13" customWidth="1"/>
    <col min="13848" max="13848" width="10.7109375" style="13" customWidth="1"/>
    <col min="13849" max="13849" width="16" style="13" customWidth="1"/>
    <col min="13850" max="13850" width="8.7109375" style="13" customWidth="1"/>
    <col min="13851" max="13851" width="6.5703125" style="13" bestFit="1" customWidth="1"/>
    <col min="13852" max="13852" width="8.7109375" style="13" customWidth="1"/>
    <col min="13853" max="13853" width="16" style="13" customWidth="1"/>
    <col min="13854" max="13854" width="15" style="13" customWidth="1"/>
    <col min="13855" max="13855" width="9.42578125" style="13" customWidth="1"/>
    <col min="13856" max="14080" width="9.140625" style="13"/>
    <col min="14081" max="14081" width="12.28515625" style="13" customWidth="1"/>
    <col min="14082" max="14082" width="2.42578125" style="13" customWidth="1"/>
    <col min="14083" max="14083" width="3.42578125" style="13" customWidth="1"/>
    <col min="14084" max="14084" width="13.28515625" style="13" customWidth="1"/>
    <col min="14085" max="14085" width="3.140625" style="13" customWidth="1"/>
    <col min="14086" max="14086" width="5.140625" style="13" customWidth="1"/>
    <col min="14087" max="14087" width="16.42578125" style="13" customWidth="1"/>
    <col min="14088" max="14094" width="0" style="13" hidden="1" customWidth="1"/>
    <col min="14095" max="14095" width="4.140625" style="13" customWidth="1"/>
    <col min="14096" max="14096" width="5.7109375" style="13" customWidth="1"/>
    <col min="14097" max="14097" width="0" style="13" hidden="1" customWidth="1"/>
    <col min="14098" max="14098" width="15.7109375" style="13" customWidth="1"/>
    <col min="14099" max="14099" width="7.7109375" style="13" customWidth="1"/>
    <col min="14100" max="14100" width="9.140625" style="13"/>
    <col min="14101" max="14101" width="10.85546875" style="13" customWidth="1"/>
    <col min="14102" max="14102" width="9.7109375" style="13" customWidth="1"/>
    <col min="14103" max="14103" width="8.85546875" style="13" customWidth="1"/>
    <col min="14104" max="14104" width="10.7109375" style="13" customWidth="1"/>
    <col min="14105" max="14105" width="16" style="13" customWidth="1"/>
    <col min="14106" max="14106" width="8.7109375" style="13" customWidth="1"/>
    <col min="14107" max="14107" width="6.5703125" style="13" bestFit="1" customWidth="1"/>
    <col min="14108" max="14108" width="8.7109375" style="13" customWidth="1"/>
    <col min="14109" max="14109" width="16" style="13" customWidth="1"/>
    <col min="14110" max="14110" width="15" style="13" customWidth="1"/>
    <col min="14111" max="14111" width="9.42578125" style="13" customWidth="1"/>
    <col min="14112" max="14336" width="9.140625" style="13"/>
    <col min="14337" max="14337" width="12.28515625" style="13" customWidth="1"/>
    <col min="14338" max="14338" width="2.42578125" style="13" customWidth="1"/>
    <col min="14339" max="14339" width="3.42578125" style="13" customWidth="1"/>
    <col min="14340" max="14340" width="13.28515625" style="13" customWidth="1"/>
    <col min="14341" max="14341" width="3.140625" style="13" customWidth="1"/>
    <col min="14342" max="14342" width="5.140625" style="13" customWidth="1"/>
    <col min="14343" max="14343" width="16.42578125" style="13" customWidth="1"/>
    <col min="14344" max="14350" width="0" style="13" hidden="1" customWidth="1"/>
    <col min="14351" max="14351" width="4.140625" style="13" customWidth="1"/>
    <col min="14352" max="14352" width="5.7109375" style="13" customWidth="1"/>
    <col min="14353" max="14353" width="0" style="13" hidden="1" customWidth="1"/>
    <col min="14354" max="14354" width="15.7109375" style="13" customWidth="1"/>
    <col min="14355" max="14355" width="7.7109375" style="13" customWidth="1"/>
    <col min="14356" max="14356" width="9.140625" style="13"/>
    <col min="14357" max="14357" width="10.85546875" style="13" customWidth="1"/>
    <col min="14358" max="14358" width="9.7109375" style="13" customWidth="1"/>
    <col min="14359" max="14359" width="8.85546875" style="13" customWidth="1"/>
    <col min="14360" max="14360" width="10.7109375" style="13" customWidth="1"/>
    <col min="14361" max="14361" width="16" style="13" customWidth="1"/>
    <col min="14362" max="14362" width="8.7109375" style="13" customWidth="1"/>
    <col min="14363" max="14363" width="6.5703125" style="13" bestFit="1" customWidth="1"/>
    <col min="14364" max="14364" width="8.7109375" style="13" customWidth="1"/>
    <col min="14365" max="14365" width="16" style="13" customWidth="1"/>
    <col min="14366" max="14366" width="15" style="13" customWidth="1"/>
    <col min="14367" max="14367" width="9.42578125" style="13" customWidth="1"/>
    <col min="14368" max="14592" width="9.140625" style="13"/>
    <col min="14593" max="14593" width="12.28515625" style="13" customWidth="1"/>
    <col min="14594" max="14594" width="2.42578125" style="13" customWidth="1"/>
    <col min="14595" max="14595" width="3.42578125" style="13" customWidth="1"/>
    <col min="14596" max="14596" width="13.28515625" style="13" customWidth="1"/>
    <col min="14597" max="14597" width="3.140625" style="13" customWidth="1"/>
    <col min="14598" max="14598" width="5.140625" style="13" customWidth="1"/>
    <col min="14599" max="14599" width="16.42578125" style="13" customWidth="1"/>
    <col min="14600" max="14606" width="0" style="13" hidden="1" customWidth="1"/>
    <col min="14607" max="14607" width="4.140625" style="13" customWidth="1"/>
    <col min="14608" max="14608" width="5.7109375" style="13" customWidth="1"/>
    <col min="14609" max="14609" width="0" style="13" hidden="1" customWidth="1"/>
    <col min="14610" max="14610" width="15.7109375" style="13" customWidth="1"/>
    <col min="14611" max="14611" width="7.7109375" style="13" customWidth="1"/>
    <col min="14612" max="14612" width="9.140625" style="13"/>
    <col min="14613" max="14613" width="10.85546875" style="13" customWidth="1"/>
    <col min="14614" max="14614" width="9.7109375" style="13" customWidth="1"/>
    <col min="14615" max="14615" width="8.85546875" style="13" customWidth="1"/>
    <col min="14616" max="14616" width="10.7109375" style="13" customWidth="1"/>
    <col min="14617" max="14617" width="16" style="13" customWidth="1"/>
    <col min="14618" max="14618" width="8.7109375" style="13" customWidth="1"/>
    <col min="14619" max="14619" width="6.5703125" style="13" bestFit="1" customWidth="1"/>
    <col min="14620" max="14620" width="8.7109375" style="13" customWidth="1"/>
    <col min="14621" max="14621" width="16" style="13" customWidth="1"/>
    <col min="14622" max="14622" width="15" style="13" customWidth="1"/>
    <col min="14623" max="14623" width="9.42578125" style="13" customWidth="1"/>
    <col min="14624" max="14848" width="9.140625" style="13"/>
    <col min="14849" max="14849" width="12.28515625" style="13" customWidth="1"/>
    <col min="14850" max="14850" width="2.42578125" style="13" customWidth="1"/>
    <col min="14851" max="14851" width="3.42578125" style="13" customWidth="1"/>
    <col min="14852" max="14852" width="13.28515625" style="13" customWidth="1"/>
    <col min="14853" max="14853" width="3.140625" style="13" customWidth="1"/>
    <col min="14854" max="14854" width="5.140625" style="13" customWidth="1"/>
    <col min="14855" max="14855" width="16.42578125" style="13" customWidth="1"/>
    <col min="14856" max="14862" width="0" style="13" hidden="1" customWidth="1"/>
    <col min="14863" max="14863" width="4.140625" style="13" customWidth="1"/>
    <col min="14864" max="14864" width="5.7109375" style="13" customWidth="1"/>
    <col min="14865" max="14865" width="0" style="13" hidden="1" customWidth="1"/>
    <col min="14866" max="14866" width="15.7109375" style="13" customWidth="1"/>
    <col min="14867" max="14867" width="7.7109375" style="13" customWidth="1"/>
    <col min="14868" max="14868" width="9.140625" style="13"/>
    <col min="14869" max="14869" width="10.85546875" style="13" customWidth="1"/>
    <col min="14870" max="14870" width="9.7109375" style="13" customWidth="1"/>
    <col min="14871" max="14871" width="8.85546875" style="13" customWidth="1"/>
    <col min="14872" max="14872" width="10.7109375" style="13" customWidth="1"/>
    <col min="14873" max="14873" width="16" style="13" customWidth="1"/>
    <col min="14874" max="14874" width="8.7109375" style="13" customWidth="1"/>
    <col min="14875" max="14875" width="6.5703125" style="13" bestFit="1" customWidth="1"/>
    <col min="14876" max="14876" width="8.7109375" style="13" customWidth="1"/>
    <col min="14877" max="14877" width="16" style="13" customWidth="1"/>
    <col min="14878" max="14878" width="15" style="13" customWidth="1"/>
    <col min="14879" max="14879" width="9.42578125" style="13" customWidth="1"/>
    <col min="14880" max="15104" width="9.140625" style="13"/>
    <col min="15105" max="15105" width="12.28515625" style="13" customWidth="1"/>
    <col min="15106" max="15106" width="2.42578125" style="13" customWidth="1"/>
    <col min="15107" max="15107" width="3.42578125" style="13" customWidth="1"/>
    <col min="15108" max="15108" width="13.28515625" style="13" customWidth="1"/>
    <col min="15109" max="15109" width="3.140625" style="13" customWidth="1"/>
    <col min="15110" max="15110" width="5.140625" style="13" customWidth="1"/>
    <col min="15111" max="15111" width="16.42578125" style="13" customWidth="1"/>
    <col min="15112" max="15118" width="0" style="13" hidden="1" customWidth="1"/>
    <col min="15119" max="15119" width="4.140625" style="13" customWidth="1"/>
    <col min="15120" max="15120" width="5.7109375" style="13" customWidth="1"/>
    <col min="15121" max="15121" width="0" style="13" hidden="1" customWidth="1"/>
    <col min="15122" max="15122" width="15.7109375" style="13" customWidth="1"/>
    <col min="15123" max="15123" width="7.7109375" style="13" customWidth="1"/>
    <col min="15124" max="15124" width="9.140625" style="13"/>
    <col min="15125" max="15125" width="10.85546875" style="13" customWidth="1"/>
    <col min="15126" max="15126" width="9.7109375" style="13" customWidth="1"/>
    <col min="15127" max="15127" width="8.85546875" style="13" customWidth="1"/>
    <col min="15128" max="15128" width="10.7109375" style="13" customWidth="1"/>
    <col min="15129" max="15129" width="16" style="13" customWidth="1"/>
    <col min="15130" max="15130" width="8.7109375" style="13" customWidth="1"/>
    <col min="15131" max="15131" width="6.5703125" style="13" bestFit="1" customWidth="1"/>
    <col min="15132" max="15132" width="8.7109375" style="13" customWidth="1"/>
    <col min="15133" max="15133" width="16" style="13" customWidth="1"/>
    <col min="15134" max="15134" width="15" style="13" customWidth="1"/>
    <col min="15135" max="15135" width="9.42578125" style="13" customWidth="1"/>
    <col min="15136" max="15360" width="9.140625" style="13"/>
    <col min="15361" max="15361" width="12.28515625" style="13" customWidth="1"/>
    <col min="15362" max="15362" width="2.42578125" style="13" customWidth="1"/>
    <col min="15363" max="15363" width="3.42578125" style="13" customWidth="1"/>
    <col min="15364" max="15364" width="13.28515625" style="13" customWidth="1"/>
    <col min="15365" max="15365" width="3.140625" style="13" customWidth="1"/>
    <col min="15366" max="15366" width="5.140625" style="13" customWidth="1"/>
    <col min="15367" max="15367" width="16.42578125" style="13" customWidth="1"/>
    <col min="15368" max="15374" width="0" style="13" hidden="1" customWidth="1"/>
    <col min="15375" max="15375" width="4.140625" style="13" customWidth="1"/>
    <col min="15376" max="15376" width="5.7109375" style="13" customWidth="1"/>
    <col min="15377" max="15377" width="0" style="13" hidden="1" customWidth="1"/>
    <col min="15378" max="15378" width="15.7109375" style="13" customWidth="1"/>
    <col min="15379" max="15379" width="7.7109375" style="13" customWidth="1"/>
    <col min="15380" max="15380" width="9.140625" style="13"/>
    <col min="15381" max="15381" width="10.85546875" style="13" customWidth="1"/>
    <col min="15382" max="15382" width="9.7109375" style="13" customWidth="1"/>
    <col min="15383" max="15383" width="8.85546875" style="13" customWidth="1"/>
    <col min="15384" max="15384" width="10.7109375" style="13" customWidth="1"/>
    <col min="15385" max="15385" width="16" style="13" customWidth="1"/>
    <col min="15386" max="15386" width="8.7109375" style="13" customWidth="1"/>
    <col min="15387" max="15387" width="6.5703125" style="13" bestFit="1" customWidth="1"/>
    <col min="15388" max="15388" width="8.7109375" style="13" customWidth="1"/>
    <col min="15389" max="15389" width="16" style="13" customWidth="1"/>
    <col min="15390" max="15390" width="15" style="13" customWidth="1"/>
    <col min="15391" max="15391" width="9.42578125" style="13" customWidth="1"/>
    <col min="15392" max="15616" width="9.140625" style="13"/>
    <col min="15617" max="15617" width="12.28515625" style="13" customWidth="1"/>
    <col min="15618" max="15618" width="2.42578125" style="13" customWidth="1"/>
    <col min="15619" max="15619" width="3.42578125" style="13" customWidth="1"/>
    <col min="15620" max="15620" width="13.28515625" style="13" customWidth="1"/>
    <col min="15621" max="15621" width="3.140625" style="13" customWidth="1"/>
    <col min="15622" max="15622" width="5.140625" style="13" customWidth="1"/>
    <col min="15623" max="15623" width="16.42578125" style="13" customWidth="1"/>
    <col min="15624" max="15630" width="0" style="13" hidden="1" customWidth="1"/>
    <col min="15631" max="15631" width="4.140625" style="13" customWidth="1"/>
    <col min="15632" max="15632" width="5.7109375" style="13" customWidth="1"/>
    <col min="15633" max="15633" width="0" style="13" hidden="1" customWidth="1"/>
    <col min="15634" max="15634" width="15.7109375" style="13" customWidth="1"/>
    <col min="15635" max="15635" width="7.7109375" style="13" customWidth="1"/>
    <col min="15636" max="15636" width="9.140625" style="13"/>
    <col min="15637" max="15637" width="10.85546875" style="13" customWidth="1"/>
    <col min="15638" max="15638" width="9.7109375" style="13" customWidth="1"/>
    <col min="15639" max="15639" width="8.85546875" style="13" customWidth="1"/>
    <col min="15640" max="15640" width="10.7109375" style="13" customWidth="1"/>
    <col min="15641" max="15641" width="16" style="13" customWidth="1"/>
    <col min="15642" max="15642" width="8.7109375" style="13" customWidth="1"/>
    <col min="15643" max="15643" width="6.5703125" style="13" bestFit="1" customWidth="1"/>
    <col min="15644" max="15644" width="8.7109375" style="13" customWidth="1"/>
    <col min="15645" max="15645" width="16" style="13" customWidth="1"/>
    <col min="15646" max="15646" width="15" style="13" customWidth="1"/>
    <col min="15647" max="15647" width="9.42578125" style="13" customWidth="1"/>
    <col min="15648" max="15872" width="9.140625" style="13"/>
    <col min="15873" max="15873" width="12.28515625" style="13" customWidth="1"/>
    <col min="15874" max="15874" width="2.42578125" style="13" customWidth="1"/>
    <col min="15875" max="15875" width="3.42578125" style="13" customWidth="1"/>
    <col min="15876" max="15876" width="13.28515625" style="13" customWidth="1"/>
    <col min="15877" max="15877" width="3.140625" style="13" customWidth="1"/>
    <col min="15878" max="15878" width="5.140625" style="13" customWidth="1"/>
    <col min="15879" max="15879" width="16.42578125" style="13" customWidth="1"/>
    <col min="15880" max="15886" width="0" style="13" hidden="1" customWidth="1"/>
    <col min="15887" max="15887" width="4.140625" style="13" customWidth="1"/>
    <col min="15888" max="15888" width="5.7109375" style="13" customWidth="1"/>
    <col min="15889" max="15889" width="0" style="13" hidden="1" customWidth="1"/>
    <col min="15890" max="15890" width="15.7109375" style="13" customWidth="1"/>
    <col min="15891" max="15891" width="7.7109375" style="13" customWidth="1"/>
    <col min="15892" max="15892" width="9.140625" style="13"/>
    <col min="15893" max="15893" width="10.85546875" style="13" customWidth="1"/>
    <col min="15894" max="15894" width="9.7109375" style="13" customWidth="1"/>
    <col min="15895" max="15895" width="8.85546875" style="13" customWidth="1"/>
    <col min="15896" max="15896" width="10.7109375" style="13" customWidth="1"/>
    <col min="15897" max="15897" width="16" style="13" customWidth="1"/>
    <col min="15898" max="15898" width="8.7109375" style="13" customWidth="1"/>
    <col min="15899" max="15899" width="6.5703125" style="13" bestFit="1" customWidth="1"/>
    <col min="15900" max="15900" width="8.7109375" style="13" customWidth="1"/>
    <col min="15901" max="15901" width="16" style="13" customWidth="1"/>
    <col min="15902" max="15902" width="15" style="13" customWidth="1"/>
    <col min="15903" max="15903" width="9.42578125" style="13" customWidth="1"/>
    <col min="15904" max="16128" width="9.140625" style="13"/>
    <col min="16129" max="16129" width="12.28515625" style="13" customWidth="1"/>
    <col min="16130" max="16130" width="2.42578125" style="13" customWidth="1"/>
    <col min="16131" max="16131" width="3.42578125" style="13" customWidth="1"/>
    <col min="16132" max="16132" width="13.28515625" style="13" customWidth="1"/>
    <col min="16133" max="16133" width="3.140625" style="13" customWidth="1"/>
    <col min="16134" max="16134" width="5.140625" style="13" customWidth="1"/>
    <col min="16135" max="16135" width="16.42578125" style="13" customWidth="1"/>
    <col min="16136" max="16142" width="0" style="13" hidden="1" customWidth="1"/>
    <col min="16143" max="16143" width="4.140625" style="13" customWidth="1"/>
    <col min="16144" max="16144" width="5.7109375" style="13" customWidth="1"/>
    <col min="16145" max="16145" width="0" style="13" hidden="1" customWidth="1"/>
    <col min="16146" max="16146" width="15.7109375" style="13" customWidth="1"/>
    <col min="16147" max="16147" width="7.7109375" style="13" customWidth="1"/>
    <col min="16148" max="16148" width="9.140625" style="13"/>
    <col min="16149" max="16149" width="10.85546875" style="13" customWidth="1"/>
    <col min="16150" max="16150" width="9.7109375" style="13" customWidth="1"/>
    <col min="16151" max="16151" width="8.85546875" style="13" customWidth="1"/>
    <col min="16152" max="16152" width="10.7109375" style="13" customWidth="1"/>
    <col min="16153" max="16153" width="16" style="13" customWidth="1"/>
    <col min="16154" max="16154" width="8.7109375" style="13" customWidth="1"/>
    <col min="16155" max="16155" width="6.5703125" style="13" bestFit="1" customWidth="1"/>
    <col min="16156" max="16156" width="8.7109375" style="13" customWidth="1"/>
    <col min="16157" max="16157" width="16" style="13" customWidth="1"/>
    <col min="16158" max="16158" width="15" style="13" customWidth="1"/>
    <col min="16159" max="16159" width="9.42578125" style="13" customWidth="1"/>
    <col min="16160" max="16384" width="9.140625" style="13"/>
  </cols>
  <sheetData>
    <row r="1" spans="1:31" ht="12.95" customHeight="1" x14ac:dyDescent="0.35">
      <c r="A1" s="533"/>
      <c r="B1" s="533"/>
      <c r="C1" s="533"/>
      <c r="D1" s="533"/>
      <c r="E1" s="533"/>
      <c r="F1" s="533"/>
      <c r="G1" s="533"/>
      <c r="H1" s="533"/>
      <c r="I1" s="533"/>
      <c r="J1" s="533"/>
      <c r="K1" s="533"/>
      <c r="L1" s="533"/>
      <c r="M1" s="533"/>
      <c r="N1" s="533"/>
      <c r="O1" s="533"/>
      <c r="P1" s="533"/>
      <c r="Q1" s="533"/>
      <c r="R1" s="533"/>
      <c r="S1" s="533"/>
    </row>
    <row r="2" spans="1:31" s="14" customFormat="1" ht="15" customHeight="1" x14ac:dyDescent="0.35">
      <c r="A2" s="533" t="s">
        <v>31</v>
      </c>
      <c r="B2" s="533"/>
      <c r="C2" s="533"/>
      <c r="D2" s="533"/>
      <c r="E2" s="533"/>
      <c r="F2" s="533"/>
      <c r="G2" s="533"/>
      <c r="H2" s="533"/>
      <c r="I2" s="533"/>
      <c r="J2" s="533"/>
      <c r="K2" s="533"/>
      <c r="L2" s="533"/>
      <c r="M2" s="533"/>
      <c r="N2" s="533"/>
      <c r="O2" s="533"/>
      <c r="P2" s="533"/>
      <c r="Q2" s="533"/>
      <c r="R2" s="533"/>
      <c r="S2" s="533"/>
      <c r="T2" s="533"/>
      <c r="U2" s="533"/>
      <c r="V2" s="533"/>
      <c r="W2" s="533"/>
      <c r="X2" s="533"/>
      <c r="Y2" s="533"/>
      <c r="Z2" s="533"/>
      <c r="AA2" s="533"/>
      <c r="AB2" s="533"/>
      <c r="AC2" s="533"/>
      <c r="AD2" s="533"/>
      <c r="AE2" s="533"/>
    </row>
    <row r="3" spans="1:31" s="14" customFormat="1" ht="15" customHeight="1" x14ac:dyDescent="0.35">
      <c r="A3" s="534" t="s">
        <v>272</v>
      </c>
      <c r="B3" s="533"/>
      <c r="C3" s="533"/>
      <c r="D3" s="533"/>
      <c r="E3" s="533"/>
      <c r="F3" s="533"/>
      <c r="G3" s="533"/>
      <c r="H3" s="533"/>
      <c r="I3" s="533"/>
      <c r="J3" s="533"/>
      <c r="K3" s="533"/>
      <c r="L3" s="533"/>
      <c r="M3" s="533"/>
      <c r="N3" s="533"/>
      <c r="O3" s="533"/>
      <c r="P3" s="533"/>
      <c r="Q3" s="533"/>
      <c r="R3" s="533"/>
      <c r="S3" s="533"/>
      <c r="T3" s="533"/>
      <c r="U3" s="533"/>
      <c r="V3" s="533"/>
      <c r="W3" s="533"/>
      <c r="X3" s="533"/>
      <c r="Y3" s="533"/>
      <c r="Z3" s="533"/>
      <c r="AA3" s="533"/>
      <c r="AB3" s="533"/>
      <c r="AC3" s="533"/>
      <c r="AD3" s="533"/>
      <c r="AE3" s="533"/>
    </row>
    <row r="4" spans="1:31" s="14" customFormat="1" ht="12.95" customHeight="1" x14ac:dyDescent="0.35">
      <c r="A4" s="476"/>
      <c r="B4" s="476"/>
      <c r="C4" s="476"/>
      <c r="D4" s="476"/>
      <c r="E4" s="476"/>
      <c r="F4" s="476"/>
      <c r="G4" s="476"/>
      <c r="H4" s="476"/>
      <c r="I4" s="476"/>
      <c r="J4" s="476"/>
      <c r="K4" s="476"/>
      <c r="L4" s="476"/>
      <c r="M4" s="476"/>
      <c r="N4" s="476"/>
      <c r="O4" s="476"/>
      <c r="P4" s="476"/>
      <c r="Q4" s="476"/>
      <c r="R4" s="476"/>
      <c r="S4" s="476"/>
    </row>
    <row r="5" spans="1:31" s="14" customFormat="1" ht="12.95" customHeight="1" x14ac:dyDescent="0.35">
      <c r="A5" s="16" t="s">
        <v>32</v>
      </c>
      <c r="B5" s="476"/>
      <c r="C5" s="476"/>
      <c r="D5" s="476"/>
      <c r="E5" s="476" t="s">
        <v>33</v>
      </c>
      <c r="F5" s="16" t="s">
        <v>34</v>
      </c>
      <c r="G5" s="476"/>
      <c r="H5" s="476"/>
      <c r="I5" s="476"/>
      <c r="J5" s="476"/>
      <c r="K5" s="476"/>
      <c r="L5" s="476"/>
      <c r="M5" s="476"/>
      <c r="N5" s="476"/>
      <c r="O5" s="476"/>
      <c r="P5" s="476"/>
      <c r="Q5" s="476"/>
      <c r="R5" s="476"/>
      <c r="S5" s="476"/>
    </row>
    <row r="6" spans="1:31" s="14" customFormat="1" ht="12.95" customHeight="1" x14ac:dyDescent="0.35">
      <c r="A6" s="16" t="s">
        <v>35</v>
      </c>
      <c r="B6" s="476"/>
      <c r="C6" s="476"/>
      <c r="D6" s="476"/>
      <c r="E6" s="476" t="s">
        <v>33</v>
      </c>
      <c r="F6" s="16" t="s">
        <v>179</v>
      </c>
      <c r="G6" s="476"/>
      <c r="H6" s="476"/>
      <c r="I6" s="476"/>
      <c r="J6" s="476"/>
      <c r="K6" s="476"/>
      <c r="L6" s="476"/>
      <c r="M6" s="476"/>
      <c r="N6" s="476"/>
      <c r="O6" s="476"/>
      <c r="P6" s="476"/>
      <c r="Q6" s="476"/>
      <c r="R6" s="476"/>
      <c r="S6" s="476"/>
    </row>
    <row r="7" spans="1:31" s="14" customFormat="1" ht="12.95" customHeight="1" x14ac:dyDescent="0.35">
      <c r="A7" s="16" t="s">
        <v>36</v>
      </c>
      <c r="B7" s="476"/>
      <c r="C7" s="476"/>
      <c r="D7" s="476"/>
      <c r="E7" s="476" t="s">
        <v>33</v>
      </c>
      <c r="F7" s="535">
        <v>2239183000</v>
      </c>
      <c r="G7" s="535"/>
      <c r="H7" s="17"/>
      <c r="I7" s="17"/>
      <c r="J7" s="17"/>
      <c r="K7" s="17"/>
      <c r="L7" s="17"/>
      <c r="M7" s="17"/>
      <c r="N7" s="17"/>
      <c r="O7" s="17"/>
      <c r="P7" s="17"/>
      <c r="Q7" s="476"/>
      <c r="R7" s="476"/>
      <c r="S7" s="476"/>
    </row>
    <row r="8" spans="1:31" s="14" customFormat="1" ht="12.95" customHeight="1" x14ac:dyDescent="0.35">
      <c r="A8" s="16" t="s">
        <v>37</v>
      </c>
      <c r="B8" s="476"/>
      <c r="C8" s="476"/>
      <c r="D8" s="476"/>
      <c r="E8" s="476" t="s">
        <v>33</v>
      </c>
      <c r="F8" s="16" t="s">
        <v>38</v>
      </c>
      <c r="G8" s="476"/>
      <c r="H8" s="476"/>
      <c r="I8" s="476"/>
      <c r="J8" s="476"/>
      <c r="K8" s="476"/>
      <c r="L8" s="476"/>
      <c r="M8" s="476"/>
      <c r="N8" s="476"/>
      <c r="O8" s="476"/>
      <c r="P8" s="476"/>
      <c r="Q8" s="476"/>
      <c r="R8" s="476"/>
      <c r="S8" s="476"/>
    </row>
    <row r="9" spans="1:31" s="14" customFormat="1" ht="12.95" customHeight="1" x14ac:dyDescent="0.35">
      <c r="A9" s="16" t="s">
        <v>39</v>
      </c>
      <c r="B9" s="476"/>
      <c r="C9" s="476"/>
      <c r="D9" s="476"/>
      <c r="E9" s="476" t="s">
        <v>33</v>
      </c>
      <c r="F9" s="16" t="s">
        <v>40</v>
      </c>
      <c r="G9" s="476"/>
      <c r="H9" s="476"/>
      <c r="I9" s="476"/>
      <c r="J9" s="476"/>
      <c r="K9" s="476"/>
      <c r="L9" s="476"/>
      <c r="M9" s="476"/>
      <c r="N9" s="476"/>
      <c r="O9" s="476"/>
      <c r="P9" s="476"/>
      <c r="Q9" s="476"/>
      <c r="R9" s="476"/>
      <c r="S9" s="476"/>
    </row>
    <row r="10" spans="1:31" ht="12.95" customHeight="1" x14ac:dyDescent="0.35">
      <c r="A10" s="475"/>
      <c r="B10" s="475"/>
      <c r="C10" s="475"/>
      <c r="D10" s="475"/>
      <c r="E10" s="475"/>
      <c r="F10" s="475"/>
      <c r="G10" s="475"/>
      <c r="H10" s="475"/>
      <c r="I10" s="475"/>
      <c r="J10" s="475"/>
      <c r="K10" s="475"/>
      <c r="L10" s="475"/>
      <c r="M10" s="475"/>
      <c r="N10" s="475"/>
      <c r="O10" s="475"/>
      <c r="P10" s="475"/>
      <c r="Q10" s="475"/>
      <c r="R10" s="475"/>
      <c r="S10" s="475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</row>
    <row r="11" spans="1:31" ht="12.95" customHeight="1" x14ac:dyDescent="0.35">
      <c r="A11" s="19"/>
      <c r="B11" s="20"/>
      <c r="C11" s="21"/>
      <c r="D11" s="21"/>
      <c r="E11" s="21"/>
      <c r="F11" s="21"/>
      <c r="G11" s="22"/>
      <c r="H11" s="23"/>
      <c r="I11" s="23"/>
      <c r="J11" s="24"/>
      <c r="K11" s="25"/>
      <c r="L11" s="23"/>
      <c r="M11" s="23"/>
      <c r="N11" s="23"/>
      <c r="O11" s="20"/>
      <c r="P11" s="22"/>
      <c r="Q11" s="23"/>
      <c r="R11" s="23"/>
      <c r="S11" s="26"/>
      <c r="T11" s="21"/>
      <c r="U11" s="22"/>
      <c r="V11" s="22"/>
      <c r="W11" s="536" t="s">
        <v>41</v>
      </c>
      <c r="X11" s="537"/>
      <c r="Y11" s="540" t="s">
        <v>42</v>
      </c>
      <c r="Z11" s="541"/>
      <c r="AA11" s="542" t="s">
        <v>43</v>
      </c>
      <c r="AB11" s="543"/>
      <c r="AC11" s="536" t="s">
        <v>44</v>
      </c>
      <c r="AD11" s="544"/>
      <c r="AE11" s="546" t="s">
        <v>45</v>
      </c>
    </row>
    <row r="12" spans="1:31" s="28" customFormat="1" ht="12.95" customHeight="1" x14ac:dyDescent="0.35">
      <c r="A12" s="549" t="s">
        <v>46</v>
      </c>
      <c r="B12" s="551" t="s">
        <v>47</v>
      </c>
      <c r="C12" s="551"/>
      <c r="D12" s="551"/>
      <c r="E12" s="551"/>
      <c r="F12" s="551"/>
      <c r="G12" s="551"/>
      <c r="H12" s="518" t="s">
        <v>48</v>
      </c>
      <c r="I12" s="519"/>
      <c r="J12" s="519"/>
      <c r="K12" s="553"/>
      <c r="O12" s="554" t="s">
        <v>49</v>
      </c>
      <c r="P12" s="551"/>
      <c r="Q12" s="556" t="s">
        <v>50</v>
      </c>
      <c r="R12" s="558" t="s">
        <v>51</v>
      </c>
      <c r="S12" s="531" t="s">
        <v>52</v>
      </c>
      <c r="T12" s="518" t="s">
        <v>53</v>
      </c>
      <c r="U12" s="553"/>
      <c r="V12" s="29" t="s">
        <v>54</v>
      </c>
      <c r="W12" s="538"/>
      <c r="X12" s="539"/>
      <c r="Y12" s="518" t="s">
        <v>55</v>
      </c>
      <c r="Z12" s="519"/>
      <c r="AA12" s="520" t="s">
        <v>56</v>
      </c>
      <c r="AB12" s="521"/>
      <c r="AC12" s="538"/>
      <c r="AD12" s="545"/>
      <c r="AE12" s="547"/>
    </row>
    <row r="13" spans="1:31" s="30" customFormat="1" ht="12.95" customHeight="1" x14ac:dyDescent="0.35">
      <c r="A13" s="549"/>
      <c r="B13" s="551"/>
      <c r="C13" s="551"/>
      <c r="D13" s="551"/>
      <c r="E13" s="551"/>
      <c r="F13" s="551"/>
      <c r="G13" s="551"/>
      <c r="H13" s="522" t="s">
        <v>49</v>
      </c>
      <c r="I13" s="522"/>
      <c r="J13" s="525" t="s">
        <v>50</v>
      </c>
      <c r="K13" s="528" t="s">
        <v>57</v>
      </c>
      <c r="O13" s="554"/>
      <c r="P13" s="551"/>
      <c r="Q13" s="556"/>
      <c r="R13" s="558"/>
      <c r="S13" s="531"/>
      <c r="T13" s="31" t="s">
        <v>58</v>
      </c>
      <c r="U13" s="31" t="s">
        <v>59</v>
      </c>
      <c r="V13" s="32"/>
      <c r="W13" s="32"/>
      <c r="X13" s="32" t="s">
        <v>60</v>
      </c>
      <c r="Y13" s="32"/>
      <c r="Z13" s="32" t="s">
        <v>61</v>
      </c>
      <c r="AA13" s="32" t="s">
        <v>62</v>
      </c>
      <c r="AB13" s="32" t="s">
        <v>63</v>
      </c>
      <c r="AC13" s="32" t="s">
        <v>64</v>
      </c>
      <c r="AD13" s="33" t="s">
        <v>65</v>
      </c>
      <c r="AE13" s="547"/>
    </row>
    <row r="14" spans="1:31" s="30" customFormat="1" ht="12.95" customHeight="1" x14ac:dyDescent="0.35">
      <c r="A14" s="549"/>
      <c r="B14" s="551"/>
      <c r="C14" s="551"/>
      <c r="D14" s="551"/>
      <c r="E14" s="551"/>
      <c r="F14" s="551"/>
      <c r="G14" s="551"/>
      <c r="H14" s="523"/>
      <c r="I14" s="523"/>
      <c r="J14" s="526"/>
      <c r="K14" s="529"/>
      <c r="O14" s="554"/>
      <c r="P14" s="551"/>
      <c r="Q14" s="556"/>
      <c r="R14" s="558"/>
      <c r="S14" s="531"/>
      <c r="T14" s="31" t="s">
        <v>66</v>
      </c>
      <c r="U14" s="31" t="s">
        <v>67</v>
      </c>
      <c r="V14" s="31" t="s">
        <v>68</v>
      </c>
      <c r="W14" s="32" t="s">
        <v>69</v>
      </c>
      <c r="X14" s="32" t="s">
        <v>60</v>
      </c>
      <c r="Y14" s="32" t="s">
        <v>70</v>
      </c>
      <c r="Z14" s="32" t="s">
        <v>71</v>
      </c>
      <c r="AA14" s="32" t="s">
        <v>72</v>
      </c>
      <c r="AB14" s="32" t="s">
        <v>73</v>
      </c>
      <c r="AC14" s="32" t="s">
        <v>74</v>
      </c>
      <c r="AD14" s="33" t="s">
        <v>75</v>
      </c>
      <c r="AE14" s="547"/>
    </row>
    <row r="15" spans="1:31" s="30" customFormat="1" ht="12.95" customHeight="1" thickBot="1" x14ac:dyDescent="0.4">
      <c r="A15" s="550"/>
      <c r="B15" s="552"/>
      <c r="C15" s="552"/>
      <c r="D15" s="552"/>
      <c r="E15" s="552"/>
      <c r="F15" s="552"/>
      <c r="G15" s="552"/>
      <c r="H15" s="524"/>
      <c r="I15" s="524"/>
      <c r="J15" s="527"/>
      <c r="K15" s="530"/>
      <c r="O15" s="555"/>
      <c r="P15" s="552"/>
      <c r="Q15" s="557"/>
      <c r="R15" s="559"/>
      <c r="S15" s="532"/>
      <c r="T15" s="34" t="s">
        <v>76</v>
      </c>
      <c r="U15" s="34"/>
      <c r="V15" s="35"/>
      <c r="W15" s="35"/>
      <c r="X15" s="35"/>
      <c r="Y15" s="35"/>
      <c r="Z15" s="35"/>
      <c r="AA15" s="35"/>
      <c r="AB15" s="35"/>
      <c r="AC15" s="35" t="s">
        <v>77</v>
      </c>
      <c r="AD15" s="36" t="s">
        <v>78</v>
      </c>
      <c r="AE15" s="548"/>
    </row>
    <row r="16" spans="1:31" s="40" customFormat="1" ht="12.95" customHeight="1" thickTop="1" x14ac:dyDescent="0.35">
      <c r="A16" s="37">
        <v>1</v>
      </c>
      <c r="B16" s="503">
        <v>2</v>
      </c>
      <c r="C16" s="504"/>
      <c r="D16" s="504"/>
      <c r="E16" s="504"/>
      <c r="F16" s="504"/>
      <c r="G16" s="505"/>
      <c r="H16" s="503">
        <v>3</v>
      </c>
      <c r="I16" s="505"/>
      <c r="J16" s="467">
        <v>4</v>
      </c>
      <c r="K16" s="39">
        <v>5</v>
      </c>
      <c r="O16" s="503">
        <v>3</v>
      </c>
      <c r="P16" s="505"/>
      <c r="Q16" s="467">
        <v>4</v>
      </c>
      <c r="R16" s="41">
        <v>4</v>
      </c>
      <c r="S16" s="42">
        <v>5</v>
      </c>
      <c r="T16" s="43">
        <v>6</v>
      </c>
      <c r="U16" s="43">
        <v>7</v>
      </c>
      <c r="V16" s="43">
        <v>8</v>
      </c>
      <c r="W16" s="43">
        <v>9</v>
      </c>
      <c r="X16" s="43">
        <v>10</v>
      </c>
      <c r="Y16" s="43">
        <v>11</v>
      </c>
      <c r="Z16" s="43">
        <v>12</v>
      </c>
      <c r="AA16" s="43">
        <v>13</v>
      </c>
      <c r="AB16" s="43">
        <v>14</v>
      </c>
      <c r="AC16" s="43">
        <v>15</v>
      </c>
      <c r="AD16" s="43">
        <v>16</v>
      </c>
      <c r="AE16" s="43">
        <v>17</v>
      </c>
    </row>
    <row r="17" spans="1:37" ht="12" customHeight="1" x14ac:dyDescent="0.35">
      <c r="A17" s="44"/>
      <c r="B17" s="45"/>
      <c r="C17" s="45"/>
      <c r="D17" s="45"/>
      <c r="E17" s="45"/>
      <c r="F17" s="45"/>
      <c r="G17" s="46"/>
      <c r="H17" s="47"/>
      <c r="I17" s="46"/>
      <c r="J17" s="48"/>
      <c r="K17" s="49"/>
      <c r="L17" s="50"/>
      <c r="M17" s="50"/>
      <c r="N17" s="50"/>
      <c r="O17" s="51"/>
      <c r="P17" s="52"/>
      <c r="Q17" s="53"/>
      <c r="R17" s="54"/>
      <c r="S17" s="55"/>
      <c r="T17" s="56"/>
      <c r="U17" s="57"/>
      <c r="V17" s="57"/>
      <c r="W17" s="57"/>
      <c r="X17" s="57"/>
      <c r="Y17" s="58"/>
      <c r="Z17" s="56"/>
      <c r="AA17" s="56"/>
      <c r="AB17" s="56"/>
      <c r="AC17" s="58"/>
      <c r="AD17" s="58"/>
      <c r="AE17" s="56"/>
    </row>
    <row r="18" spans="1:37" ht="12" customHeight="1" x14ac:dyDescent="0.35">
      <c r="A18" s="59" t="s">
        <v>79</v>
      </c>
      <c r="B18" s="60" t="s">
        <v>80</v>
      </c>
      <c r="C18" s="60"/>
      <c r="D18" s="60"/>
      <c r="E18" s="60"/>
      <c r="F18" s="60"/>
      <c r="G18" s="61"/>
      <c r="H18" s="62"/>
      <c r="I18" s="63"/>
      <c r="J18" s="64"/>
      <c r="K18" s="65"/>
      <c r="L18" s="66"/>
      <c r="M18" s="66"/>
      <c r="N18" s="66"/>
      <c r="O18" s="67"/>
      <c r="P18" s="60"/>
      <c r="Q18" s="68"/>
      <c r="R18" s="69"/>
      <c r="S18" s="70"/>
      <c r="T18" s="71"/>
      <c r="U18" s="72"/>
      <c r="V18" s="72"/>
      <c r="W18" s="72"/>
      <c r="X18" s="72"/>
      <c r="Y18" s="73"/>
      <c r="Z18" s="71"/>
      <c r="AA18" s="71"/>
      <c r="AB18" s="71"/>
      <c r="AC18" s="73"/>
      <c r="AD18" s="73"/>
      <c r="AE18" s="71"/>
    </row>
    <row r="19" spans="1:37" ht="12" customHeight="1" x14ac:dyDescent="0.35">
      <c r="A19" s="74"/>
      <c r="B19" s="75"/>
      <c r="C19" s="75"/>
      <c r="D19" s="75"/>
      <c r="E19" s="75"/>
      <c r="F19" s="75"/>
      <c r="G19" s="76"/>
      <c r="H19" s="77"/>
      <c r="I19" s="78"/>
      <c r="J19" s="79"/>
      <c r="K19" s="80"/>
      <c r="L19" s="81"/>
      <c r="M19" s="81"/>
      <c r="N19" s="81"/>
      <c r="O19" s="82"/>
      <c r="P19" s="75"/>
      <c r="Q19" s="83"/>
      <c r="R19" s="84"/>
      <c r="S19" s="85"/>
      <c r="T19" s="86"/>
      <c r="U19" s="87"/>
      <c r="V19" s="87"/>
      <c r="W19" s="87"/>
      <c r="X19" s="87"/>
      <c r="Y19" s="88"/>
      <c r="Z19" s="86"/>
      <c r="AA19" s="86"/>
      <c r="AB19" s="86"/>
      <c r="AC19" s="88"/>
      <c r="AD19" s="88"/>
      <c r="AE19" s="86"/>
    </row>
    <row r="20" spans="1:37" ht="12" customHeight="1" x14ac:dyDescent="0.35">
      <c r="A20" s="89" t="s">
        <v>180</v>
      </c>
      <c r="B20" s="60" t="s">
        <v>181</v>
      </c>
      <c r="C20" s="60"/>
      <c r="D20" s="60"/>
      <c r="E20" s="60"/>
      <c r="F20" s="60"/>
      <c r="G20" s="61"/>
      <c r="H20" s="62"/>
      <c r="I20" s="63"/>
      <c r="J20" s="64"/>
      <c r="K20" s="65"/>
      <c r="L20" s="66"/>
      <c r="M20" s="66"/>
      <c r="N20" s="66"/>
      <c r="O20" s="67"/>
      <c r="P20" s="60"/>
      <c r="Q20" s="68"/>
      <c r="R20" s="69"/>
      <c r="S20" s="70"/>
      <c r="T20" s="71"/>
      <c r="U20" s="72"/>
      <c r="V20" s="72"/>
      <c r="W20" s="72"/>
      <c r="X20" s="72"/>
      <c r="Y20" s="73"/>
      <c r="Z20" s="71"/>
      <c r="AA20" s="71"/>
      <c r="AB20" s="71"/>
      <c r="AC20" s="73"/>
      <c r="AD20" s="73"/>
      <c r="AE20" s="71"/>
      <c r="AF20" s="90"/>
      <c r="AG20" s="90"/>
      <c r="AH20" s="90"/>
      <c r="AI20" s="90"/>
      <c r="AJ20" s="90"/>
      <c r="AK20" s="90"/>
    </row>
    <row r="21" spans="1:37" ht="12" customHeight="1" x14ac:dyDescent="0.35">
      <c r="A21" s="74"/>
      <c r="B21" s="75"/>
      <c r="C21" s="75"/>
      <c r="D21" s="75"/>
      <c r="E21" s="75"/>
      <c r="F21" s="75"/>
      <c r="G21" s="76"/>
      <c r="H21" s="77"/>
      <c r="I21" s="78"/>
      <c r="J21" s="79"/>
      <c r="K21" s="80"/>
      <c r="L21" s="81"/>
      <c r="M21" s="81"/>
      <c r="N21" s="81"/>
      <c r="O21" s="82"/>
      <c r="P21" s="75"/>
      <c r="Q21" s="83"/>
      <c r="R21" s="84"/>
      <c r="S21" s="85"/>
      <c r="T21" s="86"/>
      <c r="U21" s="87"/>
      <c r="V21" s="87"/>
      <c r="W21" s="87"/>
      <c r="X21" s="87"/>
      <c r="Y21" s="88"/>
      <c r="Z21" s="86"/>
      <c r="AA21" s="86"/>
      <c r="AB21" s="86"/>
      <c r="AC21" s="88"/>
      <c r="AD21" s="88"/>
      <c r="AE21" s="86"/>
    </row>
    <row r="22" spans="1:37" ht="12" customHeight="1" x14ac:dyDescent="0.35">
      <c r="A22" s="91" t="s">
        <v>182</v>
      </c>
      <c r="B22" s="75" t="s">
        <v>183</v>
      </c>
      <c r="C22" s="75"/>
      <c r="D22" s="75"/>
      <c r="E22" s="75"/>
      <c r="F22" s="75"/>
      <c r="G22" s="76"/>
      <c r="H22" s="77"/>
      <c r="I22" s="78"/>
      <c r="J22" s="79"/>
      <c r="K22" s="80"/>
      <c r="L22" s="81"/>
      <c r="M22" s="81"/>
      <c r="N22" s="81"/>
      <c r="O22" s="82"/>
      <c r="P22" s="75"/>
      <c r="Q22" s="83"/>
      <c r="R22" s="84"/>
      <c r="S22" s="85"/>
      <c r="T22" s="86"/>
      <c r="U22" s="87"/>
      <c r="V22" s="87"/>
      <c r="W22" s="87"/>
      <c r="X22" s="87"/>
      <c r="Y22" s="88"/>
      <c r="Z22" s="86"/>
      <c r="AA22" s="86"/>
      <c r="AB22" s="86"/>
      <c r="AC22" s="88"/>
      <c r="AD22" s="88"/>
      <c r="AE22" s="86"/>
    </row>
    <row r="23" spans="1:37" ht="12" customHeight="1" x14ac:dyDescent="0.35">
      <c r="A23" s="74"/>
      <c r="B23" s="75"/>
      <c r="C23" s="75"/>
      <c r="D23" s="75"/>
      <c r="E23" s="75"/>
      <c r="F23" s="75"/>
      <c r="G23" s="76"/>
      <c r="H23" s="77"/>
      <c r="I23" s="78"/>
      <c r="J23" s="79"/>
      <c r="K23" s="80"/>
      <c r="L23" s="81"/>
      <c r="M23" s="81"/>
      <c r="N23" s="81"/>
      <c r="O23" s="82"/>
      <c r="P23" s="75"/>
      <c r="Q23" s="83"/>
      <c r="R23" s="84"/>
      <c r="S23" s="85"/>
      <c r="T23" s="86"/>
      <c r="U23" s="87"/>
      <c r="V23" s="87"/>
      <c r="W23" s="87"/>
      <c r="X23" s="87"/>
      <c r="Y23" s="88"/>
      <c r="Z23" s="86"/>
      <c r="AA23" s="86"/>
      <c r="AB23" s="86"/>
      <c r="AC23" s="88"/>
      <c r="AD23" s="88"/>
      <c r="AE23" s="86"/>
    </row>
    <row r="24" spans="1:37" ht="12" customHeight="1" x14ac:dyDescent="0.35">
      <c r="A24" s="92" t="s">
        <v>184</v>
      </c>
      <c r="B24" s="75" t="s">
        <v>185</v>
      </c>
      <c r="C24" s="75"/>
      <c r="D24" s="75"/>
      <c r="E24" s="75"/>
      <c r="F24" s="75"/>
      <c r="G24" s="76"/>
      <c r="H24" s="77"/>
      <c r="I24" s="78"/>
      <c r="J24" s="79"/>
      <c r="K24" s="80"/>
      <c r="L24" s="81"/>
      <c r="M24" s="81"/>
      <c r="N24" s="81"/>
      <c r="O24" s="82"/>
      <c r="P24" s="75"/>
      <c r="Q24" s="83"/>
      <c r="R24" s="84"/>
      <c r="S24" s="85"/>
      <c r="T24" s="86"/>
      <c r="U24" s="87"/>
      <c r="V24" s="87"/>
      <c r="W24" s="87"/>
      <c r="X24" s="87"/>
      <c r="Y24" s="88"/>
      <c r="Z24" s="86"/>
      <c r="AA24" s="86"/>
      <c r="AB24" s="86"/>
      <c r="AC24" s="88"/>
      <c r="AD24" s="88"/>
      <c r="AE24" s="86"/>
    </row>
    <row r="25" spans="1:37" ht="12" customHeight="1" x14ac:dyDescent="0.35">
      <c r="A25" s="284">
        <v>521211</v>
      </c>
      <c r="B25" s="285" t="s">
        <v>186</v>
      </c>
      <c r="C25" s="94"/>
      <c r="D25" s="94"/>
      <c r="E25" s="94"/>
      <c r="F25" s="94"/>
      <c r="G25" s="95"/>
      <c r="H25" s="77"/>
      <c r="I25" s="78"/>
      <c r="J25" s="79"/>
      <c r="K25" s="80"/>
      <c r="L25" s="81"/>
      <c r="M25" s="81"/>
      <c r="N25" s="81"/>
      <c r="O25" s="82"/>
      <c r="P25" s="75"/>
      <c r="Q25" s="83"/>
      <c r="R25" s="84"/>
      <c r="S25" s="85"/>
      <c r="T25" s="86"/>
      <c r="U25" s="87"/>
      <c r="V25" s="87"/>
      <c r="W25" s="87"/>
      <c r="X25" s="87"/>
      <c r="Y25" s="88"/>
      <c r="Z25" s="86"/>
      <c r="AA25" s="86"/>
      <c r="AB25" s="86"/>
      <c r="AC25" s="88"/>
      <c r="AD25" s="88"/>
      <c r="AE25" s="86"/>
    </row>
    <row r="26" spans="1:37" ht="12" customHeight="1" x14ac:dyDescent="0.35">
      <c r="A26" s="93"/>
      <c r="B26" s="102" t="s">
        <v>82</v>
      </c>
      <c r="C26" s="94" t="s">
        <v>189</v>
      </c>
      <c r="D26" s="94"/>
      <c r="E26" s="94"/>
      <c r="F26" s="94"/>
      <c r="G26" s="95"/>
      <c r="H26" s="77"/>
      <c r="I26" s="78"/>
      <c r="J26" s="79"/>
      <c r="K26" s="80"/>
      <c r="L26" s="81"/>
      <c r="M26" s="81"/>
      <c r="N26" s="81"/>
      <c r="O26" s="96">
        <v>1</v>
      </c>
      <c r="P26" s="94" t="s">
        <v>83</v>
      </c>
      <c r="Q26" s="97"/>
      <c r="R26" s="98">
        <f>O26*2730000</f>
        <v>2730000</v>
      </c>
      <c r="S26" s="85">
        <f>+R26/$R$184*100</f>
        <v>0.12191946794880097</v>
      </c>
      <c r="T26" s="99">
        <v>0</v>
      </c>
      <c r="U26" s="87"/>
      <c r="V26" s="87"/>
      <c r="W26" s="87"/>
      <c r="X26" s="87"/>
      <c r="Y26" s="88">
        <v>2730000</v>
      </c>
      <c r="Z26" s="99">
        <f>+Y26/R26*100</f>
        <v>100</v>
      </c>
      <c r="AA26" s="100">
        <f>Z26</f>
        <v>100</v>
      </c>
      <c r="AB26" s="99">
        <f>AA26*S26/100</f>
        <v>0.12191946794880097</v>
      </c>
      <c r="AC26" s="88"/>
      <c r="AD26" s="88">
        <f>+R26-Y26</f>
        <v>0</v>
      </c>
      <c r="AE26" s="86"/>
    </row>
    <row r="27" spans="1:37" ht="12" customHeight="1" x14ac:dyDescent="0.35">
      <c r="A27" s="93"/>
      <c r="B27" s="102" t="s">
        <v>82</v>
      </c>
      <c r="C27" s="94" t="s">
        <v>187</v>
      </c>
      <c r="D27" s="94"/>
      <c r="E27" s="94"/>
      <c r="F27" s="94"/>
      <c r="G27" s="95"/>
      <c r="H27" s="77"/>
      <c r="I27" s="78"/>
      <c r="J27" s="79"/>
      <c r="K27" s="80"/>
      <c r="L27" s="81"/>
      <c r="M27" s="81"/>
      <c r="N27" s="81"/>
      <c r="O27" s="96">
        <v>1</v>
      </c>
      <c r="P27" s="94" t="s">
        <v>83</v>
      </c>
      <c r="Q27" s="97"/>
      <c r="R27" s="98">
        <f>O27*2810000</f>
        <v>2810000</v>
      </c>
      <c r="S27" s="85">
        <f>+R27/$R$184*100</f>
        <v>0.12549219961030428</v>
      </c>
      <c r="T27" s="99"/>
      <c r="U27" s="87"/>
      <c r="V27" s="87"/>
      <c r="W27" s="87"/>
      <c r="X27" s="87"/>
      <c r="Y27" s="88">
        <v>0</v>
      </c>
      <c r="Z27" s="99">
        <f t="shared" ref="Z27:Z30" si="0">+Y27/R27*100</f>
        <v>0</v>
      </c>
      <c r="AA27" s="100">
        <f t="shared" ref="AA27:AA61" si="1">Z27</f>
        <v>0</v>
      </c>
      <c r="AB27" s="99">
        <f t="shared" ref="AB27:AB30" si="2">AA27*S27/100</f>
        <v>0</v>
      </c>
      <c r="AC27" s="88"/>
      <c r="AD27" s="88">
        <f t="shared" ref="AD27:AD34" si="3">+R27-Y27</f>
        <v>2810000</v>
      </c>
      <c r="AE27" s="86"/>
    </row>
    <row r="28" spans="1:37" ht="12" customHeight="1" x14ac:dyDescent="0.35">
      <c r="A28" s="93"/>
      <c r="B28" s="102" t="s">
        <v>82</v>
      </c>
      <c r="C28" s="94" t="s">
        <v>190</v>
      </c>
      <c r="D28" s="94"/>
      <c r="E28" s="94"/>
      <c r="F28" s="94"/>
      <c r="G28" s="95"/>
      <c r="H28" s="77"/>
      <c r="I28" s="78"/>
      <c r="J28" s="79"/>
      <c r="K28" s="80"/>
      <c r="L28" s="81"/>
      <c r="M28" s="81"/>
      <c r="N28" s="81"/>
      <c r="O28" s="96">
        <v>1</v>
      </c>
      <c r="P28" s="94" t="s">
        <v>83</v>
      </c>
      <c r="Q28" s="97"/>
      <c r="R28" s="98">
        <f>O28*8490000</f>
        <v>8490000</v>
      </c>
      <c r="S28" s="85">
        <f>+R28/$R$184*100</f>
        <v>0.37915614757704036</v>
      </c>
      <c r="T28" s="99"/>
      <c r="U28" s="87"/>
      <c r="V28" s="87"/>
      <c r="W28" s="87"/>
      <c r="X28" s="87"/>
      <c r="Y28" s="88">
        <v>8490000</v>
      </c>
      <c r="Z28" s="99">
        <f t="shared" si="0"/>
        <v>100</v>
      </c>
      <c r="AA28" s="100">
        <f t="shared" si="1"/>
        <v>100</v>
      </c>
      <c r="AB28" s="99">
        <f t="shared" si="2"/>
        <v>0.37915614757704036</v>
      </c>
      <c r="AC28" s="88"/>
      <c r="AD28" s="88">
        <f t="shared" si="3"/>
        <v>0</v>
      </c>
      <c r="AE28" s="86"/>
    </row>
    <row r="29" spans="1:37" ht="12" customHeight="1" x14ac:dyDescent="0.35">
      <c r="A29" s="93"/>
      <c r="B29" s="102" t="s">
        <v>82</v>
      </c>
      <c r="C29" s="94" t="s">
        <v>188</v>
      </c>
      <c r="D29" s="94"/>
      <c r="E29" s="94"/>
      <c r="F29" s="94"/>
      <c r="G29" s="95"/>
      <c r="H29" s="77"/>
      <c r="I29" s="78"/>
      <c r="J29" s="79"/>
      <c r="K29" s="80"/>
      <c r="L29" s="81"/>
      <c r="M29" s="81"/>
      <c r="N29" s="81"/>
      <c r="O29" s="96">
        <v>1</v>
      </c>
      <c r="P29" s="94" t="s">
        <v>83</v>
      </c>
      <c r="Q29" s="97"/>
      <c r="R29" s="98">
        <f>O29*9990000</f>
        <v>9990000</v>
      </c>
      <c r="S29" s="85">
        <f>+R29/$R$184*100</f>
        <v>0.4461448662302277</v>
      </c>
      <c r="T29" s="99"/>
      <c r="U29" s="87"/>
      <c r="V29" s="87"/>
      <c r="W29" s="87"/>
      <c r="X29" s="87"/>
      <c r="Y29" s="88">
        <v>0</v>
      </c>
      <c r="Z29" s="99">
        <f t="shared" si="0"/>
        <v>0</v>
      </c>
      <c r="AA29" s="100">
        <f t="shared" si="1"/>
        <v>0</v>
      </c>
      <c r="AB29" s="99">
        <f t="shared" si="2"/>
        <v>0</v>
      </c>
      <c r="AC29" s="88"/>
      <c r="AD29" s="88">
        <f t="shared" si="3"/>
        <v>9990000</v>
      </c>
      <c r="AE29" s="86"/>
    </row>
    <row r="30" spans="1:37" ht="12" customHeight="1" x14ac:dyDescent="0.35">
      <c r="A30" s="93"/>
      <c r="B30" s="102" t="s">
        <v>191</v>
      </c>
      <c r="C30" s="94" t="s">
        <v>192</v>
      </c>
      <c r="D30" s="94"/>
      <c r="E30" s="94"/>
      <c r="F30" s="94"/>
      <c r="G30" s="95"/>
      <c r="H30" s="77"/>
      <c r="I30" s="78"/>
      <c r="J30" s="79"/>
      <c r="K30" s="80"/>
      <c r="L30" s="81"/>
      <c r="M30" s="81"/>
      <c r="N30" s="81"/>
      <c r="O30" s="96">
        <v>1</v>
      </c>
      <c r="P30" s="94" t="s">
        <v>83</v>
      </c>
      <c r="Q30" s="97"/>
      <c r="R30" s="98">
        <f>O30*2480000</f>
        <v>2480000</v>
      </c>
      <c r="S30" s="85">
        <f>+R30/$R$184*100</f>
        <v>0.11075468150660307</v>
      </c>
      <c r="T30" s="99"/>
      <c r="U30" s="87"/>
      <c r="V30" s="87"/>
      <c r="W30" s="87"/>
      <c r="X30" s="87"/>
      <c r="Y30" s="88">
        <f>210000+240000+240000</f>
        <v>690000</v>
      </c>
      <c r="Z30" s="99">
        <f t="shared" si="0"/>
        <v>27.822580645161288</v>
      </c>
      <c r="AA30" s="100">
        <f t="shared" si="1"/>
        <v>27.822580645161288</v>
      </c>
      <c r="AB30" s="99">
        <f t="shared" si="2"/>
        <v>3.0814810580466173E-2</v>
      </c>
      <c r="AC30" s="88"/>
      <c r="AD30" s="88">
        <f t="shared" si="3"/>
        <v>1790000</v>
      </c>
      <c r="AE30" s="86"/>
    </row>
    <row r="31" spans="1:37" ht="12" customHeight="1" x14ac:dyDescent="0.35">
      <c r="A31" s="284">
        <v>521213</v>
      </c>
      <c r="B31" s="285" t="s">
        <v>193</v>
      </c>
      <c r="C31" s="94"/>
      <c r="D31" s="94"/>
      <c r="E31" s="94"/>
      <c r="F31" s="94"/>
      <c r="G31" s="95"/>
      <c r="H31" s="77"/>
      <c r="I31" s="78"/>
      <c r="J31" s="79"/>
      <c r="K31" s="80"/>
      <c r="L31" s="81"/>
      <c r="M31" s="81"/>
      <c r="N31" s="81"/>
      <c r="O31" s="96"/>
      <c r="P31" s="94"/>
      <c r="Q31" s="97"/>
      <c r="R31" s="98"/>
      <c r="S31" s="85"/>
      <c r="T31" s="99"/>
      <c r="U31" s="87"/>
      <c r="V31" s="87"/>
      <c r="W31" s="87"/>
      <c r="X31" s="87"/>
      <c r="Y31" s="88"/>
      <c r="Z31" s="99"/>
      <c r="AA31" s="100"/>
      <c r="AB31" s="99"/>
      <c r="AC31" s="88"/>
      <c r="AD31" s="88"/>
      <c r="AE31" s="86"/>
    </row>
    <row r="32" spans="1:37" ht="12" customHeight="1" x14ac:dyDescent="0.35">
      <c r="A32" s="93"/>
      <c r="B32" s="102" t="s">
        <v>82</v>
      </c>
      <c r="C32" s="94" t="s">
        <v>194</v>
      </c>
      <c r="D32" s="94"/>
      <c r="E32" s="94"/>
      <c r="F32" s="94"/>
      <c r="G32" s="95"/>
      <c r="H32" s="77"/>
      <c r="I32" s="78"/>
      <c r="J32" s="79"/>
      <c r="K32" s="80"/>
      <c r="L32" s="81"/>
      <c r="M32" s="81"/>
      <c r="N32" s="81"/>
      <c r="O32" s="96">
        <v>6</v>
      </c>
      <c r="P32" s="94" t="s">
        <v>147</v>
      </c>
      <c r="Q32" s="97"/>
      <c r="R32" s="98">
        <f>O32*300000</f>
        <v>1800000</v>
      </c>
      <c r="S32" s="85">
        <f>+R32/$R$184*100</f>
        <v>8.0386462383824811E-2</v>
      </c>
      <c r="T32" s="99"/>
      <c r="U32" s="87"/>
      <c r="V32" s="87"/>
      <c r="W32" s="87"/>
      <c r="X32" s="87"/>
      <c r="Y32" s="88">
        <v>0</v>
      </c>
      <c r="Z32" s="99">
        <f t="shared" ref="Z32:Z34" si="4">+Y32/R32*100</f>
        <v>0</v>
      </c>
      <c r="AA32" s="100">
        <f t="shared" si="1"/>
        <v>0</v>
      </c>
      <c r="AB32" s="99">
        <f t="shared" ref="AB32:AB34" si="5">AA32*S32/100</f>
        <v>0</v>
      </c>
      <c r="AC32" s="88"/>
      <c r="AD32" s="88">
        <f t="shared" si="3"/>
        <v>1800000</v>
      </c>
      <c r="AE32" s="86"/>
    </row>
    <row r="33" spans="1:32" ht="12" customHeight="1" x14ac:dyDescent="0.35">
      <c r="A33" s="93"/>
      <c r="B33" s="102" t="s">
        <v>82</v>
      </c>
      <c r="C33" s="94" t="s">
        <v>195</v>
      </c>
      <c r="D33" s="94"/>
      <c r="E33" s="94"/>
      <c r="F33" s="94"/>
      <c r="G33" s="95"/>
      <c r="H33" s="77"/>
      <c r="I33" s="78"/>
      <c r="J33" s="79"/>
      <c r="K33" s="80"/>
      <c r="L33" s="81"/>
      <c r="M33" s="81"/>
      <c r="N33" s="81"/>
      <c r="O33" s="96">
        <v>6</v>
      </c>
      <c r="P33" s="94" t="s">
        <v>147</v>
      </c>
      <c r="Q33" s="97"/>
      <c r="R33" s="98">
        <f>O33*250000</f>
        <v>1500000</v>
      </c>
      <c r="S33" s="85">
        <f>+R33/$R$184*100</f>
        <v>6.6988718653187354E-2</v>
      </c>
      <c r="T33" s="99"/>
      <c r="U33" s="87"/>
      <c r="V33" s="87"/>
      <c r="W33" s="87"/>
      <c r="X33" s="87"/>
      <c r="Y33" s="88">
        <v>0</v>
      </c>
      <c r="Z33" s="99">
        <f t="shared" si="4"/>
        <v>0</v>
      </c>
      <c r="AA33" s="100">
        <f t="shared" si="1"/>
        <v>0</v>
      </c>
      <c r="AB33" s="99">
        <f t="shared" si="5"/>
        <v>0</v>
      </c>
      <c r="AC33" s="88"/>
      <c r="AD33" s="88">
        <f t="shared" si="3"/>
        <v>1500000</v>
      </c>
      <c r="AE33" s="86"/>
    </row>
    <row r="34" spans="1:32" ht="12" customHeight="1" x14ac:dyDescent="0.35">
      <c r="A34" s="93"/>
      <c r="B34" s="102" t="s">
        <v>82</v>
      </c>
      <c r="C34" s="94" t="s">
        <v>196</v>
      </c>
      <c r="D34" s="94"/>
      <c r="E34" s="94"/>
      <c r="F34" s="94"/>
      <c r="G34" s="95"/>
      <c r="H34" s="77"/>
      <c r="I34" s="78"/>
      <c r="J34" s="79"/>
      <c r="K34" s="80"/>
      <c r="L34" s="81"/>
      <c r="M34" s="81"/>
      <c r="N34" s="81"/>
      <c r="O34" s="96">
        <v>30</v>
      </c>
      <c r="P34" s="94" t="s">
        <v>147</v>
      </c>
      <c r="Q34" s="97"/>
      <c r="R34" s="98">
        <f>O34*200000</f>
        <v>6000000</v>
      </c>
      <c r="S34" s="85">
        <f>+R34/$R$184*100</f>
        <v>0.26795487461274942</v>
      </c>
      <c r="T34" s="99"/>
      <c r="U34" s="87"/>
      <c r="V34" s="87"/>
      <c r="W34" s="87"/>
      <c r="X34" s="87"/>
      <c r="Y34" s="88">
        <v>0</v>
      </c>
      <c r="Z34" s="99">
        <f t="shared" si="4"/>
        <v>0</v>
      </c>
      <c r="AA34" s="100">
        <f t="shared" si="1"/>
        <v>0</v>
      </c>
      <c r="AB34" s="99">
        <f t="shared" si="5"/>
        <v>0</v>
      </c>
      <c r="AC34" s="88"/>
      <c r="AD34" s="88">
        <f t="shared" si="3"/>
        <v>6000000</v>
      </c>
      <c r="AE34" s="86"/>
    </row>
    <row r="35" spans="1:32" ht="12" customHeight="1" x14ac:dyDescent="0.35">
      <c r="A35" s="284">
        <v>521219</v>
      </c>
      <c r="B35" s="285" t="s">
        <v>197</v>
      </c>
      <c r="C35" s="94"/>
      <c r="D35" s="94"/>
      <c r="E35" s="94"/>
      <c r="F35" s="94"/>
      <c r="G35" s="95"/>
      <c r="H35" s="77"/>
      <c r="I35" s="78"/>
      <c r="J35" s="79"/>
      <c r="K35" s="80"/>
      <c r="L35" s="81"/>
      <c r="M35" s="81"/>
      <c r="N35" s="81"/>
      <c r="O35" s="96"/>
      <c r="P35" s="94"/>
      <c r="Q35" s="97"/>
      <c r="R35" s="98"/>
      <c r="S35" s="85"/>
      <c r="T35" s="99"/>
      <c r="U35" s="87"/>
      <c r="V35" s="87"/>
      <c r="W35" s="87"/>
      <c r="X35" s="87"/>
      <c r="Y35" s="88"/>
      <c r="Z35" s="99"/>
      <c r="AA35" s="100"/>
      <c r="AB35" s="99"/>
      <c r="AC35" s="88"/>
      <c r="AD35" s="88"/>
      <c r="AE35" s="86"/>
    </row>
    <row r="36" spans="1:32" ht="12" customHeight="1" x14ac:dyDescent="0.35">
      <c r="A36" s="93"/>
      <c r="B36" s="102" t="s">
        <v>82</v>
      </c>
      <c r="C36" s="94" t="s">
        <v>198</v>
      </c>
      <c r="D36" s="94"/>
      <c r="E36" s="94"/>
      <c r="F36" s="94"/>
      <c r="G36" s="95"/>
      <c r="H36" s="77"/>
      <c r="I36" s="78"/>
      <c r="J36" s="79"/>
      <c r="K36" s="80"/>
      <c r="L36" s="81"/>
      <c r="M36" s="81"/>
      <c r="N36" s="81"/>
      <c r="O36" s="96">
        <v>25</v>
      </c>
      <c r="P36" s="94" t="s">
        <v>200</v>
      </c>
      <c r="Q36" s="83"/>
      <c r="R36" s="98">
        <f>O36*50000</f>
        <v>1250000</v>
      </c>
      <c r="S36" s="85">
        <f>+R36/$R$184*100</f>
        <v>5.5823932210989448E-2</v>
      </c>
      <c r="T36" s="99"/>
      <c r="U36" s="87"/>
      <c r="V36" s="87"/>
      <c r="W36" s="87"/>
      <c r="X36" s="87"/>
      <c r="Y36" s="88">
        <v>1250000</v>
      </c>
      <c r="Z36" s="99">
        <f t="shared" ref="Z36:Z37" si="6">+Y36/R36*100</f>
        <v>100</v>
      </c>
      <c r="AA36" s="100">
        <f t="shared" si="1"/>
        <v>100</v>
      </c>
      <c r="AB36" s="99">
        <f t="shared" ref="AB36:AB37" si="7">AA36*S36/100</f>
        <v>5.5823932210989448E-2</v>
      </c>
      <c r="AC36" s="88"/>
      <c r="AD36" s="88">
        <f t="shared" ref="AD36:AD37" si="8">+R36-Y36</f>
        <v>0</v>
      </c>
      <c r="AE36" s="86"/>
    </row>
    <row r="37" spans="1:32" ht="12" customHeight="1" x14ac:dyDescent="0.35">
      <c r="A37" s="93"/>
      <c r="B37" s="102" t="s">
        <v>82</v>
      </c>
      <c r="C37" s="94" t="s">
        <v>199</v>
      </c>
      <c r="D37" s="94"/>
      <c r="E37" s="94"/>
      <c r="F37" s="94"/>
      <c r="G37" s="95"/>
      <c r="H37" s="77"/>
      <c r="I37" s="78"/>
      <c r="J37" s="79"/>
      <c r="K37" s="80"/>
      <c r="L37" s="81"/>
      <c r="M37" s="81"/>
      <c r="N37" s="81"/>
      <c r="O37" s="96">
        <v>30</v>
      </c>
      <c r="P37" s="94" t="s">
        <v>200</v>
      </c>
      <c r="Q37" s="97"/>
      <c r="R37" s="98">
        <f>O37*50000</f>
        <v>1500000</v>
      </c>
      <c r="S37" s="85">
        <f>+R37/$R$184*100</f>
        <v>6.6988718653187354E-2</v>
      </c>
      <c r="T37" s="99"/>
      <c r="U37" s="87"/>
      <c r="V37" s="87"/>
      <c r="W37" s="87"/>
      <c r="X37" s="87"/>
      <c r="Y37" s="88">
        <v>0</v>
      </c>
      <c r="Z37" s="99">
        <f t="shared" si="6"/>
        <v>0</v>
      </c>
      <c r="AA37" s="100">
        <f t="shared" si="1"/>
        <v>0</v>
      </c>
      <c r="AB37" s="99">
        <f t="shared" si="7"/>
        <v>0</v>
      </c>
      <c r="AC37" s="88"/>
      <c r="AD37" s="88">
        <f t="shared" si="8"/>
        <v>1500000</v>
      </c>
      <c r="AE37" s="86"/>
    </row>
    <row r="38" spans="1:32" ht="12" customHeight="1" x14ac:dyDescent="0.35">
      <c r="A38" s="284">
        <v>522141</v>
      </c>
      <c r="B38" s="285" t="s">
        <v>168</v>
      </c>
      <c r="C38" s="94"/>
      <c r="D38" s="94"/>
      <c r="E38" s="94"/>
      <c r="F38" s="94"/>
      <c r="G38" s="95"/>
      <c r="H38" s="77"/>
      <c r="I38" s="78"/>
      <c r="J38" s="79"/>
      <c r="K38" s="80"/>
      <c r="L38" s="81"/>
      <c r="M38" s="81"/>
      <c r="N38" s="81"/>
      <c r="O38" s="82"/>
      <c r="P38" s="75"/>
      <c r="Q38" s="83"/>
      <c r="R38" s="84"/>
      <c r="S38" s="85"/>
      <c r="T38" s="86"/>
      <c r="U38" s="87"/>
      <c r="V38" s="87"/>
      <c r="W38" s="87"/>
      <c r="X38" s="87"/>
      <c r="Y38" s="88"/>
      <c r="Z38" s="86"/>
      <c r="AA38" s="86"/>
      <c r="AB38" s="86"/>
      <c r="AC38" s="88"/>
      <c r="AD38" s="88"/>
      <c r="AE38" s="86"/>
    </row>
    <row r="39" spans="1:32" ht="12" customHeight="1" x14ac:dyDescent="0.35">
      <c r="A39" s="93"/>
      <c r="B39" s="102" t="s">
        <v>82</v>
      </c>
      <c r="C39" s="94" t="s">
        <v>201</v>
      </c>
      <c r="D39" s="94"/>
      <c r="E39" s="94"/>
      <c r="F39" s="94"/>
      <c r="G39" s="95"/>
      <c r="H39" s="77"/>
      <c r="I39" s="78"/>
      <c r="J39" s="79"/>
      <c r="K39" s="80"/>
      <c r="L39" s="81"/>
      <c r="M39" s="81"/>
      <c r="N39" s="81"/>
      <c r="O39" s="96">
        <v>1</v>
      </c>
      <c r="P39" s="94" t="s">
        <v>205</v>
      </c>
      <c r="Q39" s="97"/>
      <c r="R39" s="98">
        <f>O39*2000000</f>
        <v>2000000</v>
      </c>
      <c r="S39" s="85">
        <f>+R39/$R$184*100</f>
        <v>8.9318291537583125E-2</v>
      </c>
      <c r="T39" s="99"/>
      <c r="U39" s="87"/>
      <c r="V39" s="87"/>
      <c r="W39" s="87"/>
      <c r="X39" s="87"/>
      <c r="Y39" s="88">
        <v>2000000</v>
      </c>
      <c r="Z39" s="99">
        <f t="shared" ref="Z39:Z42" si="9">+Y39/R39*100</f>
        <v>100</v>
      </c>
      <c r="AA39" s="100">
        <f t="shared" si="1"/>
        <v>100</v>
      </c>
      <c r="AB39" s="99">
        <f t="shared" ref="AB39:AB42" si="10">AA39*S39/100</f>
        <v>8.9318291537583139E-2</v>
      </c>
      <c r="AC39" s="88"/>
      <c r="AD39" s="88">
        <f t="shared" ref="AD39:AD42" si="11">+R39-Y39</f>
        <v>0</v>
      </c>
      <c r="AE39" s="86"/>
    </row>
    <row r="40" spans="1:32" ht="12" customHeight="1" x14ac:dyDescent="0.35">
      <c r="A40" s="93"/>
      <c r="B40" s="102" t="s">
        <v>82</v>
      </c>
      <c r="C40" s="94" t="s">
        <v>202</v>
      </c>
      <c r="D40" s="94"/>
      <c r="E40" s="94"/>
      <c r="F40" s="94"/>
      <c r="G40" s="95"/>
      <c r="H40" s="77"/>
      <c r="I40" s="78"/>
      <c r="J40" s="79"/>
      <c r="K40" s="80"/>
      <c r="L40" s="81"/>
      <c r="M40" s="81"/>
      <c r="N40" s="81"/>
      <c r="O40" s="96">
        <v>6</v>
      </c>
      <c r="P40" s="94" t="s">
        <v>205</v>
      </c>
      <c r="Q40" s="97"/>
      <c r="R40" s="98">
        <f>O40*700000</f>
        <v>4200000</v>
      </c>
      <c r="S40" s="85">
        <f>+R40/$R$184*100</f>
        <v>0.18756841222892456</v>
      </c>
      <c r="T40" s="99"/>
      <c r="U40" s="87"/>
      <c r="V40" s="87"/>
      <c r="W40" s="87"/>
      <c r="X40" s="87"/>
      <c r="Y40" s="88">
        <v>4200000</v>
      </c>
      <c r="Z40" s="99">
        <f t="shared" si="9"/>
        <v>100</v>
      </c>
      <c r="AA40" s="100">
        <f t="shared" si="1"/>
        <v>100</v>
      </c>
      <c r="AB40" s="99">
        <f t="shared" si="10"/>
        <v>0.18756841222892459</v>
      </c>
      <c r="AC40" s="88"/>
      <c r="AD40" s="88">
        <f t="shared" si="11"/>
        <v>0</v>
      </c>
      <c r="AE40" s="86"/>
      <c r="AF40" s="90"/>
    </row>
    <row r="41" spans="1:32" ht="12" customHeight="1" x14ac:dyDescent="0.35">
      <c r="A41" s="93"/>
      <c r="B41" s="102" t="s">
        <v>82</v>
      </c>
      <c r="C41" s="94" t="s">
        <v>203</v>
      </c>
      <c r="D41" s="94"/>
      <c r="E41" s="94"/>
      <c r="F41" s="94"/>
      <c r="G41" s="95"/>
      <c r="H41" s="77"/>
      <c r="I41" s="78"/>
      <c r="J41" s="79"/>
      <c r="K41" s="80"/>
      <c r="L41" s="81"/>
      <c r="M41" s="81"/>
      <c r="N41" s="81"/>
      <c r="O41" s="96">
        <v>1</v>
      </c>
      <c r="P41" s="94" t="s">
        <v>205</v>
      </c>
      <c r="Q41" s="97"/>
      <c r="R41" s="98">
        <f>O41*2000000</f>
        <v>2000000</v>
      </c>
      <c r="S41" s="85">
        <f>+R41/$R$184*100</f>
        <v>8.9318291537583125E-2</v>
      </c>
      <c r="T41" s="99"/>
      <c r="U41" s="87"/>
      <c r="V41" s="87"/>
      <c r="W41" s="87"/>
      <c r="X41" s="87"/>
      <c r="Y41" s="88">
        <v>0</v>
      </c>
      <c r="Z41" s="99">
        <f t="shared" si="9"/>
        <v>0</v>
      </c>
      <c r="AA41" s="100">
        <f t="shared" si="1"/>
        <v>0</v>
      </c>
      <c r="AB41" s="99">
        <f t="shared" si="10"/>
        <v>0</v>
      </c>
      <c r="AC41" s="88"/>
      <c r="AD41" s="88">
        <f t="shared" si="11"/>
        <v>2000000</v>
      </c>
      <c r="AE41" s="86"/>
      <c r="AF41" s="90"/>
    </row>
    <row r="42" spans="1:32" ht="12" customHeight="1" x14ac:dyDescent="0.35">
      <c r="A42" s="93"/>
      <c r="B42" s="102" t="s">
        <v>82</v>
      </c>
      <c r="C42" s="94" t="s">
        <v>204</v>
      </c>
      <c r="D42" s="94"/>
      <c r="E42" s="94"/>
      <c r="F42" s="94"/>
      <c r="G42" s="95"/>
      <c r="H42" s="77"/>
      <c r="I42" s="78"/>
      <c r="J42" s="79"/>
      <c r="K42" s="80"/>
      <c r="L42" s="81"/>
      <c r="M42" s="81"/>
      <c r="N42" s="81"/>
      <c r="O42" s="96">
        <v>6</v>
      </c>
      <c r="P42" s="94" t="s">
        <v>205</v>
      </c>
      <c r="Q42" s="97"/>
      <c r="R42" s="98">
        <f>O42*700000</f>
        <v>4200000</v>
      </c>
      <c r="S42" s="85">
        <f>+R42/$R$184*100</f>
        <v>0.18756841222892456</v>
      </c>
      <c r="T42" s="99"/>
      <c r="U42" s="87"/>
      <c r="V42" s="87"/>
      <c r="W42" s="87"/>
      <c r="X42" s="87"/>
      <c r="Y42" s="88">
        <v>0</v>
      </c>
      <c r="Z42" s="99">
        <f t="shared" si="9"/>
        <v>0</v>
      </c>
      <c r="AA42" s="100">
        <f t="shared" si="1"/>
        <v>0</v>
      </c>
      <c r="AB42" s="99">
        <f t="shared" si="10"/>
        <v>0</v>
      </c>
      <c r="AC42" s="88"/>
      <c r="AD42" s="88">
        <f t="shared" si="11"/>
        <v>4200000</v>
      </c>
      <c r="AE42" s="86"/>
      <c r="AF42" s="90"/>
    </row>
    <row r="43" spans="1:32" ht="12" customHeight="1" x14ac:dyDescent="0.35">
      <c r="A43" s="284">
        <v>522151</v>
      </c>
      <c r="B43" s="286" t="s">
        <v>84</v>
      </c>
      <c r="C43" s="94"/>
      <c r="D43" s="94"/>
      <c r="E43" s="94"/>
      <c r="F43" s="94"/>
      <c r="G43" s="95"/>
      <c r="H43" s="77"/>
      <c r="I43" s="78"/>
      <c r="J43" s="79"/>
      <c r="K43" s="80"/>
      <c r="L43" s="81"/>
      <c r="M43" s="81"/>
      <c r="N43" s="81"/>
      <c r="O43" s="96"/>
      <c r="P43" s="94"/>
      <c r="Q43" s="97"/>
      <c r="R43" s="98"/>
      <c r="S43" s="85"/>
      <c r="T43" s="86"/>
      <c r="U43" s="87"/>
      <c r="V43" s="87"/>
      <c r="W43" s="87"/>
      <c r="X43" s="87"/>
      <c r="Y43" s="88"/>
      <c r="Z43" s="86"/>
      <c r="AA43" s="86"/>
      <c r="AB43" s="86"/>
      <c r="AC43" s="88"/>
      <c r="AD43" s="88"/>
      <c r="AE43" s="86"/>
      <c r="AF43" s="90"/>
    </row>
    <row r="44" spans="1:32" ht="12" customHeight="1" x14ac:dyDescent="0.35">
      <c r="A44" s="93"/>
      <c r="B44" s="102" t="s">
        <v>82</v>
      </c>
      <c r="C44" s="94" t="s">
        <v>206</v>
      </c>
      <c r="D44" s="94"/>
      <c r="E44" s="94"/>
      <c r="F44" s="94"/>
      <c r="G44" s="95"/>
      <c r="H44" s="77"/>
      <c r="I44" s="78"/>
      <c r="J44" s="79"/>
      <c r="K44" s="80"/>
      <c r="L44" s="81"/>
      <c r="M44" s="81"/>
      <c r="N44" s="81"/>
      <c r="O44" s="96">
        <v>2</v>
      </c>
      <c r="P44" s="94" t="s">
        <v>210</v>
      </c>
      <c r="Q44" s="97"/>
      <c r="R44" s="98">
        <f>O44*1300000</f>
        <v>2600000</v>
      </c>
      <c r="S44" s="85">
        <f>+R44/$R$184*100</f>
        <v>0.11611377899885807</v>
      </c>
      <c r="T44" s="99"/>
      <c r="U44" s="87"/>
      <c r="V44" s="87"/>
      <c r="W44" s="87"/>
      <c r="X44" s="87"/>
      <c r="Y44" s="88">
        <v>2600000</v>
      </c>
      <c r="Z44" s="99">
        <f t="shared" ref="Z44:Z47" si="12">+Y44/R44*100</f>
        <v>100</v>
      </c>
      <c r="AA44" s="100">
        <f t="shared" si="1"/>
        <v>100</v>
      </c>
      <c r="AB44" s="99">
        <f t="shared" ref="AB44:AB47" si="13">AA44*S44/100</f>
        <v>0.11611377899885805</v>
      </c>
      <c r="AC44" s="88"/>
      <c r="AD44" s="88">
        <f t="shared" ref="AD44:AD47" si="14">+R44-Y44</f>
        <v>0</v>
      </c>
      <c r="AE44" s="86"/>
      <c r="AF44" s="90"/>
    </row>
    <row r="45" spans="1:32" ht="12" customHeight="1" x14ac:dyDescent="0.35">
      <c r="A45" s="93"/>
      <c r="B45" s="102" t="s">
        <v>82</v>
      </c>
      <c r="C45" s="94" t="s">
        <v>207</v>
      </c>
      <c r="D45" s="94"/>
      <c r="E45" s="94"/>
      <c r="F45" s="94"/>
      <c r="G45" s="95"/>
      <c r="H45" s="77"/>
      <c r="I45" s="78"/>
      <c r="J45" s="79"/>
      <c r="K45" s="80"/>
      <c r="L45" s="81"/>
      <c r="M45" s="81"/>
      <c r="N45" s="81"/>
      <c r="O45" s="96">
        <v>10</v>
      </c>
      <c r="P45" s="94" t="s">
        <v>210</v>
      </c>
      <c r="Q45" s="97"/>
      <c r="R45" s="98">
        <f>O45*900000</f>
        <v>9000000</v>
      </c>
      <c r="S45" s="85">
        <f>+R45/$R$184*100</f>
        <v>0.4019323119191241</v>
      </c>
      <c r="T45" s="99"/>
      <c r="U45" s="87"/>
      <c r="V45" s="87"/>
      <c r="W45" s="87"/>
      <c r="X45" s="87"/>
      <c r="Y45" s="88">
        <v>9000000</v>
      </c>
      <c r="Z45" s="99">
        <f t="shared" si="12"/>
        <v>100</v>
      </c>
      <c r="AA45" s="100">
        <f t="shared" si="1"/>
        <v>100</v>
      </c>
      <c r="AB45" s="99">
        <f t="shared" si="13"/>
        <v>0.4019323119191241</v>
      </c>
      <c r="AC45" s="88"/>
      <c r="AD45" s="88">
        <f t="shared" si="14"/>
        <v>0</v>
      </c>
      <c r="AE45" s="86"/>
      <c r="AF45" s="90"/>
    </row>
    <row r="46" spans="1:32" ht="12" customHeight="1" x14ac:dyDescent="0.35">
      <c r="A46" s="93"/>
      <c r="B46" s="102" t="s">
        <v>82</v>
      </c>
      <c r="C46" s="94" t="s">
        <v>208</v>
      </c>
      <c r="D46" s="94"/>
      <c r="E46" s="94"/>
      <c r="F46" s="94"/>
      <c r="G46" s="95"/>
      <c r="H46" s="77"/>
      <c r="I46" s="78"/>
      <c r="J46" s="79"/>
      <c r="K46" s="80"/>
      <c r="L46" s="81"/>
      <c r="M46" s="81"/>
      <c r="N46" s="81"/>
      <c r="O46" s="96">
        <v>2</v>
      </c>
      <c r="P46" s="94" t="s">
        <v>210</v>
      </c>
      <c r="Q46" s="97"/>
      <c r="R46" s="98">
        <f>O46*1300000</f>
        <v>2600000</v>
      </c>
      <c r="S46" s="85">
        <f>+R46/$R$184*100</f>
        <v>0.11611377899885807</v>
      </c>
      <c r="T46" s="99"/>
      <c r="U46" s="87"/>
      <c r="V46" s="87"/>
      <c r="W46" s="87"/>
      <c r="X46" s="87"/>
      <c r="Y46" s="88">
        <v>0</v>
      </c>
      <c r="Z46" s="99">
        <f t="shared" si="12"/>
        <v>0</v>
      </c>
      <c r="AA46" s="100">
        <f t="shared" si="1"/>
        <v>0</v>
      </c>
      <c r="AB46" s="99">
        <f t="shared" si="13"/>
        <v>0</v>
      </c>
      <c r="AC46" s="88"/>
      <c r="AD46" s="88">
        <f t="shared" si="14"/>
        <v>2600000</v>
      </c>
      <c r="AE46" s="86"/>
      <c r="AF46" s="90"/>
    </row>
    <row r="47" spans="1:32" ht="12" customHeight="1" x14ac:dyDescent="0.35">
      <c r="A47" s="93"/>
      <c r="B47" s="102" t="s">
        <v>82</v>
      </c>
      <c r="C47" s="94" t="s">
        <v>209</v>
      </c>
      <c r="D47" s="94"/>
      <c r="E47" s="94"/>
      <c r="F47" s="94"/>
      <c r="G47" s="95"/>
      <c r="H47" s="77"/>
      <c r="I47" s="78"/>
      <c r="J47" s="79"/>
      <c r="K47" s="80"/>
      <c r="L47" s="81"/>
      <c r="M47" s="81"/>
      <c r="N47" s="81"/>
      <c r="O47" s="96">
        <v>10</v>
      </c>
      <c r="P47" s="94" t="s">
        <v>210</v>
      </c>
      <c r="Q47" s="97"/>
      <c r="R47" s="98">
        <f>O47*900000</f>
        <v>9000000</v>
      </c>
      <c r="S47" s="85">
        <f>+R47/$R$184*100</f>
        <v>0.4019323119191241</v>
      </c>
      <c r="T47" s="99"/>
      <c r="U47" s="87"/>
      <c r="V47" s="87"/>
      <c r="W47" s="87"/>
      <c r="X47" s="87"/>
      <c r="Y47" s="88">
        <v>0</v>
      </c>
      <c r="Z47" s="99">
        <f t="shared" si="12"/>
        <v>0</v>
      </c>
      <c r="AA47" s="100">
        <f t="shared" si="1"/>
        <v>0</v>
      </c>
      <c r="AB47" s="99">
        <f t="shared" si="13"/>
        <v>0</v>
      </c>
      <c r="AC47" s="88"/>
      <c r="AD47" s="88">
        <f t="shared" si="14"/>
        <v>9000000</v>
      </c>
      <c r="AE47" s="86"/>
      <c r="AF47" s="90"/>
    </row>
    <row r="48" spans="1:32" ht="12" customHeight="1" x14ac:dyDescent="0.35">
      <c r="A48" s="284">
        <v>524111</v>
      </c>
      <c r="B48" s="286" t="s">
        <v>85</v>
      </c>
      <c r="C48" s="94"/>
      <c r="D48" s="94"/>
      <c r="E48" s="94"/>
      <c r="F48" s="94"/>
      <c r="G48" s="95"/>
      <c r="H48" s="77"/>
      <c r="I48" s="78"/>
      <c r="J48" s="79"/>
      <c r="K48" s="80"/>
      <c r="L48" s="81"/>
      <c r="M48" s="81"/>
      <c r="N48" s="81"/>
      <c r="O48" s="96"/>
      <c r="P48" s="94"/>
      <c r="Q48" s="97"/>
      <c r="R48" s="98"/>
      <c r="S48" s="85"/>
      <c r="T48" s="99"/>
      <c r="U48" s="87"/>
      <c r="V48" s="87"/>
      <c r="W48" s="87"/>
      <c r="X48" s="87"/>
      <c r="Y48" s="88"/>
      <c r="Z48" s="99"/>
      <c r="AA48" s="100"/>
      <c r="AB48" s="99"/>
      <c r="AC48" s="88"/>
      <c r="AD48" s="88"/>
      <c r="AE48" s="86"/>
      <c r="AF48" s="90"/>
    </row>
    <row r="49" spans="1:32" ht="12" customHeight="1" x14ac:dyDescent="0.35">
      <c r="A49" s="93"/>
      <c r="B49" s="102" t="s">
        <v>82</v>
      </c>
      <c r="C49" s="94" t="s">
        <v>211</v>
      </c>
      <c r="D49" s="94"/>
      <c r="E49" s="94"/>
      <c r="F49" s="94"/>
      <c r="G49" s="95"/>
      <c r="H49" s="77"/>
      <c r="I49" s="78"/>
      <c r="J49" s="79"/>
      <c r="K49" s="80"/>
      <c r="L49" s="81"/>
      <c r="M49" s="81"/>
      <c r="N49" s="81"/>
      <c r="O49" s="96">
        <v>6</v>
      </c>
      <c r="P49" s="94" t="s">
        <v>217</v>
      </c>
      <c r="Q49" s="97"/>
      <c r="R49" s="98">
        <f>O49*430000</f>
        <v>2580000</v>
      </c>
      <c r="S49" s="85">
        <f t="shared" ref="S49:S54" si="15">+R49/$R$184*100</f>
        <v>0.11522059608348224</v>
      </c>
      <c r="T49" s="99"/>
      <c r="U49" s="87"/>
      <c r="V49" s="87"/>
      <c r="W49" s="87"/>
      <c r="X49" s="87"/>
      <c r="Y49" s="88">
        <v>2580000</v>
      </c>
      <c r="Z49" s="99">
        <f t="shared" ref="Z49:Z54" si="16">+Y49/R49*100</f>
        <v>100</v>
      </c>
      <c r="AA49" s="100">
        <f t="shared" si="1"/>
        <v>100</v>
      </c>
      <c r="AB49" s="99">
        <f t="shared" ref="AB49:AB54" si="17">AA49*S49/100</f>
        <v>0.11522059608348224</v>
      </c>
      <c r="AC49" s="88"/>
      <c r="AD49" s="88">
        <f t="shared" ref="AD49:AD54" si="18">+R49-Y49</f>
        <v>0</v>
      </c>
      <c r="AE49" s="86"/>
      <c r="AF49" s="90"/>
    </row>
    <row r="50" spans="1:32" ht="12" customHeight="1" x14ac:dyDescent="0.35">
      <c r="A50" s="93"/>
      <c r="B50" s="102" t="s">
        <v>82</v>
      </c>
      <c r="C50" s="94" t="s">
        <v>212</v>
      </c>
      <c r="D50" s="94"/>
      <c r="E50" s="94"/>
      <c r="F50" s="94"/>
      <c r="G50" s="95"/>
      <c r="H50" s="77"/>
      <c r="I50" s="78"/>
      <c r="J50" s="79"/>
      <c r="K50" s="80"/>
      <c r="L50" s="81"/>
      <c r="M50" s="81"/>
      <c r="N50" s="81"/>
      <c r="O50" s="96">
        <v>4</v>
      </c>
      <c r="P50" s="94" t="s">
        <v>217</v>
      </c>
      <c r="Q50" s="97"/>
      <c r="R50" s="98">
        <f>O50*580000</f>
        <v>2320000</v>
      </c>
      <c r="S50" s="85">
        <f t="shared" si="15"/>
        <v>0.10360921818359642</v>
      </c>
      <c r="T50" s="99"/>
      <c r="U50" s="87"/>
      <c r="V50" s="87"/>
      <c r="W50" s="87"/>
      <c r="X50" s="87"/>
      <c r="Y50" s="88">
        <v>2320000</v>
      </c>
      <c r="Z50" s="99">
        <f t="shared" si="16"/>
        <v>100</v>
      </c>
      <c r="AA50" s="100">
        <f t="shared" si="1"/>
        <v>100</v>
      </c>
      <c r="AB50" s="99">
        <f t="shared" si="17"/>
        <v>0.10360921818359642</v>
      </c>
      <c r="AC50" s="88"/>
      <c r="AD50" s="88">
        <f t="shared" si="18"/>
        <v>0</v>
      </c>
      <c r="AE50" s="86"/>
      <c r="AF50" s="90"/>
    </row>
    <row r="51" spans="1:32" ht="12" customHeight="1" x14ac:dyDescent="0.35">
      <c r="A51" s="93"/>
      <c r="B51" s="102" t="s">
        <v>82</v>
      </c>
      <c r="C51" s="94" t="s">
        <v>213</v>
      </c>
      <c r="D51" s="94"/>
      <c r="E51" s="94"/>
      <c r="F51" s="94"/>
      <c r="G51" s="95"/>
      <c r="H51" s="77"/>
      <c r="I51" s="78"/>
      <c r="J51" s="79"/>
      <c r="K51" s="80"/>
      <c r="L51" s="81"/>
      <c r="M51" s="81"/>
      <c r="N51" s="81"/>
      <c r="O51" s="96">
        <v>2</v>
      </c>
      <c r="P51" s="94" t="s">
        <v>147</v>
      </c>
      <c r="Q51" s="97"/>
      <c r="R51" s="98">
        <f>O51*400000</f>
        <v>800000</v>
      </c>
      <c r="S51" s="85">
        <f t="shared" si="15"/>
        <v>3.5727316615033249E-2</v>
      </c>
      <c r="T51" s="99"/>
      <c r="U51" s="87"/>
      <c r="V51" s="87"/>
      <c r="W51" s="87"/>
      <c r="X51" s="87"/>
      <c r="Y51" s="88">
        <v>800000</v>
      </c>
      <c r="Z51" s="99">
        <f t="shared" si="16"/>
        <v>100</v>
      </c>
      <c r="AA51" s="100">
        <f t="shared" si="1"/>
        <v>100</v>
      </c>
      <c r="AB51" s="99">
        <f t="shared" si="17"/>
        <v>3.5727316615033249E-2</v>
      </c>
      <c r="AC51" s="88"/>
      <c r="AD51" s="88">
        <f t="shared" si="18"/>
        <v>0</v>
      </c>
      <c r="AE51" s="86"/>
      <c r="AF51" s="90"/>
    </row>
    <row r="52" spans="1:32" ht="12" customHeight="1" x14ac:dyDescent="0.35">
      <c r="A52" s="93"/>
      <c r="B52" s="102" t="s">
        <v>82</v>
      </c>
      <c r="C52" s="94" t="s">
        <v>214</v>
      </c>
      <c r="D52" s="94"/>
      <c r="E52" s="94"/>
      <c r="F52" s="94"/>
      <c r="G52" s="95"/>
      <c r="H52" s="77"/>
      <c r="I52" s="78"/>
      <c r="J52" s="79"/>
      <c r="K52" s="80"/>
      <c r="L52" s="81"/>
      <c r="M52" s="81"/>
      <c r="N52" s="81"/>
      <c r="O52" s="96">
        <v>5</v>
      </c>
      <c r="P52" s="94" t="s">
        <v>217</v>
      </c>
      <c r="Q52" s="97"/>
      <c r="R52" s="98">
        <f>O52*430000</f>
        <v>2150000</v>
      </c>
      <c r="S52" s="85">
        <f t="shared" si="15"/>
        <v>9.6017163402901867E-2</v>
      </c>
      <c r="T52" s="99"/>
      <c r="U52" s="87"/>
      <c r="V52" s="87"/>
      <c r="W52" s="87"/>
      <c r="X52" s="87"/>
      <c r="Y52" s="88">
        <v>2150000</v>
      </c>
      <c r="Z52" s="99">
        <f t="shared" si="16"/>
        <v>100</v>
      </c>
      <c r="AA52" s="100">
        <f t="shared" si="1"/>
        <v>100</v>
      </c>
      <c r="AB52" s="99">
        <f t="shared" si="17"/>
        <v>9.6017163402901867E-2</v>
      </c>
      <c r="AC52" s="88"/>
      <c r="AD52" s="88">
        <f t="shared" si="18"/>
        <v>0</v>
      </c>
      <c r="AE52" s="86"/>
      <c r="AF52" s="90"/>
    </row>
    <row r="53" spans="1:32" ht="12" customHeight="1" x14ac:dyDescent="0.35">
      <c r="A53" s="93"/>
      <c r="B53" s="102" t="s">
        <v>82</v>
      </c>
      <c r="C53" s="94" t="s">
        <v>215</v>
      </c>
      <c r="D53" s="94"/>
      <c r="E53" s="94"/>
      <c r="F53" s="94"/>
      <c r="G53" s="95"/>
      <c r="H53" s="77"/>
      <c r="I53" s="78"/>
      <c r="J53" s="79"/>
      <c r="K53" s="80"/>
      <c r="L53" s="81"/>
      <c r="M53" s="81"/>
      <c r="N53" s="81"/>
      <c r="O53" s="96">
        <v>2</v>
      </c>
      <c r="P53" s="94" t="s">
        <v>218</v>
      </c>
      <c r="Q53" s="97"/>
      <c r="R53" s="98">
        <f>O53*3000000</f>
        <v>6000000</v>
      </c>
      <c r="S53" s="85">
        <f t="shared" si="15"/>
        <v>0.26795487461274942</v>
      </c>
      <c r="T53" s="99"/>
      <c r="U53" s="87"/>
      <c r="V53" s="87"/>
      <c r="W53" s="87"/>
      <c r="X53" s="87"/>
      <c r="Y53" s="88">
        <f>2339000+1767700</f>
        <v>4106700</v>
      </c>
      <c r="Z53" s="99">
        <f t="shared" si="16"/>
        <v>68.444999999999993</v>
      </c>
      <c r="AA53" s="100">
        <f t="shared" si="1"/>
        <v>68.444999999999993</v>
      </c>
      <c r="AB53" s="99">
        <f t="shared" si="17"/>
        <v>0.18340171392869631</v>
      </c>
      <c r="AC53" s="88"/>
      <c r="AD53" s="88">
        <f t="shared" si="18"/>
        <v>1893300</v>
      </c>
      <c r="AE53" s="86"/>
      <c r="AF53" s="90"/>
    </row>
    <row r="54" spans="1:32" ht="12" customHeight="1" x14ac:dyDescent="0.35">
      <c r="A54" s="93"/>
      <c r="B54" s="102" t="s">
        <v>82</v>
      </c>
      <c r="C54" s="94" t="s">
        <v>216</v>
      </c>
      <c r="D54" s="94"/>
      <c r="E54" s="94"/>
      <c r="F54" s="94"/>
      <c r="G54" s="95"/>
      <c r="H54" s="77"/>
      <c r="I54" s="78"/>
      <c r="J54" s="79"/>
      <c r="K54" s="80"/>
      <c r="L54" s="81"/>
      <c r="M54" s="81"/>
      <c r="N54" s="81"/>
      <c r="O54" s="96">
        <v>5</v>
      </c>
      <c r="P54" s="94" t="s">
        <v>147</v>
      </c>
      <c r="Q54" s="97"/>
      <c r="R54" s="98">
        <f>O54*200000</f>
        <v>1000000</v>
      </c>
      <c r="S54" s="85">
        <f t="shared" si="15"/>
        <v>4.4659145768791562E-2</v>
      </c>
      <c r="T54" s="99"/>
      <c r="U54" s="87"/>
      <c r="V54" s="87"/>
      <c r="W54" s="87"/>
      <c r="X54" s="87"/>
      <c r="Y54" s="88">
        <v>1000000</v>
      </c>
      <c r="Z54" s="99">
        <f t="shared" si="16"/>
        <v>100</v>
      </c>
      <c r="AA54" s="100">
        <f t="shared" si="1"/>
        <v>100</v>
      </c>
      <c r="AB54" s="99">
        <f t="shared" si="17"/>
        <v>4.4659145768791569E-2</v>
      </c>
      <c r="AC54" s="88"/>
      <c r="AD54" s="88">
        <f t="shared" si="18"/>
        <v>0</v>
      </c>
      <c r="AE54" s="86"/>
      <c r="AF54" s="90"/>
    </row>
    <row r="55" spans="1:32" ht="12" customHeight="1" x14ac:dyDescent="0.35">
      <c r="A55" s="284">
        <v>524119</v>
      </c>
      <c r="B55" s="286" t="s">
        <v>219</v>
      </c>
      <c r="C55" s="94"/>
      <c r="D55" s="94"/>
      <c r="E55" s="94"/>
      <c r="F55" s="94"/>
      <c r="G55" s="95"/>
      <c r="H55" s="77"/>
      <c r="I55" s="78"/>
      <c r="J55" s="79"/>
      <c r="K55" s="80"/>
      <c r="L55" s="81"/>
      <c r="M55" s="81"/>
      <c r="N55" s="81"/>
      <c r="O55" s="96"/>
      <c r="P55" s="94"/>
      <c r="Q55" s="97"/>
      <c r="R55" s="98"/>
      <c r="S55" s="85"/>
      <c r="T55" s="99"/>
      <c r="U55" s="87"/>
      <c r="V55" s="87"/>
      <c r="W55" s="87"/>
      <c r="X55" s="87"/>
      <c r="Y55" s="88"/>
      <c r="Z55" s="99"/>
      <c r="AA55" s="100"/>
      <c r="AB55" s="99"/>
      <c r="AC55" s="88"/>
      <c r="AD55" s="88"/>
      <c r="AE55" s="86"/>
      <c r="AF55" s="90"/>
    </row>
    <row r="56" spans="1:32" ht="12" customHeight="1" x14ac:dyDescent="0.35">
      <c r="A56" s="93"/>
      <c r="B56" s="102" t="s">
        <v>82</v>
      </c>
      <c r="C56" s="94" t="s">
        <v>220</v>
      </c>
      <c r="D56" s="94"/>
      <c r="E56" s="94"/>
      <c r="F56" s="94"/>
      <c r="G56" s="95"/>
      <c r="H56" s="77"/>
      <c r="I56" s="78"/>
      <c r="J56" s="79"/>
      <c r="K56" s="80"/>
      <c r="L56" s="81"/>
      <c r="M56" s="81"/>
      <c r="N56" s="81"/>
      <c r="O56" s="96">
        <v>100</v>
      </c>
      <c r="P56" s="94" t="s">
        <v>217</v>
      </c>
      <c r="Q56" s="97"/>
      <c r="R56" s="98">
        <f>O56*700000</f>
        <v>70000000</v>
      </c>
      <c r="S56" s="85">
        <f t="shared" ref="S56:S61" si="19">+R56/$R$184*100</f>
        <v>3.1261402038154094</v>
      </c>
      <c r="T56" s="99"/>
      <c r="U56" s="87"/>
      <c r="V56" s="87"/>
      <c r="W56" s="87"/>
      <c r="X56" s="87"/>
      <c r="Y56" s="88">
        <v>69500000</v>
      </c>
      <c r="Z56" s="99">
        <f t="shared" ref="Z56:Z61" si="20">+Y56/R56*100</f>
        <v>99.285714285714292</v>
      </c>
      <c r="AA56" s="100">
        <f t="shared" si="1"/>
        <v>99.285714285714292</v>
      </c>
      <c r="AB56" s="99">
        <f t="shared" ref="AB56:AB61" si="21">AA56*S56/100</f>
        <v>3.1038106309310138</v>
      </c>
      <c r="AC56" s="88"/>
      <c r="AD56" s="88">
        <f t="shared" ref="AD56:AD61" si="22">+R56-Y56</f>
        <v>500000</v>
      </c>
      <c r="AE56" s="86"/>
      <c r="AF56" s="90"/>
    </row>
    <row r="57" spans="1:32" ht="12" customHeight="1" x14ac:dyDescent="0.35">
      <c r="A57" s="93"/>
      <c r="B57" s="102" t="s">
        <v>82</v>
      </c>
      <c r="C57" s="94" t="s">
        <v>221</v>
      </c>
      <c r="D57" s="94"/>
      <c r="E57" s="94"/>
      <c r="F57" s="94"/>
      <c r="G57" s="95"/>
      <c r="H57" s="77"/>
      <c r="I57" s="78"/>
      <c r="J57" s="79"/>
      <c r="K57" s="80"/>
      <c r="L57" s="81"/>
      <c r="M57" s="81"/>
      <c r="N57" s="81"/>
      <c r="O57" s="96">
        <v>80</v>
      </c>
      <c r="P57" s="94" t="s">
        <v>217</v>
      </c>
      <c r="Q57" s="97"/>
      <c r="R57" s="98">
        <f>O57*150000</f>
        <v>12000000</v>
      </c>
      <c r="S57" s="85">
        <f t="shared" si="19"/>
        <v>0.53590974922549883</v>
      </c>
      <c r="T57" s="99"/>
      <c r="U57" s="87"/>
      <c r="V57" s="87"/>
      <c r="W57" s="87"/>
      <c r="X57" s="87"/>
      <c r="Y57" s="88">
        <v>12000000</v>
      </c>
      <c r="Z57" s="99">
        <f t="shared" si="20"/>
        <v>100</v>
      </c>
      <c r="AA57" s="100">
        <f t="shared" si="1"/>
        <v>100</v>
      </c>
      <c r="AB57" s="99">
        <f t="shared" si="21"/>
        <v>0.53590974922549883</v>
      </c>
      <c r="AC57" s="88"/>
      <c r="AD57" s="88">
        <f t="shared" si="22"/>
        <v>0</v>
      </c>
      <c r="AE57" s="86"/>
      <c r="AF57" s="90"/>
    </row>
    <row r="58" spans="1:32" ht="12" customHeight="1" x14ac:dyDescent="0.35">
      <c r="A58" s="93"/>
      <c r="B58" s="102" t="s">
        <v>82</v>
      </c>
      <c r="C58" s="94" t="s">
        <v>222</v>
      </c>
      <c r="D58" s="94"/>
      <c r="E58" s="94"/>
      <c r="F58" s="94"/>
      <c r="G58" s="95"/>
      <c r="H58" s="77"/>
      <c r="I58" s="78"/>
      <c r="J58" s="79"/>
      <c r="K58" s="80"/>
      <c r="L58" s="81"/>
      <c r="M58" s="81"/>
      <c r="N58" s="81"/>
      <c r="O58" s="96">
        <v>50</v>
      </c>
      <c r="P58" s="94" t="s">
        <v>147</v>
      </c>
      <c r="Q58" s="97"/>
      <c r="R58" s="98">
        <f>O58*500000</f>
        <v>25000000</v>
      </c>
      <c r="S58" s="85">
        <f t="shared" si="19"/>
        <v>1.1164786442197892</v>
      </c>
      <c r="T58" s="99"/>
      <c r="U58" s="87"/>
      <c r="V58" s="87"/>
      <c r="W58" s="87"/>
      <c r="X58" s="87"/>
      <c r="Y58" s="88">
        <v>25000000</v>
      </c>
      <c r="Z58" s="99">
        <f t="shared" si="20"/>
        <v>100</v>
      </c>
      <c r="AA58" s="100">
        <f t="shared" si="1"/>
        <v>100</v>
      </c>
      <c r="AB58" s="99">
        <f t="shared" si="21"/>
        <v>1.1164786442197892</v>
      </c>
      <c r="AC58" s="88"/>
      <c r="AD58" s="88">
        <f t="shared" si="22"/>
        <v>0</v>
      </c>
      <c r="AE58" s="86"/>
      <c r="AF58" s="90"/>
    </row>
    <row r="59" spans="1:32" ht="12" customHeight="1" x14ac:dyDescent="0.35">
      <c r="A59" s="93"/>
      <c r="B59" s="102" t="s">
        <v>82</v>
      </c>
      <c r="C59" s="94" t="s">
        <v>223</v>
      </c>
      <c r="D59" s="94"/>
      <c r="E59" s="94"/>
      <c r="F59" s="94"/>
      <c r="G59" s="95"/>
      <c r="H59" s="77"/>
      <c r="I59" s="78"/>
      <c r="J59" s="79"/>
      <c r="K59" s="80"/>
      <c r="L59" s="81"/>
      <c r="M59" s="81"/>
      <c r="N59" s="81"/>
      <c r="O59" s="96">
        <v>100</v>
      </c>
      <c r="P59" s="94" t="s">
        <v>217</v>
      </c>
      <c r="Q59" s="97"/>
      <c r="R59" s="98">
        <f>O59*150000</f>
        <v>15000000</v>
      </c>
      <c r="S59" s="85">
        <f t="shared" si="19"/>
        <v>0.6698871865318734</v>
      </c>
      <c r="T59" s="99"/>
      <c r="U59" s="87"/>
      <c r="V59" s="87"/>
      <c r="W59" s="87"/>
      <c r="X59" s="87"/>
      <c r="Y59" s="88">
        <v>0</v>
      </c>
      <c r="Z59" s="99">
        <f t="shared" si="20"/>
        <v>0</v>
      </c>
      <c r="AA59" s="100">
        <f t="shared" si="1"/>
        <v>0</v>
      </c>
      <c r="AB59" s="99">
        <f t="shared" si="21"/>
        <v>0</v>
      </c>
      <c r="AC59" s="88"/>
      <c r="AD59" s="88">
        <f t="shared" si="22"/>
        <v>15000000</v>
      </c>
      <c r="AE59" s="86"/>
      <c r="AF59" s="90"/>
    </row>
    <row r="60" spans="1:32" ht="12" customHeight="1" x14ac:dyDescent="0.35">
      <c r="A60" s="93"/>
      <c r="B60" s="102" t="s">
        <v>82</v>
      </c>
      <c r="C60" s="94" t="s">
        <v>224</v>
      </c>
      <c r="D60" s="94"/>
      <c r="E60" s="94"/>
      <c r="F60" s="94"/>
      <c r="G60" s="95"/>
      <c r="H60" s="77"/>
      <c r="I60" s="78"/>
      <c r="J60" s="79"/>
      <c r="K60" s="80"/>
      <c r="L60" s="81"/>
      <c r="M60" s="81"/>
      <c r="N60" s="81"/>
      <c r="O60" s="96">
        <v>120</v>
      </c>
      <c r="P60" s="94" t="s">
        <v>217</v>
      </c>
      <c r="Q60" s="97"/>
      <c r="R60" s="98">
        <f>O60*700000</f>
        <v>84000000</v>
      </c>
      <c r="S60" s="85">
        <f t="shared" si="19"/>
        <v>3.7513682445784915</v>
      </c>
      <c r="T60" s="99"/>
      <c r="U60" s="87"/>
      <c r="V60" s="87"/>
      <c r="W60" s="87"/>
      <c r="X60" s="87"/>
      <c r="Y60" s="88">
        <v>0</v>
      </c>
      <c r="Z60" s="99">
        <f t="shared" si="20"/>
        <v>0</v>
      </c>
      <c r="AA60" s="100">
        <f t="shared" si="1"/>
        <v>0</v>
      </c>
      <c r="AB60" s="99">
        <f t="shared" si="21"/>
        <v>0</v>
      </c>
      <c r="AC60" s="88"/>
      <c r="AD60" s="88">
        <f t="shared" si="22"/>
        <v>84000000</v>
      </c>
      <c r="AE60" s="86"/>
      <c r="AF60" s="90"/>
    </row>
    <row r="61" spans="1:32" ht="12" customHeight="1" x14ac:dyDescent="0.35">
      <c r="A61" s="93"/>
      <c r="B61" s="102" t="s">
        <v>82</v>
      </c>
      <c r="C61" s="94" t="s">
        <v>225</v>
      </c>
      <c r="D61" s="94"/>
      <c r="E61" s="94"/>
      <c r="F61" s="94"/>
      <c r="G61" s="95"/>
      <c r="H61" s="77"/>
      <c r="I61" s="78"/>
      <c r="J61" s="79"/>
      <c r="K61" s="80"/>
      <c r="L61" s="81"/>
      <c r="M61" s="81"/>
      <c r="N61" s="81"/>
      <c r="O61" s="96">
        <v>60</v>
      </c>
      <c r="P61" s="94" t="s">
        <v>147</v>
      </c>
      <c r="Q61" s="97"/>
      <c r="R61" s="98">
        <f>O61*500000</f>
        <v>30000000</v>
      </c>
      <c r="S61" s="85">
        <f t="shared" si="19"/>
        <v>1.3397743730637468</v>
      </c>
      <c r="T61" s="99"/>
      <c r="U61" s="87"/>
      <c r="V61" s="87"/>
      <c r="W61" s="87"/>
      <c r="X61" s="87"/>
      <c r="Y61" s="88">
        <v>0</v>
      </c>
      <c r="Z61" s="99">
        <f t="shared" si="20"/>
        <v>0</v>
      </c>
      <c r="AA61" s="100">
        <f t="shared" si="1"/>
        <v>0</v>
      </c>
      <c r="AB61" s="99">
        <f t="shared" si="21"/>
        <v>0</v>
      </c>
      <c r="AC61" s="88"/>
      <c r="AD61" s="88">
        <f t="shared" si="22"/>
        <v>30000000</v>
      </c>
      <c r="AE61" s="86"/>
      <c r="AF61" s="90"/>
    </row>
    <row r="62" spans="1:32" ht="12" customHeight="1" x14ac:dyDescent="0.35">
      <c r="A62" s="93"/>
      <c r="B62" s="102"/>
      <c r="C62" s="94"/>
      <c r="D62" s="94"/>
      <c r="E62" s="94"/>
      <c r="F62" s="94"/>
      <c r="G62" s="95"/>
      <c r="H62" s="77"/>
      <c r="I62" s="78"/>
      <c r="J62" s="79"/>
      <c r="K62" s="80"/>
      <c r="L62" s="81"/>
      <c r="M62" s="81"/>
      <c r="N62" s="81"/>
      <c r="O62" s="96"/>
      <c r="P62" s="94"/>
      <c r="Q62" s="97"/>
      <c r="R62" s="98"/>
      <c r="S62" s="85"/>
      <c r="T62" s="86"/>
      <c r="U62" s="87"/>
      <c r="V62" s="87"/>
      <c r="W62" s="87"/>
      <c r="X62" s="87"/>
      <c r="Y62" s="88"/>
      <c r="Z62" s="86"/>
      <c r="AA62" s="86"/>
      <c r="AB62" s="86"/>
      <c r="AC62" s="88"/>
      <c r="AD62" s="88"/>
      <c r="AE62" s="86"/>
      <c r="AF62" s="90"/>
    </row>
    <row r="63" spans="1:32" ht="12.95" customHeight="1" x14ac:dyDescent="0.35">
      <c r="A63" s="117" t="s">
        <v>226</v>
      </c>
      <c r="B63" s="118" t="s">
        <v>227</v>
      </c>
      <c r="C63" s="119"/>
      <c r="D63" s="119"/>
      <c r="E63" s="119"/>
      <c r="F63" s="119"/>
      <c r="G63" s="119"/>
      <c r="H63" s="120"/>
      <c r="I63" s="121"/>
      <c r="J63" s="122"/>
      <c r="K63" s="123"/>
      <c r="L63" s="124"/>
      <c r="M63" s="124"/>
      <c r="N63" s="124"/>
      <c r="O63" s="125"/>
      <c r="P63" s="119"/>
      <c r="Q63" s="126"/>
      <c r="R63" s="127"/>
      <c r="S63" s="128"/>
      <c r="T63" s="129"/>
      <c r="U63" s="130"/>
      <c r="V63" s="130"/>
      <c r="W63" s="130"/>
      <c r="X63" s="130"/>
      <c r="Y63" s="131"/>
      <c r="Z63" s="129"/>
      <c r="AA63" s="129"/>
      <c r="AB63" s="129"/>
      <c r="AC63" s="131"/>
      <c r="AD63" s="131"/>
      <c r="AE63" s="129"/>
    </row>
    <row r="64" spans="1:32" ht="12.95" customHeight="1" x14ac:dyDescent="0.35">
      <c r="A64" s="132"/>
      <c r="B64" s="104"/>
      <c r="C64" s="105"/>
      <c r="D64" s="105"/>
      <c r="E64" s="111"/>
      <c r="F64" s="111"/>
      <c r="G64" s="111"/>
      <c r="H64" s="107"/>
      <c r="I64" s="108"/>
      <c r="J64" s="109"/>
      <c r="K64" s="110"/>
      <c r="L64" s="111"/>
      <c r="M64" s="111"/>
      <c r="N64" s="111"/>
      <c r="O64" s="133"/>
      <c r="P64" s="108"/>
      <c r="Q64" s="114"/>
      <c r="R64" s="133"/>
      <c r="S64" s="113"/>
      <c r="T64" s="114"/>
      <c r="U64" s="115"/>
      <c r="V64" s="115"/>
      <c r="W64" s="115"/>
      <c r="X64" s="115"/>
      <c r="Y64" s="116"/>
      <c r="Z64" s="114"/>
      <c r="AA64" s="114"/>
      <c r="AB64" s="114"/>
      <c r="AC64" s="116"/>
      <c r="AD64" s="116"/>
      <c r="AE64" s="114"/>
    </row>
    <row r="65" spans="1:41" ht="12.95" customHeight="1" x14ac:dyDescent="0.35">
      <c r="A65" s="132" t="s">
        <v>228</v>
      </c>
      <c r="B65" s="104" t="s">
        <v>229</v>
      </c>
      <c r="C65" s="105"/>
      <c r="D65" s="105"/>
      <c r="E65" s="105"/>
      <c r="F65" s="105"/>
      <c r="G65" s="106"/>
      <c r="H65" s="107"/>
      <c r="I65" s="108"/>
      <c r="J65" s="109"/>
      <c r="K65" s="110"/>
      <c r="L65" s="111"/>
      <c r="M65" s="111"/>
      <c r="N65" s="111"/>
      <c r="O65" s="134"/>
      <c r="P65" s="111"/>
      <c r="Q65" s="135"/>
      <c r="R65" s="136"/>
      <c r="S65" s="113"/>
      <c r="T65" s="114"/>
      <c r="U65" s="115"/>
      <c r="V65" s="115"/>
      <c r="W65" s="115"/>
      <c r="X65" s="115"/>
      <c r="Y65" s="116"/>
      <c r="Z65" s="114"/>
      <c r="AA65" s="114"/>
      <c r="AB65" s="114"/>
      <c r="AC65" s="116"/>
      <c r="AD65" s="116"/>
      <c r="AE65" s="114"/>
    </row>
    <row r="66" spans="1:41" s="164" customFormat="1" ht="12.95" hidden="1" customHeight="1" x14ac:dyDescent="0.35">
      <c r="A66" s="146"/>
      <c r="B66" s="147"/>
      <c r="C66" s="148" t="s">
        <v>89</v>
      </c>
      <c r="D66" s="149" t="s">
        <v>90</v>
      </c>
      <c r="E66" s="140"/>
      <c r="F66" s="140"/>
      <c r="G66" s="150"/>
      <c r="H66" s="151"/>
      <c r="I66" s="152"/>
      <c r="J66" s="153"/>
      <c r="K66" s="153"/>
      <c r="L66" s="154"/>
      <c r="M66" s="140"/>
      <c r="N66" s="140"/>
      <c r="O66" s="98"/>
      <c r="P66" s="155"/>
      <c r="Q66" s="156"/>
      <c r="R66" s="157"/>
      <c r="S66" s="158"/>
      <c r="T66" s="159"/>
      <c r="U66" s="160"/>
      <c r="V66" s="160"/>
      <c r="W66" s="160"/>
      <c r="X66" s="160"/>
      <c r="Y66" s="161"/>
      <c r="Z66" s="159"/>
      <c r="AA66" s="162"/>
      <c r="AB66" s="159"/>
      <c r="AC66" s="88"/>
      <c r="AD66" s="161"/>
      <c r="AE66" s="163"/>
    </row>
    <row r="67" spans="1:41" s="164" customFormat="1" ht="12.95" hidden="1" customHeight="1" x14ac:dyDescent="0.35">
      <c r="A67" s="146"/>
      <c r="B67" s="147"/>
      <c r="C67" s="148" t="s">
        <v>89</v>
      </c>
      <c r="D67" s="149" t="s">
        <v>91</v>
      </c>
      <c r="E67" s="140"/>
      <c r="F67" s="140"/>
      <c r="G67" s="150"/>
      <c r="H67" s="151"/>
      <c r="I67" s="152"/>
      <c r="J67" s="153"/>
      <c r="K67" s="153"/>
      <c r="L67" s="154"/>
      <c r="M67" s="140"/>
      <c r="N67" s="140"/>
      <c r="O67" s="98"/>
      <c r="P67" s="155"/>
      <c r="Q67" s="156"/>
      <c r="R67" s="157"/>
      <c r="S67" s="158"/>
      <c r="T67" s="159"/>
      <c r="U67" s="160"/>
      <c r="V67" s="160"/>
      <c r="W67" s="160"/>
      <c r="X67" s="160"/>
      <c r="Y67" s="161"/>
      <c r="Z67" s="159"/>
      <c r="AA67" s="162"/>
      <c r="AB67" s="159"/>
      <c r="AC67" s="88"/>
      <c r="AD67" s="161"/>
      <c r="AE67" s="163"/>
    </row>
    <row r="68" spans="1:41" s="169" customFormat="1" ht="12.95" hidden="1" customHeight="1" x14ac:dyDescent="0.35">
      <c r="A68" s="146"/>
      <c r="B68" s="147"/>
      <c r="C68" s="165" t="s">
        <v>89</v>
      </c>
      <c r="D68" s="506" t="s">
        <v>92</v>
      </c>
      <c r="E68" s="506"/>
      <c r="F68" s="506"/>
      <c r="G68" s="507"/>
      <c r="H68" s="151"/>
      <c r="I68" s="152"/>
      <c r="J68" s="153"/>
      <c r="K68" s="153"/>
      <c r="L68" s="154"/>
      <c r="M68" s="140"/>
      <c r="N68" s="140"/>
      <c r="O68" s="98"/>
      <c r="P68" s="155"/>
      <c r="Q68" s="156"/>
      <c r="R68" s="157"/>
      <c r="S68" s="158"/>
      <c r="T68" s="159"/>
      <c r="U68" s="160"/>
      <c r="V68" s="160"/>
      <c r="W68" s="160"/>
      <c r="X68" s="160"/>
      <c r="Y68" s="161"/>
      <c r="Z68" s="159"/>
      <c r="AA68" s="162"/>
      <c r="AB68" s="159"/>
      <c r="AC68" s="88"/>
      <c r="AD68" s="161"/>
      <c r="AE68" s="163"/>
      <c r="AF68" s="168"/>
      <c r="AG68" s="168"/>
      <c r="AH68" s="168"/>
      <c r="AI68" s="168"/>
      <c r="AJ68" s="168"/>
      <c r="AK68" s="168"/>
      <c r="AL68" s="168"/>
      <c r="AM68" s="168"/>
      <c r="AN68" s="168"/>
      <c r="AO68" s="168"/>
    </row>
    <row r="69" spans="1:41" s="169" customFormat="1" ht="12.95" customHeight="1" x14ac:dyDescent="0.35">
      <c r="A69" s="282">
        <v>521211</v>
      </c>
      <c r="B69" s="283" t="s">
        <v>186</v>
      </c>
      <c r="C69" s="165"/>
      <c r="D69" s="468"/>
      <c r="E69" s="468"/>
      <c r="F69" s="468"/>
      <c r="G69" s="469"/>
      <c r="H69" s="151"/>
      <c r="I69" s="152"/>
      <c r="J69" s="280"/>
      <c r="K69" s="153"/>
      <c r="L69" s="140"/>
      <c r="M69" s="140"/>
      <c r="N69" s="140"/>
      <c r="O69" s="98"/>
      <c r="P69" s="281"/>
      <c r="Q69" s="156"/>
      <c r="R69" s="157"/>
      <c r="S69" s="158"/>
      <c r="T69" s="159"/>
      <c r="U69" s="160"/>
      <c r="V69" s="160"/>
      <c r="W69" s="160"/>
      <c r="X69" s="160"/>
      <c r="Y69" s="161"/>
      <c r="Z69" s="159"/>
      <c r="AA69" s="162"/>
      <c r="AB69" s="159"/>
      <c r="AC69" s="88"/>
      <c r="AD69" s="161"/>
      <c r="AE69" s="163"/>
      <c r="AF69" s="168"/>
      <c r="AG69" s="168"/>
      <c r="AH69" s="168"/>
      <c r="AI69" s="168"/>
      <c r="AJ69" s="168"/>
      <c r="AK69" s="168"/>
      <c r="AL69" s="168"/>
      <c r="AM69" s="168"/>
      <c r="AN69" s="168"/>
      <c r="AO69" s="168"/>
    </row>
    <row r="70" spans="1:41" s="169" customFormat="1" ht="12.95" customHeight="1" x14ac:dyDescent="0.35">
      <c r="A70" s="138"/>
      <c r="B70" s="139" t="s">
        <v>82</v>
      </c>
      <c r="C70" s="140" t="s">
        <v>87</v>
      </c>
      <c r="D70" s="141"/>
      <c r="E70" s="141"/>
      <c r="F70" s="141"/>
      <c r="G70" s="142"/>
      <c r="H70" s="107"/>
      <c r="I70" s="108"/>
      <c r="J70" s="109"/>
      <c r="K70" s="110"/>
      <c r="L70" s="111"/>
      <c r="M70" s="111"/>
      <c r="N70" s="111"/>
      <c r="O70" s="143">
        <v>12</v>
      </c>
      <c r="P70" s="94" t="s">
        <v>88</v>
      </c>
      <c r="Q70" s="144">
        <v>1500000</v>
      </c>
      <c r="R70" s="77">
        <f>O70*6750000</f>
        <v>81000000</v>
      </c>
      <c r="S70" s="85">
        <f t="shared" ref="S70" si="23">+R70/$R$184*100</f>
        <v>3.6173908072721166</v>
      </c>
      <c r="T70" s="99"/>
      <c r="U70" s="87"/>
      <c r="V70" s="87"/>
      <c r="W70" s="87"/>
      <c r="X70" s="87"/>
      <c r="Y70" s="88">
        <v>21394000</v>
      </c>
      <c r="Z70" s="99">
        <f t="shared" ref="Z70" si="24">+Y70/R70*100</f>
        <v>26.412345679012343</v>
      </c>
      <c r="AA70" s="100">
        <f>4/12*100</f>
        <v>33.333333333333329</v>
      </c>
      <c r="AB70" s="99">
        <f t="shared" ref="AB70" si="25">AA70*S70/100</f>
        <v>1.2057969357573721</v>
      </c>
      <c r="AC70" s="88"/>
      <c r="AD70" s="88">
        <f t="shared" ref="AD70" si="26">+R70-Y70</f>
        <v>59606000</v>
      </c>
      <c r="AE70" s="86"/>
      <c r="AF70" s="168"/>
      <c r="AG70" s="168"/>
      <c r="AH70" s="168"/>
      <c r="AI70" s="168"/>
      <c r="AJ70" s="168"/>
      <c r="AK70" s="168"/>
      <c r="AL70" s="168"/>
      <c r="AM70" s="168"/>
      <c r="AN70" s="168"/>
      <c r="AO70" s="168"/>
    </row>
    <row r="71" spans="1:41" s="181" customFormat="1" ht="12.95" customHeight="1" x14ac:dyDescent="0.35">
      <c r="A71" s="210">
        <v>521219</v>
      </c>
      <c r="B71" s="211" t="s">
        <v>93</v>
      </c>
      <c r="C71" s="105"/>
      <c r="D71" s="105"/>
      <c r="E71" s="105"/>
      <c r="F71" s="105"/>
      <c r="G71" s="106"/>
      <c r="H71" s="170"/>
      <c r="I71" s="171"/>
      <c r="J71" s="170"/>
      <c r="K71" s="172"/>
      <c r="L71" s="112"/>
      <c r="M71" s="105"/>
      <c r="N71" s="103"/>
      <c r="O71" s="173"/>
      <c r="P71" s="101"/>
      <c r="Q71" s="174"/>
      <c r="R71" s="173"/>
      <c r="S71" s="85"/>
      <c r="T71" s="175"/>
      <c r="U71" s="176"/>
      <c r="V71" s="176"/>
      <c r="W71" s="176"/>
      <c r="X71" s="176"/>
      <c r="Y71" s="177"/>
      <c r="Z71" s="175"/>
      <c r="AA71" s="178"/>
      <c r="AB71" s="175"/>
      <c r="AC71" s="88"/>
      <c r="AD71" s="177"/>
      <c r="AE71" s="179"/>
      <c r="AF71" s="180"/>
      <c r="AG71" s="28"/>
      <c r="AH71" s="28"/>
      <c r="AI71" s="28"/>
      <c r="AJ71" s="28"/>
      <c r="AK71" s="28"/>
      <c r="AL71" s="28"/>
      <c r="AM71" s="28"/>
      <c r="AN71" s="28"/>
      <c r="AO71" s="28"/>
    </row>
    <row r="72" spans="1:41" ht="12.95" customHeight="1" x14ac:dyDescent="0.35">
      <c r="A72" s="135"/>
      <c r="B72" s="139" t="s">
        <v>82</v>
      </c>
      <c r="C72" s="111" t="s">
        <v>94</v>
      </c>
      <c r="D72" s="105"/>
      <c r="E72" s="111"/>
      <c r="F72" s="111"/>
      <c r="G72" s="137"/>
      <c r="H72" s="109"/>
      <c r="I72" s="108"/>
      <c r="J72" s="109"/>
      <c r="K72" s="172"/>
      <c r="L72" s="182">
        <v>1095</v>
      </c>
      <c r="M72" s="140" t="s">
        <v>95</v>
      </c>
      <c r="N72" s="183">
        <v>53000</v>
      </c>
      <c r="O72" s="143">
        <v>12</v>
      </c>
      <c r="P72" s="94" t="s">
        <v>96</v>
      </c>
      <c r="Q72" s="144">
        <v>100000</v>
      </c>
      <c r="R72" s="77">
        <f>O72*3500000</f>
        <v>42000000</v>
      </c>
      <c r="S72" s="85">
        <f t="shared" ref="S72:S74" si="27">+R72/$R$184*100</f>
        <v>1.8756841222892457</v>
      </c>
      <c r="T72" s="99"/>
      <c r="U72" s="87"/>
      <c r="V72" s="87"/>
      <c r="W72" s="87"/>
      <c r="X72" s="87"/>
      <c r="Y72" s="88">
        <f>5820000+13876000</f>
        <v>19696000</v>
      </c>
      <c r="Z72" s="99">
        <f t="shared" ref="Z72:Z74" si="28">+Y72/R72*100</f>
        <v>46.895238095238092</v>
      </c>
      <c r="AA72" s="100">
        <f t="shared" ref="AA72:AA74" si="29">Z72</f>
        <v>46.895238095238092</v>
      </c>
      <c r="AB72" s="99">
        <f t="shared" ref="AB72:AB74" si="30">AA72*S72/100</f>
        <v>0.8796065350621185</v>
      </c>
      <c r="AC72" s="88"/>
      <c r="AD72" s="88">
        <f t="shared" ref="AD72:AD74" si="31">+R72-Y72</f>
        <v>22304000</v>
      </c>
      <c r="AE72" s="86"/>
    </row>
    <row r="73" spans="1:41" ht="12.95" customHeight="1" x14ac:dyDescent="0.35">
      <c r="A73" s="135"/>
      <c r="B73" s="139" t="s">
        <v>82</v>
      </c>
      <c r="C73" s="111" t="s">
        <v>97</v>
      </c>
      <c r="D73" s="105"/>
      <c r="E73" s="111"/>
      <c r="F73" s="111"/>
      <c r="G73" s="137"/>
      <c r="H73" s="109"/>
      <c r="I73" s="108"/>
      <c r="J73" s="109"/>
      <c r="K73" s="172"/>
      <c r="L73" s="182"/>
      <c r="M73" s="140"/>
      <c r="N73" s="183"/>
      <c r="O73" s="143">
        <v>12</v>
      </c>
      <c r="P73" s="94" t="s">
        <v>96</v>
      </c>
      <c r="Q73" s="144"/>
      <c r="R73" s="77">
        <f>O73*600000</f>
        <v>7200000</v>
      </c>
      <c r="S73" s="85">
        <f t="shared" si="27"/>
        <v>0.32154584953529924</v>
      </c>
      <c r="T73" s="99"/>
      <c r="U73" s="87"/>
      <c r="V73" s="87"/>
      <c r="W73" s="87"/>
      <c r="X73" s="87"/>
      <c r="Y73" s="88">
        <v>0</v>
      </c>
      <c r="Z73" s="99">
        <f t="shared" si="28"/>
        <v>0</v>
      </c>
      <c r="AA73" s="100">
        <f t="shared" si="29"/>
        <v>0</v>
      </c>
      <c r="AB73" s="99">
        <f t="shared" si="30"/>
        <v>0</v>
      </c>
      <c r="AC73" s="88"/>
      <c r="AD73" s="88">
        <f t="shared" si="31"/>
        <v>7200000</v>
      </c>
      <c r="AE73" s="114"/>
    </row>
    <row r="74" spans="1:41" ht="12.95" customHeight="1" x14ac:dyDescent="0.35">
      <c r="A74" s="400"/>
      <c r="B74" s="401" t="s">
        <v>82</v>
      </c>
      <c r="C74" s="403" t="s">
        <v>230</v>
      </c>
      <c r="D74" s="403"/>
      <c r="E74" s="403"/>
      <c r="F74" s="403"/>
      <c r="G74" s="431"/>
      <c r="H74" s="432"/>
      <c r="I74" s="433"/>
      <c r="J74" s="432"/>
      <c r="K74" s="406"/>
      <c r="L74" s="434"/>
      <c r="M74" s="416"/>
      <c r="N74" s="435"/>
      <c r="O74" s="434">
        <v>1</v>
      </c>
      <c r="P74" s="416" t="s">
        <v>231</v>
      </c>
      <c r="Q74" s="436"/>
      <c r="R74" s="437">
        <f>O74*50000000</f>
        <v>50000000</v>
      </c>
      <c r="S74" s="438">
        <f t="shared" si="27"/>
        <v>2.2329572884395783</v>
      </c>
      <c r="T74" s="439"/>
      <c r="U74" s="440"/>
      <c r="V74" s="440"/>
      <c r="W74" s="440"/>
      <c r="X74" s="440"/>
      <c r="Y74" s="441">
        <f>5000000*2</f>
        <v>10000000</v>
      </c>
      <c r="Z74" s="439">
        <f t="shared" si="28"/>
        <v>20</v>
      </c>
      <c r="AA74" s="442">
        <f t="shared" si="29"/>
        <v>20</v>
      </c>
      <c r="AB74" s="439">
        <f t="shared" si="30"/>
        <v>0.44659145768791569</v>
      </c>
      <c r="AC74" s="441"/>
      <c r="AD74" s="441">
        <f t="shared" si="31"/>
        <v>40000000</v>
      </c>
      <c r="AE74" s="443"/>
      <c r="AF74" s="28"/>
      <c r="AG74" s="28"/>
      <c r="AH74" s="28"/>
      <c r="AI74" s="28"/>
    </row>
    <row r="75" spans="1:41" ht="12.95" customHeight="1" x14ac:dyDescent="0.35">
      <c r="A75" s="210">
        <v>523121</v>
      </c>
      <c r="B75" s="211" t="s">
        <v>98</v>
      </c>
      <c r="C75" s="105"/>
      <c r="D75" s="105"/>
      <c r="E75" s="105"/>
      <c r="F75" s="105"/>
      <c r="G75" s="106"/>
      <c r="H75" s="170"/>
      <c r="I75" s="171"/>
      <c r="J75" s="170"/>
      <c r="K75" s="172"/>
      <c r="L75" s="112"/>
      <c r="M75" s="105"/>
      <c r="N75" s="103"/>
      <c r="O75" s="173"/>
      <c r="P75" s="101"/>
      <c r="Q75" s="174"/>
      <c r="R75" s="173"/>
      <c r="S75" s="85"/>
      <c r="T75" s="175"/>
      <c r="U75" s="176"/>
      <c r="V75" s="176"/>
      <c r="W75" s="176"/>
      <c r="X75" s="176"/>
      <c r="Y75" s="177"/>
      <c r="Z75" s="175"/>
      <c r="AA75" s="178"/>
      <c r="AB75" s="175"/>
      <c r="AC75" s="88"/>
      <c r="AD75" s="177"/>
      <c r="AE75" s="179"/>
    </row>
    <row r="76" spans="1:41" ht="12.95" customHeight="1" x14ac:dyDescent="0.35">
      <c r="A76" s="135"/>
      <c r="B76" s="139" t="s">
        <v>82</v>
      </c>
      <c r="C76" s="111" t="s">
        <v>99</v>
      </c>
      <c r="D76" s="105"/>
      <c r="E76" s="111"/>
      <c r="F76" s="111"/>
      <c r="G76" s="137"/>
      <c r="H76" s="109"/>
      <c r="I76" s="108"/>
      <c r="J76" s="109"/>
      <c r="K76" s="172"/>
      <c r="L76" s="182">
        <v>1095</v>
      </c>
      <c r="M76" s="140" t="s">
        <v>95</v>
      </c>
      <c r="N76" s="183">
        <v>53000</v>
      </c>
      <c r="O76" s="143">
        <v>1</v>
      </c>
      <c r="P76" s="94" t="s">
        <v>86</v>
      </c>
      <c r="Q76" s="144">
        <v>100000</v>
      </c>
      <c r="R76" s="77">
        <f>O76*600000</f>
        <v>600000</v>
      </c>
      <c r="S76" s="85">
        <f t="shared" ref="S76" si="32">+R76/$R$184*100</f>
        <v>2.6795487461274942E-2</v>
      </c>
      <c r="T76" s="99"/>
      <c r="U76" s="87"/>
      <c r="V76" s="87"/>
      <c r="W76" s="87"/>
      <c r="X76" s="87"/>
      <c r="Y76" s="88">
        <v>0</v>
      </c>
      <c r="Z76" s="99">
        <f t="shared" ref="Z76" si="33">+Y76/R76*100</f>
        <v>0</v>
      </c>
      <c r="AA76" s="100">
        <f t="shared" ref="AA76" si="34">Z76</f>
        <v>0</v>
      </c>
      <c r="AB76" s="99">
        <f t="shared" ref="AB76" si="35">AA76*S76/100</f>
        <v>0</v>
      </c>
      <c r="AC76" s="88"/>
      <c r="AD76" s="88">
        <f t="shared" ref="AD76" si="36">+R76-Y76</f>
        <v>600000</v>
      </c>
      <c r="AE76" s="86"/>
    </row>
    <row r="77" spans="1:41" ht="12.95" customHeight="1" x14ac:dyDescent="0.35">
      <c r="A77" s="132" t="s">
        <v>232</v>
      </c>
      <c r="B77" s="104" t="s">
        <v>233</v>
      </c>
      <c r="C77" s="105"/>
      <c r="D77" s="105"/>
      <c r="E77" s="111"/>
      <c r="F77" s="111"/>
      <c r="G77" s="137"/>
      <c r="H77" s="107"/>
      <c r="I77" s="108"/>
      <c r="J77" s="109"/>
      <c r="K77" s="110"/>
      <c r="L77" s="111"/>
      <c r="M77" s="111"/>
      <c r="N77" s="111"/>
      <c r="O77" s="185"/>
      <c r="P77" s="81"/>
      <c r="Q77" s="186"/>
      <c r="R77" s="187"/>
      <c r="S77" s="85"/>
      <c r="T77" s="99"/>
      <c r="U77" s="145"/>
      <c r="V77" s="145"/>
      <c r="W77" s="145"/>
      <c r="X77" s="145"/>
      <c r="Y77" s="88"/>
      <c r="Z77" s="99"/>
      <c r="AA77" s="100"/>
      <c r="AB77" s="184"/>
      <c r="AC77" s="88"/>
      <c r="AD77" s="88"/>
      <c r="AE77" s="114"/>
    </row>
    <row r="78" spans="1:41" s="28" customFormat="1" ht="12.95" customHeight="1" x14ac:dyDescent="0.35">
      <c r="A78" s="279">
        <v>521119</v>
      </c>
      <c r="B78" s="211" t="s">
        <v>100</v>
      </c>
      <c r="C78" s="105"/>
      <c r="D78" s="105"/>
      <c r="E78" s="105"/>
      <c r="F78" s="105"/>
      <c r="G78" s="106"/>
      <c r="H78" s="188"/>
      <c r="I78" s="171"/>
      <c r="J78" s="170"/>
      <c r="K78" s="189"/>
      <c r="L78" s="105"/>
      <c r="M78" s="105"/>
      <c r="N78" s="105"/>
      <c r="O78" s="112"/>
      <c r="P78" s="105"/>
      <c r="Q78" s="103"/>
      <c r="R78" s="188"/>
      <c r="S78" s="113"/>
      <c r="T78" s="190"/>
      <c r="U78" s="191"/>
      <c r="V78" s="191"/>
      <c r="W78" s="191"/>
      <c r="X78" s="191"/>
      <c r="Y78" s="192"/>
      <c r="Z78" s="190"/>
      <c r="AA78" s="178"/>
      <c r="AB78" s="193"/>
      <c r="AC78" s="192"/>
      <c r="AD78" s="192"/>
      <c r="AE78" s="179"/>
    </row>
    <row r="79" spans="1:41" s="28" customFormat="1" ht="12.95" customHeight="1" x14ac:dyDescent="0.35">
      <c r="A79" s="114"/>
      <c r="B79" s="194" t="s">
        <v>82</v>
      </c>
      <c r="C79" s="111" t="s">
        <v>101</v>
      </c>
      <c r="D79" s="105"/>
      <c r="E79" s="111"/>
      <c r="F79" s="111"/>
      <c r="G79" s="137"/>
      <c r="H79" s="107"/>
      <c r="I79" s="108"/>
      <c r="J79" s="109"/>
      <c r="K79" s="110"/>
      <c r="L79" s="111"/>
      <c r="M79" s="111"/>
      <c r="N79" s="111"/>
      <c r="O79" s="182">
        <v>12</v>
      </c>
      <c r="P79" s="140" t="s">
        <v>96</v>
      </c>
      <c r="Q79" s="183">
        <v>125000</v>
      </c>
      <c r="R79" s="151">
        <f>O79*600000</f>
        <v>7200000</v>
      </c>
      <c r="S79" s="85">
        <f t="shared" ref="S79" si="37">+R79/$R$184*100</f>
        <v>0.32154584953529924</v>
      </c>
      <c r="T79" s="99"/>
      <c r="U79" s="87"/>
      <c r="V79" s="87"/>
      <c r="W79" s="87"/>
      <c r="X79" s="87"/>
      <c r="Y79" s="88">
        <v>0</v>
      </c>
      <c r="Z79" s="99">
        <f t="shared" ref="Z79" si="38">+Y79/R79*100</f>
        <v>0</v>
      </c>
      <c r="AA79" s="100">
        <f t="shared" ref="AA79" si="39">Z79</f>
        <v>0</v>
      </c>
      <c r="AB79" s="99">
        <f t="shared" ref="AB79" si="40">AA79*S79/100</f>
        <v>0</v>
      </c>
      <c r="AC79" s="88"/>
      <c r="AD79" s="88">
        <f t="shared" ref="AD79" si="41">+R79-Y79</f>
        <v>7200000</v>
      </c>
      <c r="AE79" s="86"/>
    </row>
    <row r="80" spans="1:41" ht="12.95" customHeight="1" x14ac:dyDescent="0.35">
      <c r="A80" s="132" t="s">
        <v>184</v>
      </c>
      <c r="B80" s="104" t="s">
        <v>234</v>
      </c>
      <c r="C80" s="105"/>
      <c r="D80" s="105"/>
      <c r="E80" s="111"/>
      <c r="F80" s="111"/>
      <c r="G80" s="137"/>
      <c r="H80" s="107"/>
      <c r="I80" s="108"/>
      <c r="J80" s="109"/>
      <c r="K80" s="110"/>
      <c r="L80" s="111"/>
      <c r="M80" s="111"/>
      <c r="N80" s="111"/>
      <c r="O80" s="134"/>
      <c r="P80" s="111"/>
      <c r="Q80" s="135"/>
      <c r="R80" s="136"/>
      <c r="S80" s="113"/>
      <c r="T80" s="195"/>
      <c r="U80" s="198"/>
      <c r="V80" s="198"/>
      <c r="W80" s="198"/>
      <c r="X80" s="198"/>
      <c r="Y80" s="116"/>
      <c r="Z80" s="195"/>
      <c r="AA80" s="100"/>
      <c r="AB80" s="197"/>
      <c r="AC80" s="116"/>
      <c r="AD80" s="116"/>
      <c r="AE80" s="114"/>
    </row>
    <row r="81" spans="1:32" ht="12.95" customHeight="1" x14ac:dyDescent="0.35">
      <c r="A81" s="219">
        <v>523119</v>
      </c>
      <c r="B81" s="211" t="s">
        <v>103</v>
      </c>
      <c r="C81" s="105"/>
      <c r="D81" s="105"/>
      <c r="E81" s="111"/>
      <c r="F81" s="111"/>
      <c r="G81" s="137"/>
      <c r="H81" s="107"/>
      <c r="I81" s="108"/>
      <c r="J81" s="109"/>
      <c r="K81" s="110"/>
      <c r="L81" s="111"/>
      <c r="M81" s="111"/>
      <c r="N81" s="111"/>
      <c r="O81" s="111"/>
      <c r="P81" s="111"/>
      <c r="Q81" s="135"/>
      <c r="R81" s="188"/>
      <c r="S81" s="113"/>
      <c r="T81" s="195"/>
      <c r="U81" s="198"/>
      <c r="V81" s="198"/>
      <c r="W81" s="198"/>
      <c r="X81" s="198"/>
      <c r="Y81" s="116"/>
      <c r="Z81" s="195"/>
      <c r="AA81" s="100"/>
      <c r="AB81" s="197"/>
      <c r="AC81" s="116"/>
      <c r="AD81" s="116"/>
      <c r="AE81" s="114"/>
    </row>
    <row r="82" spans="1:32" ht="12.95" customHeight="1" x14ac:dyDescent="0.35">
      <c r="A82" s="132"/>
      <c r="B82" s="194" t="s">
        <v>82</v>
      </c>
      <c r="C82" s="111" t="s">
        <v>104</v>
      </c>
      <c r="D82" s="105"/>
      <c r="E82" s="111"/>
      <c r="F82" s="111"/>
      <c r="G82" s="137"/>
      <c r="H82" s="107"/>
      <c r="I82" s="108"/>
      <c r="J82" s="109"/>
      <c r="K82" s="110"/>
      <c r="L82" s="111"/>
      <c r="M82" s="111"/>
      <c r="N82" s="111"/>
      <c r="O82" s="134">
        <v>70</v>
      </c>
      <c r="P82" s="111" t="s">
        <v>105</v>
      </c>
      <c r="Q82" s="200">
        <v>10000</v>
      </c>
      <c r="R82" s="151">
        <f>O82*15000</f>
        <v>1050000</v>
      </c>
      <c r="S82" s="85">
        <f t="shared" ref="S82" si="42">+R82/$R$184*100</f>
        <v>4.6892103057231141E-2</v>
      </c>
      <c r="T82" s="99"/>
      <c r="U82" s="87"/>
      <c r="V82" s="87"/>
      <c r="W82" s="87"/>
      <c r="X82" s="87"/>
      <c r="Y82" s="88">
        <v>0</v>
      </c>
      <c r="Z82" s="99">
        <f t="shared" ref="Z82" si="43">+Y82/R82*100</f>
        <v>0</v>
      </c>
      <c r="AA82" s="100">
        <f t="shared" ref="AA82" si="44">Z82</f>
        <v>0</v>
      </c>
      <c r="AB82" s="99">
        <f t="shared" ref="AB82" si="45">AA82*S82/100</f>
        <v>0</v>
      </c>
      <c r="AC82" s="88"/>
      <c r="AD82" s="88">
        <f t="shared" ref="AD82" si="46">+R82-Y82</f>
        <v>1050000</v>
      </c>
      <c r="AE82" s="86"/>
    </row>
    <row r="83" spans="1:32" ht="12.95" customHeight="1" x14ac:dyDescent="0.35">
      <c r="A83" s="219">
        <v>523121</v>
      </c>
      <c r="B83" s="211" t="s">
        <v>106</v>
      </c>
      <c r="C83" s="105"/>
      <c r="D83" s="105"/>
      <c r="E83" s="111"/>
      <c r="F83" s="111"/>
      <c r="G83" s="137"/>
      <c r="H83" s="107"/>
      <c r="I83" s="108"/>
      <c r="J83" s="109"/>
      <c r="K83" s="110"/>
      <c r="L83" s="111"/>
      <c r="M83" s="111"/>
      <c r="N83" s="111"/>
      <c r="O83" s="182"/>
      <c r="P83" s="140"/>
      <c r="Q83" s="183"/>
      <c r="R83" s="201"/>
      <c r="S83" s="113"/>
      <c r="T83" s="195"/>
      <c r="U83" s="198"/>
      <c r="V83" s="198"/>
      <c r="W83" s="198"/>
      <c r="X83" s="198"/>
      <c r="Y83" s="116"/>
      <c r="Z83" s="195"/>
      <c r="AA83" s="100"/>
      <c r="AB83" s="197"/>
      <c r="AC83" s="116"/>
      <c r="AD83" s="116"/>
      <c r="AE83" s="114"/>
    </row>
    <row r="84" spans="1:32" ht="12.95" customHeight="1" x14ac:dyDescent="0.35">
      <c r="A84" s="132"/>
      <c r="B84" s="194" t="s">
        <v>82</v>
      </c>
      <c r="C84" s="111" t="s">
        <v>107</v>
      </c>
      <c r="D84" s="105"/>
      <c r="E84" s="111"/>
      <c r="F84" s="111"/>
      <c r="G84" s="137"/>
      <c r="H84" s="107"/>
      <c r="I84" s="108"/>
      <c r="J84" s="109"/>
      <c r="K84" s="110"/>
      <c r="L84" s="111"/>
      <c r="M84" s="111"/>
      <c r="N84" s="111"/>
      <c r="O84" s="182">
        <v>12</v>
      </c>
      <c r="P84" s="111" t="s">
        <v>88</v>
      </c>
      <c r="Q84" s="183">
        <v>600000</v>
      </c>
      <c r="R84" s="151">
        <f>O84*1500000</f>
        <v>18000000</v>
      </c>
      <c r="S84" s="85">
        <f t="shared" ref="S84:S85" si="47">+R84/$R$184*100</f>
        <v>0.80386462383824819</v>
      </c>
      <c r="T84" s="99"/>
      <c r="U84" s="87"/>
      <c r="V84" s="87"/>
      <c r="W84" s="87"/>
      <c r="X84" s="87"/>
      <c r="Y84" s="88">
        <v>0</v>
      </c>
      <c r="Z84" s="99">
        <f t="shared" ref="Z84:Z85" si="48">+Y84/R84*100</f>
        <v>0</v>
      </c>
      <c r="AA84" s="100">
        <f t="shared" ref="AA84:AA85" si="49">Z84</f>
        <v>0</v>
      </c>
      <c r="AB84" s="99">
        <f t="shared" ref="AB84:AB85" si="50">AA84*S84/100</f>
        <v>0</v>
      </c>
      <c r="AC84" s="88"/>
      <c r="AD84" s="88">
        <f t="shared" ref="AD84:AD85" si="51">+R84-Y84</f>
        <v>18000000</v>
      </c>
      <c r="AE84" s="86"/>
    </row>
    <row r="85" spans="1:32" ht="12.95" customHeight="1" x14ac:dyDescent="0.35">
      <c r="A85" s="132"/>
      <c r="B85" s="194" t="s">
        <v>82</v>
      </c>
      <c r="C85" s="111" t="s">
        <v>108</v>
      </c>
      <c r="D85" s="105"/>
      <c r="E85" s="111"/>
      <c r="F85" s="111"/>
      <c r="G85" s="137"/>
      <c r="H85" s="107"/>
      <c r="I85" s="108"/>
      <c r="J85" s="109"/>
      <c r="K85" s="110"/>
      <c r="L85" s="111"/>
      <c r="M85" s="111"/>
      <c r="N85" s="111"/>
      <c r="O85" s="182">
        <v>12</v>
      </c>
      <c r="P85" s="111" t="s">
        <v>88</v>
      </c>
      <c r="Q85" s="183">
        <v>1000000</v>
      </c>
      <c r="R85" s="151">
        <f>O85*500000</f>
        <v>6000000</v>
      </c>
      <c r="S85" s="85">
        <f t="shared" si="47"/>
        <v>0.26795487461274942</v>
      </c>
      <c r="T85" s="99"/>
      <c r="U85" s="87"/>
      <c r="V85" s="87"/>
      <c r="W85" s="87"/>
      <c r="X85" s="87"/>
      <c r="Y85" s="88">
        <v>0</v>
      </c>
      <c r="Z85" s="99">
        <f t="shared" si="48"/>
        <v>0</v>
      </c>
      <c r="AA85" s="100">
        <f t="shared" si="49"/>
        <v>0</v>
      </c>
      <c r="AB85" s="99">
        <f t="shared" si="50"/>
        <v>0</v>
      </c>
      <c r="AC85" s="88"/>
      <c r="AD85" s="88">
        <f t="shared" si="51"/>
        <v>6000000</v>
      </c>
      <c r="AE85" s="114"/>
    </row>
    <row r="86" spans="1:32" ht="12.95" customHeight="1" x14ac:dyDescent="0.35">
      <c r="A86" s="333">
        <v>532111</v>
      </c>
      <c r="B86" s="334" t="s">
        <v>170</v>
      </c>
      <c r="C86" s="335"/>
      <c r="D86" s="336"/>
      <c r="E86" s="337"/>
      <c r="F86" s="337"/>
      <c r="G86" s="338"/>
      <c r="H86" s="339"/>
      <c r="I86" s="340"/>
      <c r="J86" s="341"/>
      <c r="K86" s="342"/>
      <c r="L86" s="337"/>
      <c r="M86" s="337"/>
      <c r="N86" s="337"/>
      <c r="O86" s="343"/>
      <c r="P86" s="337"/>
      <c r="Q86" s="344"/>
      <c r="R86" s="345"/>
      <c r="S86" s="346"/>
      <c r="T86" s="347"/>
      <c r="U86" s="348"/>
      <c r="V86" s="348"/>
      <c r="W86" s="348"/>
      <c r="X86" s="348"/>
      <c r="Y86" s="349"/>
      <c r="Z86" s="347"/>
      <c r="AA86" s="350"/>
      <c r="AB86" s="351"/>
      <c r="AC86" s="349"/>
      <c r="AD86" s="349"/>
      <c r="AE86" s="352"/>
    </row>
    <row r="87" spans="1:32" ht="12.95" customHeight="1" x14ac:dyDescent="0.35">
      <c r="A87" s="333"/>
      <c r="B87" s="353" t="s">
        <v>82</v>
      </c>
      <c r="C87" s="335" t="s">
        <v>235</v>
      </c>
      <c r="D87" s="336"/>
      <c r="E87" s="337"/>
      <c r="F87" s="337"/>
      <c r="G87" s="338"/>
      <c r="H87" s="339"/>
      <c r="I87" s="340"/>
      <c r="J87" s="341"/>
      <c r="K87" s="342"/>
      <c r="L87" s="337"/>
      <c r="M87" s="337"/>
      <c r="N87" s="337"/>
      <c r="O87" s="343">
        <v>1</v>
      </c>
      <c r="P87" s="337" t="s">
        <v>127</v>
      </c>
      <c r="Q87" s="344"/>
      <c r="R87" s="345">
        <f>O87*12000000</f>
        <v>12000000</v>
      </c>
      <c r="S87" s="346">
        <f t="shared" ref="S87:S91" si="52">+R87/$R$184*100</f>
        <v>0.53590974922549883</v>
      </c>
      <c r="T87" s="347"/>
      <c r="U87" s="354"/>
      <c r="V87" s="354"/>
      <c r="W87" s="354"/>
      <c r="X87" s="354"/>
      <c r="Y87" s="349">
        <v>0</v>
      </c>
      <c r="Z87" s="347">
        <f t="shared" ref="Z87:Z91" si="53">+Y87/R87*100</f>
        <v>0</v>
      </c>
      <c r="AA87" s="350">
        <f t="shared" ref="AA87:AA91" si="54">Z87</f>
        <v>0</v>
      </c>
      <c r="AB87" s="347">
        <f t="shared" ref="AB87:AB91" si="55">AA87*S87/100</f>
        <v>0</v>
      </c>
      <c r="AC87" s="349"/>
      <c r="AD87" s="349">
        <f t="shared" ref="AD87:AD91" si="56">+R87-Y87</f>
        <v>12000000</v>
      </c>
      <c r="AE87" s="352"/>
    </row>
    <row r="88" spans="1:32" ht="12.95" customHeight="1" x14ac:dyDescent="0.35">
      <c r="A88" s="333"/>
      <c r="B88" s="353" t="s">
        <v>82</v>
      </c>
      <c r="C88" s="335" t="s">
        <v>236</v>
      </c>
      <c r="D88" s="336"/>
      <c r="E88" s="337"/>
      <c r="F88" s="337"/>
      <c r="G88" s="338"/>
      <c r="H88" s="339"/>
      <c r="I88" s="340"/>
      <c r="J88" s="341"/>
      <c r="K88" s="342"/>
      <c r="L88" s="337"/>
      <c r="M88" s="337"/>
      <c r="N88" s="337"/>
      <c r="O88" s="343">
        <v>1</v>
      </c>
      <c r="P88" s="337" t="s">
        <v>127</v>
      </c>
      <c r="Q88" s="344"/>
      <c r="R88" s="345">
        <f>O88*3300000</f>
        <v>3300000</v>
      </c>
      <c r="S88" s="346">
        <f t="shared" si="52"/>
        <v>0.14737518103701217</v>
      </c>
      <c r="T88" s="347"/>
      <c r="U88" s="354"/>
      <c r="V88" s="354"/>
      <c r="W88" s="354"/>
      <c r="X88" s="354"/>
      <c r="Y88" s="349">
        <v>0</v>
      </c>
      <c r="Z88" s="347">
        <f t="shared" si="53"/>
        <v>0</v>
      </c>
      <c r="AA88" s="350">
        <f t="shared" si="54"/>
        <v>0</v>
      </c>
      <c r="AB88" s="347">
        <f t="shared" si="55"/>
        <v>0</v>
      </c>
      <c r="AC88" s="349"/>
      <c r="AD88" s="349">
        <f t="shared" si="56"/>
        <v>3300000</v>
      </c>
      <c r="AE88" s="352"/>
    </row>
    <row r="89" spans="1:32" ht="12.95" customHeight="1" x14ac:dyDescent="0.35">
      <c r="A89" s="333"/>
      <c r="B89" s="353" t="s">
        <v>82</v>
      </c>
      <c r="C89" s="335" t="s">
        <v>237</v>
      </c>
      <c r="D89" s="336"/>
      <c r="E89" s="337"/>
      <c r="F89" s="337"/>
      <c r="G89" s="338"/>
      <c r="H89" s="339"/>
      <c r="I89" s="340"/>
      <c r="J89" s="341"/>
      <c r="K89" s="342"/>
      <c r="L89" s="337"/>
      <c r="M89" s="337"/>
      <c r="N89" s="337"/>
      <c r="O89" s="343">
        <v>1</v>
      </c>
      <c r="P89" s="337" t="s">
        <v>127</v>
      </c>
      <c r="Q89" s="344"/>
      <c r="R89" s="345">
        <f>O89*8700000</f>
        <v>8700000</v>
      </c>
      <c r="S89" s="346">
        <f t="shared" si="52"/>
        <v>0.38853456818848658</v>
      </c>
      <c r="T89" s="347"/>
      <c r="U89" s="354"/>
      <c r="V89" s="354"/>
      <c r="W89" s="354"/>
      <c r="X89" s="354"/>
      <c r="Y89" s="349">
        <v>0</v>
      </c>
      <c r="Z89" s="347">
        <f t="shared" si="53"/>
        <v>0</v>
      </c>
      <c r="AA89" s="350">
        <f t="shared" si="54"/>
        <v>0</v>
      </c>
      <c r="AB89" s="347">
        <f t="shared" si="55"/>
        <v>0</v>
      </c>
      <c r="AC89" s="349"/>
      <c r="AD89" s="349">
        <f t="shared" si="56"/>
        <v>8700000</v>
      </c>
      <c r="AE89" s="352"/>
    </row>
    <row r="90" spans="1:32" ht="12.95" customHeight="1" x14ac:dyDescent="0.35">
      <c r="A90" s="333"/>
      <c r="B90" s="353" t="s">
        <v>82</v>
      </c>
      <c r="C90" s="335" t="s">
        <v>238</v>
      </c>
      <c r="D90" s="336"/>
      <c r="E90" s="337"/>
      <c r="F90" s="337"/>
      <c r="G90" s="338"/>
      <c r="H90" s="339"/>
      <c r="I90" s="340"/>
      <c r="J90" s="341"/>
      <c r="K90" s="342"/>
      <c r="L90" s="337"/>
      <c r="M90" s="337"/>
      <c r="N90" s="337"/>
      <c r="O90" s="343">
        <v>10</v>
      </c>
      <c r="P90" s="337" t="s">
        <v>127</v>
      </c>
      <c r="Q90" s="344"/>
      <c r="R90" s="345">
        <f>O90*600000</f>
        <v>6000000</v>
      </c>
      <c r="S90" s="346">
        <f t="shared" si="52"/>
        <v>0.26795487461274942</v>
      </c>
      <c r="T90" s="347"/>
      <c r="U90" s="354"/>
      <c r="V90" s="354"/>
      <c r="W90" s="354"/>
      <c r="X90" s="354"/>
      <c r="Y90" s="349">
        <v>0</v>
      </c>
      <c r="Z90" s="347">
        <f t="shared" si="53"/>
        <v>0</v>
      </c>
      <c r="AA90" s="350">
        <f t="shared" si="54"/>
        <v>0</v>
      </c>
      <c r="AB90" s="347">
        <f t="shared" si="55"/>
        <v>0</v>
      </c>
      <c r="AC90" s="349"/>
      <c r="AD90" s="349">
        <f t="shared" si="56"/>
        <v>6000000</v>
      </c>
      <c r="AE90" s="352"/>
    </row>
    <row r="91" spans="1:32" ht="12.95" customHeight="1" x14ac:dyDescent="0.35">
      <c r="A91" s="333"/>
      <c r="B91" s="353" t="s">
        <v>82</v>
      </c>
      <c r="C91" s="335" t="s">
        <v>239</v>
      </c>
      <c r="D91" s="336"/>
      <c r="E91" s="337"/>
      <c r="F91" s="337"/>
      <c r="G91" s="338"/>
      <c r="H91" s="339"/>
      <c r="I91" s="340"/>
      <c r="J91" s="341"/>
      <c r="K91" s="342"/>
      <c r="L91" s="337"/>
      <c r="M91" s="337"/>
      <c r="N91" s="337"/>
      <c r="O91" s="343">
        <v>1</v>
      </c>
      <c r="P91" s="337" t="s">
        <v>127</v>
      </c>
      <c r="Q91" s="344"/>
      <c r="R91" s="345">
        <f>O91*2000000</f>
        <v>2000000</v>
      </c>
      <c r="S91" s="346">
        <f t="shared" si="52"/>
        <v>8.9318291537583125E-2</v>
      </c>
      <c r="T91" s="347"/>
      <c r="U91" s="354"/>
      <c r="V91" s="354"/>
      <c r="W91" s="354"/>
      <c r="X91" s="354"/>
      <c r="Y91" s="349">
        <v>0</v>
      </c>
      <c r="Z91" s="347">
        <f t="shared" si="53"/>
        <v>0</v>
      </c>
      <c r="AA91" s="350">
        <f t="shared" si="54"/>
        <v>0</v>
      </c>
      <c r="AB91" s="347">
        <f t="shared" si="55"/>
        <v>0</v>
      </c>
      <c r="AC91" s="349"/>
      <c r="AD91" s="349">
        <f t="shared" si="56"/>
        <v>2000000</v>
      </c>
      <c r="AE91" s="352"/>
    </row>
    <row r="92" spans="1:32" ht="12.95" customHeight="1" x14ac:dyDescent="0.35">
      <c r="A92" s="132"/>
      <c r="B92" s="194"/>
      <c r="C92" s="111"/>
      <c r="D92" s="105"/>
      <c r="E92" s="111"/>
      <c r="F92" s="111"/>
      <c r="G92" s="137"/>
      <c r="H92" s="107"/>
      <c r="I92" s="108"/>
      <c r="J92" s="109"/>
      <c r="K92" s="110"/>
      <c r="L92" s="111"/>
      <c r="M92" s="111"/>
      <c r="N92" s="111"/>
      <c r="O92" s="182"/>
      <c r="P92" s="111"/>
      <c r="Q92" s="183"/>
      <c r="R92" s="151"/>
      <c r="S92" s="113"/>
      <c r="T92" s="195"/>
      <c r="U92" s="196"/>
      <c r="V92" s="196"/>
      <c r="W92" s="196"/>
      <c r="X92" s="196"/>
      <c r="Y92" s="116"/>
      <c r="Z92" s="195"/>
      <c r="AA92" s="202"/>
      <c r="AB92" s="197"/>
      <c r="AC92" s="116"/>
      <c r="AD92" s="116"/>
      <c r="AE92" s="114"/>
    </row>
    <row r="93" spans="1:32" ht="12.95" customHeight="1" x14ac:dyDescent="0.35">
      <c r="A93" s="287" t="s">
        <v>240</v>
      </c>
      <c r="B93" s="288" t="s">
        <v>109</v>
      </c>
      <c r="C93" s="278"/>
      <c r="D93" s="278"/>
      <c r="E93" s="81"/>
      <c r="F93" s="81"/>
      <c r="G93" s="289"/>
      <c r="H93" s="77"/>
      <c r="I93" s="78"/>
      <c r="J93" s="79"/>
      <c r="K93" s="80"/>
      <c r="L93" s="81"/>
      <c r="M93" s="81"/>
      <c r="N93" s="81"/>
      <c r="O93" s="185"/>
      <c r="P93" s="81"/>
      <c r="Q93" s="186"/>
      <c r="R93" s="173"/>
      <c r="S93" s="85"/>
      <c r="T93" s="99"/>
      <c r="U93" s="145"/>
      <c r="V93" s="145"/>
      <c r="W93" s="145"/>
      <c r="X93" s="145"/>
      <c r="Y93" s="88"/>
      <c r="Z93" s="99"/>
      <c r="AA93" s="100"/>
      <c r="AB93" s="184">
        <f t="shared" ref="AB93:AB112" si="57">AA93*S93/100</f>
        <v>0</v>
      </c>
      <c r="AC93" s="88"/>
      <c r="AD93" s="88"/>
      <c r="AE93" s="86"/>
      <c r="AF93" s="90"/>
    </row>
    <row r="94" spans="1:32" ht="12.95" customHeight="1" x14ac:dyDescent="0.35">
      <c r="A94" s="132"/>
      <c r="B94" s="104"/>
      <c r="C94" s="105"/>
      <c r="D94" s="105"/>
      <c r="E94" s="111"/>
      <c r="F94" s="111"/>
      <c r="G94" s="137"/>
      <c r="H94" s="107"/>
      <c r="I94" s="108"/>
      <c r="J94" s="109"/>
      <c r="K94" s="110"/>
      <c r="L94" s="111"/>
      <c r="M94" s="111"/>
      <c r="N94" s="111"/>
      <c r="O94" s="134"/>
      <c r="P94" s="111"/>
      <c r="Q94" s="135"/>
      <c r="R94" s="133"/>
      <c r="S94" s="113"/>
      <c r="T94" s="195"/>
      <c r="U94" s="198"/>
      <c r="V94" s="198"/>
      <c r="W94" s="198"/>
      <c r="X94" s="198"/>
      <c r="Y94" s="116"/>
      <c r="Z94" s="195"/>
      <c r="AA94" s="202"/>
      <c r="AB94" s="197">
        <f t="shared" si="57"/>
        <v>0</v>
      </c>
      <c r="AC94" s="116"/>
      <c r="AD94" s="116"/>
      <c r="AE94" s="114"/>
    </row>
    <row r="95" spans="1:32" ht="12.95" customHeight="1" x14ac:dyDescent="0.35">
      <c r="A95" s="132" t="s">
        <v>110</v>
      </c>
      <c r="B95" s="104" t="s">
        <v>241</v>
      </c>
      <c r="C95" s="105"/>
      <c r="D95" s="105"/>
      <c r="E95" s="111"/>
      <c r="F95" s="111"/>
      <c r="G95" s="137"/>
      <c r="H95" s="107"/>
      <c r="I95" s="108"/>
      <c r="J95" s="109"/>
      <c r="K95" s="110"/>
      <c r="L95" s="111"/>
      <c r="M95" s="111"/>
      <c r="N95" s="111"/>
      <c r="O95" s="134"/>
      <c r="P95" s="111"/>
      <c r="Q95" s="135"/>
      <c r="R95" s="203"/>
      <c r="S95" s="113"/>
      <c r="T95" s="195"/>
      <c r="U95" s="196"/>
      <c r="V95" s="196"/>
      <c r="W95" s="196"/>
      <c r="X95" s="196"/>
      <c r="Y95" s="116"/>
      <c r="Z95" s="195"/>
      <c r="AA95" s="202"/>
      <c r="AB95" s="197"/>
      <c r="AC95" s="88"/>
      <c r="AD95" s="116"/>
      <c r="AE95" s="114"/>
    </row>
    <row r="96" spans="1:32" ht="12.95" customHeight="1" x14ac:dyDescent="0.35">
      <c r="A96" s="219">
        <v>511111</v>
      </c>
      <c r="B96" s="211" t="s">
        <v>242</v>
      </c>
      <c r="C96" s="232"/>
      <c r="D96" s="105"/>
      <c r="E96" s="111"/>
      <c r="F96" s="111"/>
      <c r="G96" s="111"/>
      <c r="H96" s="107"/>
      <c r="I96" s="108"/>
      <c r="J96" s="109"/>
      <c r="K96" s="110"/>
      <c r="L96" s="111"/>
      <c r="M96" s="111"/>
      <c r="N96" s="111"/>
      <c r="O96" s="134">
        <v>1</v>
      </c>
      <c r="P96" s="111" t="s">
        <v>111</v>
      </c>
      <c r="Q96" s="135"/>
      <c r="R96" s="203">
        <f>O96*806705000</f>
        <v>806705000</v>
      </c>
      <c r="S96" s="85">
        <f t="shared" ref="S96:S106" si="58">+R96/$R$184*100</f>
        <v>36.026756187413</v>
      </c>
      <c r="T96" s="99"/>
      <c r="U96" s="87"/>
      <c r="V96" s="87"/>
      <c r="W96" s="87"/>
      <c r="X96" s="87"/>
      <c r="Y96" s="88">
        <v>342880880</v>
      </c>
      <c r="Z96" s="99">
        <f t="shared" ref="Z96:Z106" si="59">+Y96/R96*100</f>
        <v>42.503874402662682</v>
      </c>
      <c r="AA96" s="100">
        <f>4/14*100</f>
        <v>28.571428571428569</v>
      </c>
      <c r="AB96" s="99">
        <f t="shared" ref="AB96:AB106" si="60">AA96*S96/100</f>
        <v>10.293358910689427</v>
      </c>
      <c r="AC96" s="88"/>
      <c r="AD96" s="88">
        <f t="shared" ref="AD96:AD106" si="61">+R96-Y96</f>
        <v>463824120</v>
      </c>
      <c r="AE96" s="86"/>
    </row>
    <row r="97" spans="1:31" ht="12.95" customHeight="1" x14ac:dyDescent="0.35">
      <c r="A97" s="219">
        <v>511121</v>
      </c>
      <c r="B97" s="211" t="s">
        <v>243</v>
      </c>
      <c r="C97" s="232"/>
      <c r="D97" s="105"/>
      <c r="E97" s="111"/>
      <c r="F97" s="111"/>
      <c r="G97" s="111"/>
      <c r="H97" s="107"/>
      <c r="I97" s="108"/>
      <c r="J97" s="109"/>
      <c r="K97" s="110"/>
      <c r="L97" s="111"/>
      <c r="M97" s="111"/>
      <c r="N97" s="111"/>
      <c r="O97" s="134">
        <v>1</v>
      </c>
      <c r="P97" s="111" t="s">
        <v>111</v>
      </c>
      <c r="Q97" s="135"/>
      <c r="R97" s="107">
        <f>O97*47273000</f>
        <v>47273000</v>
      </c>
      <c r="S97" s="85">
        <f t="shared" si="58"/>
        <v>2.1111717979280837</v>
      </c>
      <c r="T97" s="99"/>
      <c r="U97" s="87"/>
      <c r="V97" s="87"/>
      <c r="W97" s="87"/>
      <c r="X97" s="87"/>
      <c r="Y97" s="88">
        <v>22078070</v>
      </c>
      <c r="Z97" s="99">
        <f t="shared" si="59"/>
        <v>46.703340173037461</v>
      </c>
      <c r="AA97" s="100">
        <f>4/14*Z97</f>
        <v>13.343811478010702</v>
      </c>
      <c r="AB97" s="99">
        <f t="shared" si="60"/>
        <v>0.28171078469245253</v>
      </c>
      <c r="AC97" s="88"/>
      <c r="AD97" s="88">
        <f t="shared" si="61"/>
        <v>25194930</v>
      </c>
      <c r="AE97" s="114"/>
    </row>
    <row r="98" spans="1:31" ht="12.95" customHeight="1" x14ac:dyDescent="0.35">
      <c r="A98" s="219">
        <v>511122</v>
      </c>
      <c r="B98" s="211" t="s">
        <v>244</v>
      </c>
      <c r="C98" s="232"/>
      <c r="D98" s="105"/>
      <c r="E98" s="111"/>
      <c r="F98" s="111"/>
      <c r="G98" s="111"/>
      <c r="H98" s="107"/>
      <c r="I98" s="108"/>
      <c r="J98" s="109"/>
      <c r="K98" s="110"/>
      <c r="L98" s="111"/>
      <c r="M98" s="111"/>
      <c r="N98" s="111"/>
      <c r="O98" s="134">
        <v>1</v>
      </c>
      <c r="P98" s="111" t="s">
        <v>111</v>
      </c>
      <c r="Q98" s="135"/>
      <c r="R98" s="107">
        <f>O98*16142000</f>
        <v>16142000</v>
      </c>
      <c r="S98" s="85">
        <f t="shared" si="58"/>
        <v>0.72088793099983339</v>
      </c>
      <c r="T98" s="99"/>
      <c r="U98" s="87"/>
      <c r="V98" s="87"/>
      <c r="W98" s="87"/>
      <c r="X98" s="87"/>
      <c r="Y98" s="88">
        <v>7147564</v>
      </c>
      <c r="Z98" s="99">
        <f t="shared" si="59"/>
        <v>44.279296245818358</v>
      </c>
      <c r="AA98" s="100">
        <f>4/14*Z98</f>
        <v>12.651227498805245</v>
      </c>
      <c r="AB98" s="99">
        <f t="shared" si="60"/>
        <v>9.1201172162219096E-2</v>
      </c>
      <c r="AC98" s="88"/>
      <c r="AD98" s="88">
        <f t="shared" si="61"/>
        <v>8994436</v>
      </c>
      <c r="AE98" s="114"/>
    </row>
    <row r="99" spans="1:31" ht="12.95" customHeight="1" x14ac:dyDescent="0.35">
      <c r="A99" s="219">
        <v>511123</v>
      </c>
      <c r="B99" s="211" t="s">
        <v>245</v>
      </c>
      <c r="C99" s="232"/>
      <c r="D99" s="105"/>
      <c r="E99" s="111"/>
      <c r="F99" s="111"/>
      <c r="G99" s="111"/>
      <c r="H99" s="107"/>
      <c r="I99" s="108"/>
      <c r="J99" s="109"/>
      <c r="K99" s="110"/>
      <c r="L99" s="111"/>
      <c r="M99" s="111"/>
      <c r="N99" s="111"/>
      <c r="O99" s="134">
        <v>1</v>
      </c>
      <c r="P99" s="111" t="s">
        <v>111</v>
      </c>
      <c r="Q99" s="135"/>
      <c r="R99" s="107">
        <f>O99*27440000</f>
        <v>27440000</v>
      </c>
      <c r="S99" s="85">
        <f t="shared" si="58"/>
        <v>1.2254469598956406</v>
      </c>
      <c r="T99" s="99"/>
      <c r="U99" s="87"/>
      <c r="V99" s="87"/>
      <c r="W99" s="87"/>
      <c r="X99" s="87"/>
      <c r="Y99" s="88">
        <v>11760000</v>
      </c>
      <c r="Z99" s="99">
        <f t="shared" si="59"/>
        <v>42.857142857142854</v>
      </c>
      <c r="AA99" s="100">
        <f>4/14*Z99</f>
        <v>12.244897959183671</v>
      </c>
      <c r="AB99" s="99">
        <f t="shared" si="60"/>
        <v>0.15005472978313963</v>
      </c>
      <c r="AC99" s="88"/>
      <c r="AD99" s="88">
        <f t="shared" si="61"/>
        <v>15680000</v>
      </c>
      <c r="AE99" s="114"/>
    </row>
    <row r="100" spans="1:31" ht="12.95" customHeight="1" x14ac:dyDescent="0.35">
      <c r="A100" s="219">
        <v>511124</v>
      </c>
      <c r="B100" s="211" t="s">
        <v>246</v>
      </c>
      <c r="C100" s="232"/>
      <c r="D100" s="105"/>
      <c r="E100" s="111"/>
      <c r="F100" s="111"/>
      <c r="G100" s="111"/>
      <c r="H100" s="107"/>
      <c r="I100" s="108"/>
      <c r="J100" s="109"/>
      <c r="K100" s="110"/>
      <c r="L100" s="111"/>
      <c r="M100" s="111"/>
      <c r="N100" s="111"/>
      <c r="O100" s="134">
        <v>1</v>
      </c>
      <c r="P100" s="111" t="s">
        <v>111</v>
      </c>
      <c r="Q100" s="135"/>
      <c r="R100" s="107">
        <f>O100*27860000</f>
        <v>27860000</v>
      </c>
      <c r="S100" s="85">
        <f t="shared" si="58"/>
        <v>1.244203801118533</v>
      </c>
      <c r="T100" s="99"/>
      <c r="U100" s="87"/>
      <c r="V100" s="87"/>
      <c r="W100" s="87"/>
      <c r="X100" s="87"/>
      <c r="Y100" s="88">
        <v>10650000</v>
      </c>
      <c r="Z100" s="99">
        <f t="shared" si="59"/>
        <v>38.226848528356065</v>
      </c>
      <c r="AA100" s="100">
        <f>4/14*Z100</f>
        <v>10.921956722387447</v>
      </c>
      <c r="AB100" s="99">
        <f t="shared" si="60"/>
        <v>0.13589140069646577</v>
      </c>
      <c r="AC100" s="88"/>
      <c r="AD100" s="88">
        <f t="shared" si="61"/>
        <v>17210000</v>
      </c>
      <c r="AE100" s="114"/>
    </row>
    <row r="101" spans="1:31" ht="12.95" customHeight="1" x14ac:dyDescent="0.35">
      <c r="A101" s="219">
        <v>511125</v>
      </c>
      <c r="B101" s="211" t="s">
        <v>247</v>
      </c>
      <c r="C101" s="232"/>
      <c r="D101" s="105"/>
      <c r="E101" s="111"/>
      <c r="F101" s="111"/>
      <c r="G101" s="111"/>
      <c r="H101" s="107"/>
      <c r="I101" s="108"/>
      <c r="J101" s="109"/>
      <c r="K101" s="110"/>
      <c r="L101" s="111"/>
      <c r="M101" s="111"/>
      <c r="N101" s="111"/>
      <c r="O101" s="134">
        <v>1</v>
      </c>
      <c r="P101" s="111" t="s">
        <v>111</v>
      </c>
      <c r="Q101" s="135"/>
      <c r="R101" s="107">
        <f>O101*4525000</f>
        <v>4525000</v>
      </c>
      <c r="S101" s="85">
        <f t="shared" si="58"/>
        <v>0.20208263460378181</v>
      </c>
      <c r="T101" s="99"/>
      <c r="U101" s="87"/>
      <c r="V101" s="87"/>
      <c r="W101" s="87"/>
      <c r="X101" s="87"/>
      <c r="Y101" s="88">
        <v>0</v>
      </c>
      <c r="Z101" s="99">
        <f t="shared" si="59"/>
        <v>0</v>
      </c>
      <c r="AA101" s="100">
        <f t="shared" ref="AA101" si="62">1/14*Z101</f>
        <v>0</v>
      </c>
      <c r="AB101" s="99">
        <f t="shared" si="60"/>
        <v>0</v>
      </c>
      <c r="AC101" s="88"/>
      <c r="AD101" s="88">
        <f t="shared" si="61"/>
        <v>4525000</v>
      </c>
      <c r="AE101" s="114"/>
    </row>
    <row r="102" spans="1:31" ht="12.95" customHeight="1" x14ac:dyDescent="0.35">
      <c r="A102" s="219">
        <v>511126</v>
      </c>
      <c r="B102" s="211" t="s">
        <v>248</v>
      </c>
      <c r="C102" s="232"/>
      <c r="D102" s="105"/>
      <c r="E102" s="111"/>
      <c r="F102" s="111"/>
      <c r="G102" s="111"/>
      <c r="H102" s="107"/>
      <c r="I102" s="108"/>
      <c r="J102" s="109"/>
      <c r="K102" s="110"/>
      <c r="L102" s="111"/>
      <c r="M102" s="111"/>
      <c r="N102" s="111"/>
      <c r="O102" s="134">
        <v>1</v>
      </c>
      <c r="P102" s="111" t="s">
        <v>111</v>
      </c>
      <c r="Q102" s="135"/>
      <c r="R102" s="107">
        <f>O102*42792000</f>
        <v>42792000</v>
      </c>
      <c r="S102" s="85">
        <f t="shared" si="58"/>
        <v>1.9110541657381286</v>
      </c>
      <c r="T102" s="99"/>
      <c r="U102" s="87"/>
      <c r="V102" s="87"/>
      <c r="W102" s="87"/>
      <c r="X102" s="87"/>
      <c r="Y102" s="88">
        <v>20350020</v>
      </c>
      <c r="Z102" s="99">
        <f t="shared" si="59"/>
        <v>47.555664610207515</v>
      </c>
      <c r="AA102" s="100">
        <f>4/14*Z102</f>
        <v>13.587332745773574</v>
      </c>
      <c r="AB102" s="99">
        <f t="shared" si="60"/>
        <v>0.25966128845080677</v>
      </c>
      <c r="AC102" s="88"/>
      <c r="AD102" s="88">
        <f t="shared" si="61"/>
        <v>22441980</v>
      </c>
      <c r="AE102" s="114"/>
    </row>
    <row r="103" spans="1:31" ht="12.95" customHeight="1" x14ac:dyDescent="0.35">
      <c r="A103" s="307">
        <v>511129</v>
      </c>
      <c r="B103" s="308" t="s">
        <v>249</v>
      </c>
      <c r="C103" s="309"/>
      <c r="D103" s="310"/>
      <c r="E103" s="310"/>
      <c r="F103" s="310"/>
      <c r="G103" s="310"/>
      <c r="H103" s="311"/>
      <c r="I103" s="312"/>
      <c r="J103" s="313"/>
      <c r="K103" s="314"/>
      <c r="L103" s="310"/>
      <c r="M103" s="310"/>
      <c r="N103" s="310"/>
      <c r="O103" s="315">
        <v>1</v>
      </c>
      <c r="P103" s="310" t="s">
        <v>111</v>
      </c>
      <c r="Q103" s="316"/>
      <c r="R103" s="311">
        <f>O103*146160000</f>
        <v>146160000</v>
      </c>
      <c r="S103" s="317">
        <f t="shared" si="58"/>
        <v>6.5273807455665747</v>
      </c>
      <c r="T103" s="318"/>
      <c r="U103" s="319"/>
      <c r="V103" s="319"/>
      <c r="W103" s="319"/>
      <c r="X103" s="319"/>
      <c r="Y103" s="320">
        <v>36746000</v>
      </c>
      <c r="Z103" s="318">
        <f t="shared" si="59"/>
        <v>25.140941434044883</v>
      </c>
      <c r="AA103" s="100">
        <f>4/14*Z103</f>
        <v>7.1831261240128237</v>
      </c>
      <c r="AB103" s="318">
        <f t="shared" si="60"/>
        <v>0.46886999154857562</v>
      </c>
      <c r="AC103" s="320"/>
      <c r="AD103" s="320">
        <f t="shared" si="61"/>
        <v>109414000</v>
      </c>
      <c r="AE103" s="321"/>
    </row>
    <row r="104" spans="1:31" ht="12.95" customHeight="1" x14ac:dyDescent="0.35">
      <c r="A104" s="219">
        <v>511151</v>
      </c>
      <c r="B104" s="211" t="s">
        <v>250</v>
      </c>
      <c r="C104" s="232"/>
      <c r="D104" s="105"/>
      <c r="E104" s="111"/>
      <c r="F104" s="111"/>
      <c r="G104" s="111"/>
      <c r="H104" s="107"/>
      <c r="I104" s="108"/>
      <c r="J104" s="109"/>
      <c r="K104" s="110"/>
      <c r="L104" s="111"/>
      <c r="M104" s="111"/>
      <c r="N104" s="111"/>
      <c r="O104" s="134">
        <v>1</v>
      </c>
      <c r="P104" s="111" t="s">
        <v>111</v>
      </c>
      <c r="Q104" s="135"/>
      <c r="R104" s="107">
        <f>O104*35736000</f>
        <v>35736000</v>
      </c>
      <c r="S104" s="85">
        <f t="shared" si="58"/>
        <v>1.5959392331935354</v>
      </c>
      <c r="T104" s="99"/>
      <c r="U104" s="87"/>
      <c r="V104" s="87"/>
      <c r="W104" s="87"/>
      <c r="X104" s="87"/>
      <c r="Y104" s="88">
        <v>10035000</v>
      </c>
      <c r="Z104" s="99">
        <f t="shared" si="59"/>
        <v>28.080926796507722</v>
      </c>
      <c r="AA104" s="100">
        <f>4/14*Z104</f>
        <v>8.0231219418593493</v>
      </c>
      <c r="AB104" s="99">
        <f t="shared" si="60"/>
        <v>0.12804415079709239</v>
      </c>
      <c r="AC104" s="88"/>
      <c r="AD104" s="88">
        <f t="shared" si="61"/>
        <v>25701000</v>
      </c>
      <c r="AE104" s="114"/>
    </row>
    <row r="105" spans="1:31" ht="12.95" customHeight="1" x14ac:dyDescent="0.35">
      <c r="A105" s="307">
        <v>512211</v>
      </c>
      <c r="B105" s="308" t="s">
        <v>251</v>
      </c>
      <c r="C105" s="309"/>
      <c r="D105" s="309"/>
      <c r="E105" s="309"/>
      <c r="F105" s="309"/>
      <c r="G105" s="309"/>
      <c r="H105" s="322"/>
      <c r="I105" s="323"/>
      <c r="J105" s="324"/>
      <c r="K105" s="325"/>
      <c r="L105" s="309"/>
      <c r="M105" s="309"/>
      <c r="N105" s="309"/>
      <c r="O105" s="326">
        <v>1</v>
      </c>
      <c r="P105" s="309" t="s">
        <v>111</v>
      </c>
      <c r="Q105" s="327"/>
      <c r="R105" s="322">
        <f>O105*4320000</f>
        <v>4320000</v>
      </c>
      <c r="S105" s="328">
        <f t="shared" si="58"/>
        <v>0.19292750972117956</v>
      </c>
      <c r="T105" s="329"/>
      <c r="U105" s="330"/>
      <c r="V105" s="330"/>
      <c r="W105" s="330"/>
      <c r="X105" s="330"/>
      <c r="Y105" s="331">
        <v>0</v>
      </c>
      <c r="Z105" s="329">
        <f t="shared" si="59"/>
        <v>0</v>
      </c>
      <c r="AA105" s="100">
        <f>1/14*Z105</f>
        <v>0</v>
      </c>
      <c r="AB105" s="329">
        <f t="shared" si="60"/>
        <v>0</v>
      </c>
      <c r="AC105" s="331"/>
      <c r="AD105" s="331">
        <f t="shared" si="61"/>
        <v>4320000</v>
      </c>
      <c r="AE105" s="332"/>
    </row>
    <row r="106" spans="1:31" ht="12.95" customHeight="1" x14ac:dyDescent="0.35">
      <c r="A106" s="219">
        <v>511119</v>
      </c>
      <c r="B106" s="211" t="s">
        <v>262</v>
      </c>
      <c r="C106" s="232"/>
      <c r="D106" s="105"/>
      <c r="E106" s="111"/>
      <c r="F106" s="111"/>
      <c r="G106" s="111"/>
      <c r="H106" s="107"/>
      <c r="I106" s="108"/>
      <c r="J106" s="109"/>
      <c r="K106" s="110"/>
      <c r="L106" s="111"/>
      <c r="M106" s="111"/>
      <c r="N106" s="111"/>
      <c r="O106" s="134">
        <v>1</v>
      </c>
      <c r="P106" s="111" t="s">
        <v>111</v>
      </c>
      <c r="Q106" s="135"/>
      <c r="R106" s="107">
        <f>O106*17000</f>
        <v>17000</v>
      </c>
      <c r="S106" s="85">
        <f t="shared" si="58"/>
        <v>7.5920547806945663E-4</v>
      </c>
      <c r="T106" s="99"/>
      <c r="U106" s="87"/>
      <c r="V106" s="87"/>
      <c r="W106" s="87"/>
      <c r="X106" s="87"/>
      <c r="Y106" s="88">
        <v>4768</v>
      </c>
      <c r="Z106" s="99">
        <f t="shared" si="59"/>
        <v>28.047058823529415</v>
      </c>
      <c r="AA106" s="100">
        <f>4/14*Z106</f>
        <v>8.0134453781512605</v>
      </c>
      <c r="AB106" s="99">
        <f t="shared" si="60"/>
        <v>6.0838516293028054E-5</v>
      </c>
      <c r="AC106" s="88"/>
      <c r="AD106" s="88">
        <f t="shared" si="61"/>
        <v>12232</v>
      </c>
      <c r="AE106" s="114"/>
    </row>
    <row r="107" spans="1:31" ht="12.95" customHeight="1" x14ac:dyDescent="0.35">
      <c r="A107" s="204"/>
      <c r="B107" s="205"/>
      <c r="C107" s="206"/>
      <c r="D107" s="111"/>
      <c r="E107" s="111"/>
      <c r="F107" s="111"/>
      <c r="G107" s="111"/>
      <c r="H107" s="107"/>
      <c r="I107" s="108"/>
      <c r="J107" s="109"/>
      <c r="K107" s="110"/>
      <c r="L107" s="111"/>
      <c r="M107" s="111"/>
      <c r="N107" s="111"/>
      <c r="O107" s="133"/>
      <c r="P107" s="108"/>
      <c r="Q107" s="114"/>
      <c r="R107" s="133"/>
      <c r="S107" s="113"/>
      <c r="T107" s="195"/>
      <c r="U107" s="198"/>
      <c r="V107" s="198"/>
      <c r="W107" s="198"/>
      <c r="X107" s="198"/>
      <c r="Y107" s="116"/>
      <c r="Z107" s="195"/>
      <c r="AA107" s="202"/>
      <c r="AB107" s="197">
        <f t="shared" si="57"/>
        <v>0</v>
      </c>
      <c r="AC107" s="88"/>
      <c r="AD107" s="116"/>
      <c r="AE107" s="114"/>
    </row>
    <row r="108" spans="1:31" ht="12.95" hidden="1" customHeight="1" x14ac:dyDescent="0.35">
      <c r="A108" s="135"/>
      <c r="B108" s="133"/>
      <c r="C108" s="111"/>
      <c r="D108" s="111"/>
      <c r="E108" s="111"/>
      <c r="F108" s="111"/>
      <c r="G108" s="111"/>
      <c r="H108" s="107"/>
      <c r="I108" s="108"/>
      <c r="J108" s="109"/>
      <c r="K108" s="110"/>
      <c r="L108" s="111"/>
      <c r="M108" s="111"/>
      <c r="N108" s="111"/>
      <c r="O108" s="133"/>
      <c r="P108" s="108"/>
      <c r="Q108" s="114"/>
      <c r="R108" s="133"/>
      <c r="S108" s="113"/>
      <c r="T108" s="195"/>
      <c r="U108" s="198"/>
      <c r="V108" s="198"/>
      <c r="W108" s="198"/>
      <c r="X108" s="198"/>
      <c r="Y108" s="116"/>
      <c r="Z108" s="195"/>
      <c r="AA108" s="202"/>
      <c r="AB108" s="197">
        <f t="shared" si="57"/>
        <v>0</v>
      </c>
      <c r="AC108" s="88"/>
      <c r="AD108" s="116"/>
      <c r="AE108" s="114"/>
    </row>
    <row r="109" spans="1:31" ht="12.95" customHeight="1" x14ac:dyDescent="0.35">
      <c r="A109" s="132" t="s">
        <v>112</v>
      </c>
      <c r="B109" s="104" t="s">
        <v>252</v>
      </c>
      <c r="C109" s="111"/>
      <c r="D109" s="111"/>
      <c r="E109" s="111"/>
      <c r="F109" s="111"/>
      <c r="G109" s="111"/>
      <c r="H109" s="107"/>
      <c r="I109" s="108"/>
      <c r="J109" s="109"/>
      <c r="K109" s="110"/>
      <c r="L109" s="111"/>
      <c r="M109" s="111"/>
      <c r="N109" s="111"/>
      <c r="O109" s="134"/>
      <c r="P109" s="111"/>
      <c r="Q109" s="207"/>
      <c r="R109" s="136"/>
      <c r="S109" s="113"/>
      <c r="T109" s="195"/>
      <c r="U109" s="198"/>
      <c r="V109" s="198"/>
      <c r="W109" s="198"/>
      <c r="X109" s="198"/>
      <c r="Y109" s="116"/>
      <c r="Z109" s="195"/>
      <c r="AA109" s="202"/>
      <c r="AB109" s="197">
        <f t="shared" si="57"/>
        <v>0</v>
      </c>
      <c r="AC109" s="88"/>
      <c r="AD109" s="116"/>
      <c r="AE109" s="114"/>
    </row>
    <row r="110" spans="1:31" ht="12.95" customHeight="1" x14ac:dyDescent="0.35">
      <c r="A110" s="208" t="s">
        <v>14</v>
      </c>
      <c r="B110" s="104" t="s">
        <v>253</v>
      </c>
      <c r="C110" s="105"/>
      <c r="D110" s="105"/>
      <c r="E110" s="111"/>
      <c r="F110" s="111"/>
      <c r="G110" s="111"/>
      <c r="H110" s="107"/>
      <c r="I110" s="108"/>
      <c r="J110" s="109"/>
      <c r="K110" s="110"/>
      <c r="L110" s="111"/>
      <c r="M110" s="111"/>
      <c r="N110" s="111"/>
      <c r="O110" s="134"/>
      <c r="P110" s="111"/>
      <c r="Q110" s="207"/>
      <c r="R110" s="209"/>
      <c r="S110" s="113"/>
      <c r="T110" s="195"/>
      <c r="U110" s="198"/>
      <c r="V110" s="198"/>
      <c r="W110" s="198"/>
      <c r="X110" s="198"/>
      <c r="Y110" s="116"/>
      <c r="Z110" s="195"/>
      <c r="AA110" s="202"/>
      <c r="AB110" s="197">
        <f t="shared" si="57"/>
        <v>0</v>
      </c>
      <c r="AC110" s="88"/>
      <c r="AD110" s="116"/>
      <c r="AE110" s="114"/>
    </row>
    <row r="111" spans="1:31" s="28" customFormat="1" ht="12.95" customHeight="1" x14ac:dyDescent="0.35">
      <c r="A111" s="210">
        <v>521113</v>
      </c>
      <c r="B111" s="211" t="s">
        <v>113</v>
      </c>
      <c r="C111" s="105"/>
      <c r="D111" s="105"/>
      <c r="E111" s="105"/>
      <c r="F111" s="105"/>
      <c r="G111" s="106"/>
      <c r="H111" s="188"/>
      <c r="I111" s="171"/>
      <c r="J111" s="170"/>
      <c r="K111" s="189"/>
      <c r="L111" s="105"/>
      <c r="M111" s="105"/>
      <c r="N111" s="105"/>
      <c r="O111" s="112"/>
      <c r="P111" s="105"/>
      <c r="Q111" s="212"/>
      <c r="R111" s="213"/>
      <c r="S111" s="113"/>
      <c r="T111" s="190"/>
      <c r="U111" s="191"/>
      <c r="V111" s="191"/>
      <c r="W111" s="191"/>
      <c r="X111" s="191"/>
      <c r="Y111" s="192"/>
      <c r="Z111" s="190"/>
      <c r="AA111" s="214"/>
      <c r="AB111" s="193">
        <f t="shared" si="57"/>
        <v>0</v>
      </c>
      <c r="AC111" s="177"/>
      <c r="AD111" s="192"/>
      <c r="AE111" s="179"/>
    </row>
    <row r="112" spans="1:31" ht="12.95" customHeight="1" x14ac:dyDescent="0.35">
      <c r="A112" s="135"/>
      <c r="B112" s="215" t="s">
        <v>82</v>
      </c>
      <c r="C112" s="216" t="s">
        <v>114</v>
      </c>
      <c r="D112" s="111"/>
      <c r="E112" s="217"/>
      <c r="F112" s="217"/>
      <c r="G112" s="218"/>
      <c r="H112" s="107"/>
      <c r="I112" s="108"/>
      <c r="J112" s="109"/>
      <c r="K112" s="110"/>
      <c r="L112" s="111"/>
      <c r="M112" s="111"/>
      <c r="N112" s="111"/>
      <c r="O112" s="134">
        <v>22</v>
      </c>
      <c r="P112" s="111" t="s">
        <v>115</v>
      </c>
      <c r="Q112" s="207">
        <v>210000</v>
      </c>
      <c r="R112" s="107">
        <f>O112*264000</f>
        <v>5808000</v>
      </c>
      <c r="S112" s="85">
        <f t="shared" ref="S112" si="63">+R112/$R$184*100</f>
        <v>0.25938031862514138</v>
      </c>
      <c r="T112" s="99"/>
      <c r="U112" s="87"/>
      <c r="V112" s="87"/>
      <c r="W112" s="87"/>
      <c r="X112" s="87"/>
      <c r="Y112" s="88">
        <v>0</v>
      </c>
      <c r="Z112" s="99">
        <f t="shared" ref="Z112" si="64">+Y112/R112*100</f>
        <v>0</v>
      </c>
      <c r="AA112" s="100">
        <f t="shared" ref="AA112" si="65">Z112</f>
        <v>0</v>
      </c>
      <c r="AB112" s="99">
        <f t="shared" si="57"/>
        <v>0</v>
      </c>
      <c r="AC112" s="88"/>
      <c r="AD112" s="88">
        <f t="shared" ref="AD112" si="66">+R112-Y112</f>
        <v>5808000</v>
      </c>
      <c r="AE112" s="86"/>
    </row>
    <row r="113" spans="1:31" ht="12.95" customHeight="1" x14ac:dyDescent="0.35">
      <c r="A113" s="135"/>
      <c r="B113" s="215"/>
      <c r="C113" s="216"/>
      <c r="D113" s="111"/>
      <c r="E113" s="217"/>
      <c r="F113" s="217"/>
      <c r="G113" s="218"/>
      <c r="H113" s="107"/>
      <c r="I113" s="108"/>
      <c r="J113" s="109"/>
      <c r="K113" s="110"/>
      <c r="L113" s="111"/>
      <c r="M113" s="111"/>
      <c r="N113" s="111"/>
      <c r="O113" s="134"/>
      <c r="P113" s="111"/>
      <c r="Q113" s="207"/>
      <c r="R113" s="107"/>
      <c r="S113" s="113"/>
      <c r="T113" s="195"/>
      <c r="U113" s="198"/>
      <c r="V113" s="198"/>
      <c r="W113" s="198"/>
      <c r="X113" s="198"/>
      <c r="Y113" s="116"/>
      <c r="Z113" s="195"/>
      <c r="AA113" s="202"/>
      <c r="AB113" s="197"/>
      <c r="AC113" s="116"/>
      <c r="AD113" s="116"/>
      <c r="AE113" s="114"/>
    </row>
    <row r="114" spans="1:31" ht="12.95" customHeight="1" x14ac:dyDescent="0.35">
      <c r="A114" s="103" t="s">
        <v>116</v>
      </c>
      <c r="B114" s="104" t="s">
        <v>254</v>
      </c>
      <c r="C114" s="105"/>
      <c r="D114" s="105"/>
      <c r="E114" s="111"/>
      <c r="F114" s="111"/>
      <c r="G114" s="137"/>
      <c r="H114" s="107"/>
      <c r="I114" s="108"/>
      <c r="J114" s="109"/>
      <c r="K114" s="110"/>
      <c r="L114" s="111"/>
      <c r="M114" s="111"/>
      <c r="N114" s="111"/>
      <c r="O114" s="134"/>
      <c r="P114" s="111"/>
      <c r="Q114" s="207"/>
      <c r="R114" s="170"/>
      <c r="S114" s="113"/>
      <c r="T114" s="195"/>
      <c r="U114" s="198"/>
      <c r="V114" s="198"/>
      <c r="W114" s="198"/>
      <c r="X114" s="198"/>
      <c r="Y114" s="116"/>
      <c r="Z114" s="195"/>
      <c r="AA114" s="202"/>
      <c r="AB114" s="197"/>
      <c r="AC114" s="116"/>
      <c r="AD114" s="116"/>
      <c r="AE114" s="114"/>
    </row>
    <row r="115" spans="1:31" s="28" customFormat="1" ht="12.95" customHeight="1" x14ac:dyDescent="0.35">
      <c r="A115" s="219">
        <v>521119</v>
      </c>
      <c r="B115" s="211" t="s">
        <v>117</v>
      </c>
      <c r="C115" s="105"/>
      <c r="D115" s="105"/>
      <c r="E115" s="105"/>
      <c r="F115" s="105"/>
      <c r="G115" s="106"/>
      <c r="H115" s="188"/>
      <c r="I115" s="171"/>
      <c r="J115" s="170"/>
      <c r="K115" s="189"/>
      <c r="L115" s="105"/>
      <c r="M115" s="105"/>
      <c r="N115" s="105"/>
      <c r="O115" s="112"/>
      <c r="P115" s="105"/>
      <c r="Q115" s="212"/>
      <c r="R115" s="213"/>
      <c r="S115" s="113"/>
      <c r="T115" s="190"/>
      <c r="U115" s="191"/>
      <c r="V115" s="191"/>
      <c r="W115" s="191"/>
      <c r="X115" s="191"/>
      <c r="Y115" s="192"/>
      <c r="Z115" s="190"/>
      <c r="AA115" s="214"/>
      <c r="AB115" s="193"/>
      <c r="AC115" s="192"/>
      <c r="AD115" s="192"/>
      <c r="AE115" s="179"/>
    </row>
    <row r="116" spans="1:31" ht="12.95" customHeight="1" x14ac:dyDescent="0.35">
      <c r="A116" s="135"/>
      <c r="B116" s="215" t="s">
        <v>82</v>
      </c>
      <c r="C116" s="140" t="s">
        <v>118</v>
      </c>
      <c r="D116" s="111"/>
      <c r="E116" s="217"/>
      <c r="F116" s="217"/>
      <c r="G116" s="218"/>
      <c r="H116" s="107"/>
      <c r="I116" s="108"/>
      <c r="J116" s="109"/>
      <c r="K116" s="110"/>
      <c r="L116" s="111"/>
      <c r="M116" s="111"/>
      <c r="N116" s="111"/>
      <c r="O116" s="220">
        <v>22</v>
      </c>
      <c r="P116" s="221" t="s">
        <v>115</v>
      </c>
      <c r="Q116" s="222"/>
      <c r="R116" s="107">
        <f>O116*400000</f>
        <v>8800000</v>
      </c>
      <c r="S116" s="85">
        <f t="shared" ref="S116:S117" si="67">+R116/$R$184*100</f>
        <v>0.39300048276536576</v>
      </c>
      <c r="T116" s="99"/>
      <c r="U116" s="87"/>
      <c r="V116" s="87"/>
      <c r="W116" s="87"/>
      <c r="X116" s="87"/>
      <c r="Y116" s="88">
        <f>18*400000</f>
        <v>7200000</v>
      </c>
      <c r="Z116" s="99">
        <f t="shared" ref="Z116:Z117" si="68">+Y116/R116*100</f>
        <v>81.818181818181827</v>
      </c>
      <c r="AA116" s="100">
        <f t="shared" ref="AA116:AA117" si="69">Z116</f>
        <v>81.818181818181827</v>
      </c>
      <c r="AB116" s="99">
        <f t="shared" ref="AB116:AB117" si="70">AA116*S116/100</f>
        <v>0.32154584953529924</v>
      </c>
      <c r="AC116" s="88"/>
      <c r="AD116" s="88">
        <f t="shared" ref="AD116:AD117" si="71">+R116-Y116</f>
        <v>1600000</v>
      </c>
      <c r="AE116" s="86"/>
    </row>
    <row r="117" spans="1:31" ht="12.95" customHeight="1" x14ac:dyDescent="0.35">
      <c r="A117" s="135"/>
      <c r="B117" s="215" t="s">
        <v>82</v>
      </c>
      <c r="C117" s="111" t="s">
        <v>119</v>
      </c>
      <c r="D117" s="111"/>
      <c r="E117" s="217"/>
      <c r="F117" s="217"/>
      <c r="G117" s="218"/>
      <c r="H117" s="107"/>
      <c r="I117" s="108"/>
      <c r="J117" s="109"/>
      <c r="K117" s="110"/>
      <c r="L117" s="111"/>
      <c r="M117" s="111"/>
      <c r="N117" s="111"/>
      <c r="O117" s="220">
        <v>3</v>
      </c>
      <c r="P117" s="221" t="s">
        <v>115</v>
      </c>
      <c r="Q117" s="222"/>
      <c r="R117" s="107">
        <f>O117*450000</f>
        <v>1350000</v>
      </c>
      <c r="S117" s="85">
        <f t="shared" si="67"/>
        <v>6.0289846787868612E-2</v>
      </c>
      <c r="T117" s="99"/>
      <c r="U117" s="87"/>
      <c r="V117" s="87"/>
      <c r="W117" s="87"/>
      <c r="X117" s="87"/>
      <c r="Y117" s="88">
        <v>1350000</v>
      </c>
      <c r="Z117" s="99">
        <f t="shared" si="68"/>
        <v>100</v>
      </c>
      <c r="AA117" s="100">
        <f t="shared" si="69"/>
        <v>100</v>
      </c>
      <c r="AB117" s="99">
        <f t="shared" si="70"/>
        <v>6.0289846787868612E-2</v>
      </c>
      <c r="AC117" s="88"/>
      <c r="AD117" s="88">
        <f t="shared" si="71"/>
        <v>0</v>
      </c>
      <c r="AE117" s="114"/>
    </row>
    <row r="118" spans="1:31" s="28" customFormat="1" ht="12.95" customHeight="1" x14ac:dyDescent="0.35">
      <c r="A118" s="219"/>
      <c r="B118" s="211"/>
      <c r="C118" s="105"/>
      <c r="D118" s="105"/>
      <c r="E118" s="105"/>
      <c r="F118" s="105"/>
      <c r="G118" s="106"/>
      <c r="H118" s="188"/>
      <c r="I118" s="171"/>
      <c r="J118" s="170"/>
      <c r="K118" s="189"/>
      <c r="L118" s="105"/>
      <c r="M118" s="105"/>
      <c r="N118" s="105"/>
      <c r="O118" s="112"/>
      <c r="P118" s="105"/>
      <c r="Q118" s="212"/>
      <c r="R118" s="213"/>
      <c r="S118" s="113"/>
      <c r="T118" s="190"/>
      <c r="U118" s="191"/>
      <c r="V118" s="191"/>
      <c r="W118" s="191"/>
      <c r="X118" s="191"/>
      <c r="Y118" s="192"/>
      <c r="Z118" s="190"/>
      <c r="AA118" s="214"/>
      <c r="AB118" s="193"/>
      <c r="AC118" s="192"/>
      <c r="AD118" s="192"/>
      <c r="AE118" s="179"/>
    </row>
    <row r="119" spans="1:31" ht="12.95" customHeight="1" x14ac:dyDescent="0.35">
      <c r="A119" s="103" t="s">
        <v>120</v>
      </c>
      <c r="B119" s="104" t="s">
        <v>255</v>
      </c>
      <c r="C119" s="105"/>
      <c r="D119" s="105"/>
      <c r="E119" s="105"/>
      <c r="F119" s="105"/>
      <c r="G119" s="106"/>
      <c r="H119" s="107"/>
      <c r="I119" s="108"/>
      <c r="J119" s="109"/>
      <c r="K119" s="110"/>
      <c r="L119" s="111"/>
      <c r="M119" s="111"/>
      <c r="N119" s="111"/>
      <c r="O119" s="134"/>
      <c r="P119" s="111"/>
      <c r="Q119" s="207"/>
      <c r="R119" s="170"/>
      <c r="S119" s="113"/>
      <c r="T119" s="195"/>
      <c r="U119" s="198"/>
      <c r="V119" s="198"/>
      <c r="W119" s="198"/>
      <c r="X119" s="198"/>
      <c r="Y119" s="116"/>
      <c r="Z119" s="195"/>
      <c r="AA119" s="202"/>
      <c r="AB119" s="197"/>
      <c r="AC119" s="116"/>
      <c r="AD119" s="116"/>
      <c r="AE119" s="114"/>
    </row>
    <row r="120" spans="1:31" s="28" customFormat="1" ht="12.95" customHeight="1" x14ac:dyDescent="0.35">
      <c r="A120" s="210">
        <v>523111</v>
      </c>
      <c r="B120" s="211" t="s">
        <v>121</v>
      </c>
      <c r="C120" s="105"/>
      <c r="D120" s="105"/>
      <c r="E120" s="105"/>
      <c r="F120" s="105"/>
      <c r="G120" s="106"/>
      <c r="H120" s="188"/>
      <c r="I120" s="171"/>
      <c r="J120" s="170"/>
      <c r="K120" s="189"/>
      <c r="L120" s="105"/>
      <c r="M120" s="105"/>
      <c r="N120" s="105"/>
      <c r="O120" s="112"/>
      <c r="P120" s="105"/>
      <c r="Q120" s="212"/>
      <c r="R120" s="170"/>
      <c r="S120" s="113"/>
      <c r="T120" s="190"/>
      <c r="U120" s="191"/>
      <c r="V120" s="191"/>
      <c r="W120" s="191"/>
      <c r="X120" s="191"/>
      <c r="Y120" s="192"/>
      <c r="Z120" s="190"/>
      <c r="AA120" s="214"/>
      <c r="AB120" s="193"/>
      <c r="AC120" s="192"/>
      <c r="AD120" s="192"/>
      <c r="AE120" s="179"/>
    </row>
    <row r="121" spans="1:31" ht="12.95" customHeight="1" x14ac:dyDescent="0.35">
      <c r="A121" s="135"/>
      <c r="B121" s="223" t="s">
        <v>82</v>
      </c>
      <c r="C121" s="111" t="s">
        <v>122</v>
      </c>
      <c r="D121" s="111"/>
      <c r="E121" s="111"/>
      <c r="F121" s="111"/>
      <c r="G121" s="137"/>
      <c r="H121" s="107"/>
      <c r="I121" s="108"/>
      <c r="J121" s="109"/>
      <c r="K121" s="110"/>
      <c r="L121" s="111"/>
      <c r="M121" s="111"/>
      <c r="N121" s="111"/>
      <c r="O121" s="107">
        <v>229</v>
      </c>
      <c r="P121" s="108" t="s">
        <v>105</v>
      </c>
      <c r="Q121" s="207"/>
      <c r="R121" s="107">
        <f>O121*119000</f>
        <v>27251000</v>
      </c>
      <c r="S121" s="85">
        <f t="shared" ref="S121:S122" si="72">+R121/$R$184*100</f>
        <v>1.2170063813453389</v>
      </c>
      <c r="T121" s="99"/>
      <c r="U121" s="87"/>
      <c r="V121" s="87"/>
      <c r="W121" s="87"/>
      <c r="X121" s="87"/>
      <c r="Y121" s="88">
        <v>0</v>
      </c>
      <c r="Z121" s="99">
        <f t="shared" ref="Z121:Z122" si="73">+Y121/R121*100</f>
        <v>0</v>
      </c>
      <c r="AA121" s="100">
        <f t="shared" ref="AA121:AA122" si="74">Z121</f>
        <v>0</v>
      </c>
      <c r="AB121" s="99">
        <f t="shared" ref="AB121:AB122" si="75">AA121*S121/100</f>
        <v>0</v>
      </c>
      <c r="AC121" s="88"/>
      <c r="AD121" s="88">
        <f t="shared" ref="AD121:AD122" si="76">+R121-Y121</f>
        <v>27251000</v>
      </c>
      <c r="AE121" s="86"/>
    </row>
    <row r="122" spans="1:31" ht="12.95" customHeight="1" x14ac:dyDescent="0.35">
      <c r="A122" s="135"/>
      <c r="B122" s="223" t="s">
        <v>82</v>
      </c>
      <c r="C122" s="140" t="s">
        <v>123</v>
      </c>
      <c r="D122" s="111"/>
      <c r="E122" s="111"/>
      <c r="F122" s="111"/>
      <c r="G122" s="137"/>
      <c r="H122" s="107"/>
      <c r="I122" s="108"/>
      <c r="J122" s="109"/>
      <c r="K122" s="110"/>
      <c r="L122" s="111"/>
      <c r="M122" s="111"/>
      <c r="N122" s="111"/>
      <c r="O122" s="107">
        <v>680</v>
      </c>
      <c r="P122" s="108" t="s">
        <v>105</v>
      </c>
      <c r="Q122" s="207"/>
      <c r="R122" s="107">
        <f>O122*13000</f>
        <v>8840000</v>
      </c>
      <c r="S122" s="85">
        <f t="shared" si="72"/>
        <v>0.39478684859611746</v>
      </c>
      <c r="T122" s="99"/>
      <c r="U122" s="87"/>
      <c r="V122" s="87"/>
      <c r="W122" s="87"/>
      <c r="X122" s="87"/>
      <c r="Y122" s="88">
        <v>0</v>
      </c>
      <c r="Z122" s="99">
        <f t="shared" si="73"/>
        <v>0</v>
      </c>
      <c r="AA122" s="100">
        <f t="shared" si="74"/>
        <v>0</v>
      </c>
      <c r="AB122" s="99">
        <f t="shared" si="75"/>
        <v>0</v>
      </c>
      <c r="AC122" s="88"/>
      <c r="AD122" s="88">
        <f t="shared" si="76"/>
        <v>8840000</v>
      </c>
      <c r="AE122" s="114"/>
    </row>
    <row r="123" spans="1:31" ht="12.95" customHeight="1" x14ac:dyDescent="0.35">
      <c r="A123" s="135"/>
      <c r="B123" s="223"/>
      <c r="C123" s="111"/>
      <c r="D123" s="111"/>
      <c r="E123" s="111"/>
      <c r="F123" s="111"/>
      <c r="G123" s="137"/>
      <c r="H123" s="107"/>
      <c r="I123" s="108"/>
      <c r="J123" s="109"/>
      <c r="K123" s="110"/>
      <c r="L123" s="111"/>
      <c r="M123" s="111"/>
      <c r="N123" s="111"/>
      <c r="O123" s="134"/>
      <c r="P123" s="111"/>
      <c r="Q123" s="207"/>
      <c r="R123" s="107"/>
      <c r="S123" s="113"/>
      <c r="T123" s="195"/>
      <c r="U123" s="198"/>
      <c r="V123" s="198"/>
      <c r="W123" s="198"/>
      <c r="X123" s="198"/>
      <c r="Y123" s="116"/>
      <c r="Z123" s="195"/>
      <c r="AA123" s="202"/>
      <c r="AB123" s="197"/>
      <c r="AC123" s="116"/>
      <c r="AD123" s="116"/>
      <c r="AE123" s="114"/>
    </row>
    <row r="124" spans="1:31" ht="12.95" customHeight="1" x14ac:dyDescent="0.35">
      <c r="A124" s="103" t="s">
        <v>124</v>
      </c>
      <c r="B124" s="104" t="s">
        <v>256</v>
      </c>
      <c r="C124" s="105"/>
      <c r="D124" s="105"/>
      <c r="E124" s="105"/>
      <c r="F124" s="105"/>
      <c r="G124" s="106"/>
      <c r="H124" s="107"/>
      <c r="I124" s="108"/>
      <c r="J124" s="109"/>
      <c r="K124" s="110"/>
      <c r="L124" s="111"/>
      <c r="M124" s="111"/>
      <c r="N124" s="111"/>
      <c r="O124" s="134"/>
      <c r="P124" s="111"/>
      <c r="Q124" s="207"/>
      <c r="R124" s="170"/>
      <c r="S124" s="113"/>
      <c r="T124" s="195"/>
      <c r="U124" s="198"/>
      <c r="V124" s="198"/>
      <c r="W124" s="198"/>
      <c r="X124" s="198"/>
      <c r="Y124" s="116"/>
      <c r="Z124" s="195"/>
      <c r="AA124" s="202"/>
      <c r="AB124" s="197"/>
      <c r="AC124" s="116"/>
      <c r="AD124" s="116"/>
      <c r="AE124" s="114"/>
    </row>
    <row r="125" spans="1:31" s="28" customFormat="1" ht="12.95" customHeight="1" x14ac:dyDescent="0.35">
      <c r="A125" s="210">
        <v>523121</v>
      </c>
      <c r="B125" s="211" t="s">
        <v>125</v>
      </c>
      <c r="C125" s="105"/>
      <c r="D125" s="105"/>
      <c r="E125" s="105"/>
      <c r="F125" s="105"/>
      <c r="G125" s="106"/>
      <c r="H125" s="188"/>
      <c r="I125" s="171"/>
      <c r="J125" s="170"/>
      <c r="K125" s="189"/>
      <c r="L125" s="105"/>
      <c r="M125" s="105"/>
      <c r="N125" s="105"/>
      <c r="O125" s="112"/>
      <c r="P125" s="105"/>
      <c r="Q125" s="212"/>
      <c r="R125" s="170"/>
      <c r="S125" s="113"/>
      <c r="T125" s="190"/>
      <c r="U125" s="191"/>
      <c r="V125" s="191"/>
      <c r="W125" s="191"/>
      <c r="X125" s="191"/>
      <c r="Y125" s="192"/>
      <c r="Z125" s="190"/>
      <c r="AA125" s="214"/>
      <c r="AB125" s="193"/>
      <c r="AC125" s="192"/>
      <c r="AD125" s="192"/>
      <c r="AE125" s="179"/>
    </row>
    <row r="126" spans="1:31" ht="12.95" customHeight="1" x14ac:dyDescent="0.35">
      <c r="A126" s="135"/>
      <c r="B126" s="215" t="s">
        <v>82</v>
      </c>
      <c r="C126" s="111" t="s">
        <v>126</v>
      </c>
      <c r="D126" s="111"/>
      <c r="E126" s="111"/>
      <c r="F126" s="111"/>
      <c r="G126" s="137"/>
      <c r="H126" s="107"/>
      <c r="I126" s="108"/>
      <c r="J126" s="109"/>
      <c r="K126" s="110"/>
      <c r="L126" s="111"/>
      <c r="M126" s="111"/>
      <c r="N126" s="111"/>
      <c r="O126" s="134">
        <v>8</v>
      </c>
      <c r="P126" s="111" t="s">
        <v>127</v>
      </c>
      <c r="Q126" s="207"/>
      <c r="R126" s="107">
        <f>O126*420000</f>
        <v>3360000</v>
      </c>
      <c r="S126" s="85">
        <f t="shared" ref="S126:S137" si="77">+R126/$R$184*100</f>
        <v>0.15005472978313966</v>
      </c>
      <c r="T126" s="99"/>
      <c r="U126" s="87"/>
      <c r="V126" s="87"/>
      <c r="W126" s="87"/>
      <c r="X126" s="87"/>
      <c r="Y126" s="88">
        <v>303000</v>
      </c>
      <c r="Z126" s="99">
        <f t="shared" ref="Z126:Z137" si="78">+Y126/R126*100</f>
        <v>9.0178571428571423</v>
      </c>
      <c r="AA126" s="100">
        <f t="shared" ref="AA126:AA135" si="79">Z126</f>
        <v>9.0178571428571423</v>
      </c>
      <c r="AB126" s="99">
        <f t="shared" ref="AB126:AB137" si="80">AA126*S126/100</f>
        <v>1.3531721167943845E-2</v>
      </c>
      <c r="AC126" s="88"/>
      <c r="AD126" s="88">
        <f t="shared" ref="AD126:AD137" si="81">+R126-Y126</f>
        <v>3057000</v>
      </c>
      <c r="AE126" s="86"/>
    </row>
    <row r="127" spans="1:31" ht="12.95" customHeight="1" x14ac:dyDescent="0.35">
      <c r="A127" s="135"/>
      <c r="B127" s="215" t="s">
        <v>82</v>
      </c>
      <c r="C127" s="111" t="s">
        <v>128</v>
      </c>
      <c r="D127" s="111"/>
      <c r="E127" s="111"/>
      <c r="F127" s="111"/>
      <c r="G127" s="137"/>
      <c r="H127" s="107"/>
      <c r="I127" s="108"/>
      <c r="J127" s="109"/>
      <c r="K127" s="110"/>
      <c r="L127" s="111"/>
      <c r="M127" s="111"/>
      <c r="N127" s="111"/>
      <c r="O127" s="134">
        <v>3</v>
      </c>
      <c r="P127" s="111" t="s">
        <v>127</v>
      </c>
      <c r="Q127" s="207"/>
      <c r="R127" s="107">
        <f>O127*500000</f>
        <v>1500000</v>
      </c>
      <c r="S127" s="85">
        <f t="shared" si="77"/>
        <v>6.6988718653187354E-2</v>
      </c>
      <c r="T127" s="99"/>
      <c r="U127" s="87"/>
      <c r="V127" s="87"/>
      <c r="W127" s="87"/>
      <c r="X127" s="87"/>
      <c r="Y127" s="88">
        <v>0</v>
      </c>
      <c r="Z127" s="99">
        <f t="shared" si="78"/>
        <v>0</v>
      </c>
      <c r="AA127" s="100">
        <f t="shared" si="79"/>
        <v>0</v>
      </c>
      <c r="AB127" s="99">
        <f t="shared" si="80"/>
        <v>0</v>
      </c>
      <c r="AC127" s="88"/>
      <c r="AD127" s="88">
        <f t="shared" si="81"/>
        <v>1500000</v>
      </c>
      <c r="AE127" s="114"/>
    </row>
    <row r="128" spans="1:31" ht="12.95" customHeight="1" x14ac:dyDescent="0.35">
      <c r="A128" s="135"/>
      <c r="B128" s="215" t="s">
        <v>82</v>
      </c>
      <c r="C128" s="111" t="s">
        <v>129</v>
      </c>
      <c r="D128" s="111"/>
      <c r="E128" s="111"/>
      <c r="F128" s="111"/>
      <c r="G128" s="137"/>
      <c r="H128" s="107"/>
      <c r="I128" s="108"/>
      <c r="J128" s="109"/>
      <c r="K128" s="110"/>
      <c r="L128" s="111"/>
      <c r="M128" s="111"/>
      <c r="N128" s="111"/>
      <c r="O128" s="134">
        <v>12</v>
      </c>
      <c r="P128" s="111" t="s">
        <v>127</v>
      </c>
      <c r="Q128" s="207"/>
      <c r="R128" s="107">
        <f>O128*550000</f>
        <v>6600000</v>
      </c>
      <c r="S128" s="85">
        <f t="shared" si="77"/>
        <v>0.29475036207402433</v>
      </c>
      <c r="T128" s="99"/>
      <c r="U128" s="87"/>
      <c r="V128" s="87"/>
      <c r="W128" s="87"/>
      <c r="X128" s="87"/>
      <c r="Y128" s="88">
        <v>0</v>
      </c>
      <c r="Z128" s="99">
        <f t="shared" si="78"/>
        <v>0</v>
      </c>
      <c r="AA128" s="100">
        <f t="shared" si="79"/>
        <v>0</v>
      </c>
      <c r="AB128" s="99">
        <f t="shared" si="80"/>
        <v>0</v>
      </c>
      <c r="AC128" s="88"/>
      <c r="AD128" s="88">
        <f t="shared" si="81"/>
        <v>6600000</v>
      </c>
      <c r="AE128" s="114"/>
    </row>
    <row r="129" spans="1:31" ht="12.95" customHeight="1" x14ac:dyDescent="0.35">
      <c r="A129" s="135"/>
      <c r="B129" s="215" t="s">
        <v>82</v>
      </c>
      <c r="C129" s="111" t="s">
        <v>130</v>
      </c>
      <c r="D129" s="111"/>
      <c r="E129" s="111"/>
      <c r="F129" s="111"/>
      <c r="G129" s="137"/>
      <c r="H129" s="107"/>
      <c r="I129" s="108"/>
      <c r="J129" s="109"/>
      <c r="K129" s="110"/>
      <c r="L129" s="111"/>
      <c r="M129" s="111"/>
      <c r="N129" s="111"/>
      <c r="O129" s="134">
        <v>1</v>
      </c>
      <c r="P129" s="111" t="s">
        <v>127</v>
      </c>
      <c r="Q129" s="207"/>
      <c r="R129" s="107">
        <f>O129*500000</f>
        <v>500000</v>
      </c>
      <c r="S129" s="85">
        <f t="shared" si="77"/>
        <v>2.2329572884395781E-2</v>
      </c>
      <c r="T129" s="99"/>
      <c r="U129" s="87"/>
      <c r="V129" s="87"/>
      <c r="W129" s="87"/>
      <c r="X129" s="87"/>
      <c r="Y129" s="88">
        <v>0</v>
      </c>
      <c r="Z129" s="99">
        <f t="shared" si="78"/>
        <v>0</v>
      </c>
      <c r="AA129" s="100">
        <f t="shared" si="79"/>
        <v>0</v>
      </c>
      <c r="AB129" s="99">
        <f t="shared" si="80"/>
        <v>0</v>
      </c>
      <c r="AC129" s="88"/>
      <c r="AD129" s="88">
        <f t="shared" si="81"/>
        <v>500000</v>
      </c>
      <c r="AE129" s="114"/>
    </row>
    <row r="130" spans="1:31" ht="12.95" customHeight="1" x14ac:dyDescent="0.35">
      <c r="A130" s="135"/>
      <c r="B130" s="215" t="s">
        <v>82</v>
      </c>
      <c r="C130" s="111" t="s">
        <v>131</v>
      </c>
      <c r="D130" s="111"/>
      <c r="E130" s="111"/>
      <c r="F130" s="111"/>
      <c r="G130" s="137"/>
      <c r="H130" s="107"/>
      <c r="I130" s="108"/>
      <c r="J130" s="109"/>
      <c r="K130" s="110"/>
      <c r="L130" s="111"/>
      <c r="M130" s="111"/>
      <c r="N130" s="111"/>
      <c r="O130" s="134">
        <v>2</v>
      </c>
      <c r="P130" s="111" t="s">
        <v>127</v>
      </c>
      <c r="Q130" s="207"/>
      <c r="R130" s="107">
        <f>O130*800000</f>
        <v>1600000</v>
      </c>
      <c r="S130" s="85">
        <f t="shared" si="77"/>
        <v>7.1454633230066497E-2</v>
      </c>
      <c r="T130" s="99"/>
      <c r="U130" s="87"/>
      <c r="V130" s="87"/>
      <c r="W130" s="87"/>
      <c r="X130" s="87"/>
      <c r="Y130" s="88">
        <v>0</v>
      </c>
      <c r="Z130" s="99">
        <f t="shared" si="78"/>
        <v>0</v>
      </c>
      <c r="AA130" s="100">
        <f t="shared" si="79"/>
        <v>0</v>
      </c>
      <c r="AB130" s="99">
        <f t="shared" si="80"/>
        <v>0</v>
      </c>
      <c r="AC130" s="88"/>
      <c r="AD130" s="88">
        <f t="shared" si="81"/>
        <v>1600000</v>
      </c>
      <c r="AE130" s="114"/>
    </row>
    <row r="131" spans="1:31" ht="12.95" customHeight="1" x14ac:dyDescent="0.35">
      <c r="A131" s="135"/>
      <c r="B131" s="215" t="s">
        <v>82</v>
      </c>
      <c r="C131" s="111" t="s">
        <v>132</v>
      </c>
      <c r="D131" s="111"/>
      <c r="E131" s="111"/>
      <c r="F131" s="111"/>
      <c r="G131" s="137"/>
      <c r="H131" s="107"/>
      <c r="I131" s="108"/>
      <c r="J131" s="109"/>
      <c r="K131" s="110"/>
      <c r="L131" s="111"/>
      <c r="M131" s="111"/>
      <c r="N131" s="111"/>
      <c r="O131" s="134">
        <v>2</v>
      </c>
      <c r="P131" s="111" t="s">
        <v>127</v>
      </c>
      <c r="Q131" s="207"/>
      <c r="R131" s="107">
        <f>O131*5346000</f>
        <v>10692000</v>
      </c>
      <c r="S131" s="85">
        <f t="shared" si="77"/>
        <v>0.47749558655991942</v>
      </c>
      <c r="T131" s="99"/>
      <c r="U131" s="87"/>
      <c r="V131" s="87"/>
      <c r="W131" s="87"/>
      <c r="X131" s="87"/>
      <c r="Y131" s="88">
        <f>875000+1290000</f>
        <v>2165000</v>
      </c>
      <c r="Z131" s="99">
        <f t="shared" si="78"/>
        <v>20.248784137673027</v>
      </c>
      <c r="AA131" s="100">
        <f t="shared" si="79"/>
        <v>20.248784137673027</v>
      </c>
      <c r="AB131" s="99">
        <f t="shared" si="80"/>
        <v>9.6687050589433735E-2</v>
      </c>
      <c r="AC131" s="88"/>
      <c r="AD131" s="88">
        <f t="shared" si="81"/>
        <v>8527000</v>
      </c>
      <c r="AE131" s="114"/>
    </row>
    <row r="132" spans="1:31" ht="12.95" customHeight="1" x14ac:dyDescent="0.35">
      <c r="A132" s="135"/>
      <c r="B132" s="223" t="s">
        <v>82</v>
      </c>
      <c r="C132" s="111" t="s">
        <v>133</v>
      </c>
      <c r="D132" s="111"/>
      <c r="E132" s="111"/>
      <c r="F132" s="111"/>
      <c r="G132" s="137"/>
      <c r="H132" s="107"/>
      <c r="I132" s="108"/>
      <c r="J132" s="109"/>
      <c r="K132" s="110"/>
      <c r="L132" s="111"/>
      <c r="M132" s="111"/>
      <c r="N132" s="111"/>
      <c r="O132" s="134">
        <v>6</v>
      </c>
      <c r="P132" s="111" t="s">
        <v>127</v>
      </c>
      <c r="Q132" s="207"/>
      <c r="R132" s="107">
        <f>O132*500000</f>
        <v>3000000</v>
      </c>
      <c r="S132" s="85">
        <f t="shared" si="77"/>
        <v>0.13397743730637471</v>
      </c>
      <c r="T132" s="99"/>
      <c r="U132" s="87"/>
      <c r="V132" s="87"/>
      <c r="W132" s="87"/>
      <c r="X132" s="87"/>
      <c r="Y132" s="88">
        <v>0</v>
      </c>
      <c r="Z132" s="99">
        <f t="shared" si="78"/>
        <v>0</v>
      </c>
      <c r="AA132" s="100">
        <f t="shared" si="79"/>
        <v>0</v>
      </c>
      <c r="AB132" s="99">
        <f t="shared" si="80"/>
        <v>0</v>
      </c>
      <c r="AC132" s="88"/>
      <c r="AD132" s="88">
        <f t="shared" si="81"/>
        <v>3000000</v>
      </c>
      <c r="AE132" s="114"/>
    </row>
    <row r="133" spans="1:31" ht="12.95" customHeight="1" x14ac:dyDescent="0.35">
      <c r="A133" s="135"/>
      <c r="B133" s="215" t="s">
        <v>82</v>
      </c>
      <c r="C133" s="111" t="s">
        <v>134</v>
      </c>
      <c r="D133" s="111"/>
      <c r="E133" s="111"/>
      <c r="F133" s="111"/>
      <c r="G133" s="137"/>
      <c r="H133" s="107"/>
      <c r="I133" s="108"/>
      <c r="J133" s="109"/>
      <c r="K133" s="110"/>
      <c r="L133" s="111"/>
      <c r="M133" s="111"/>
      <c r="N133" s="111"/>
      <c r="O133" s="134">
        <v>1</v>
      </c>
      <c r="P133" s="111" t="s">
        <v>127</v>
      </c>
      <c r="Q133" s="207"/>
      <c r="R133" s="107">
        <f>O133*1200000</f>
        <v>1200000</v>
      </c>
      <c r="S133" s="85">
        <f t="shared" si="77"/>
        <v>5.3590974922549883E-2</v>
      </c>
      <c r="T133" s="99"/>
      <c r="U133" s="87"/>
      <c r="V133" s="87"/>
      <c r="W133" s="87"/>
      <c r="X133" s="87"/>
      <c r="Y133" s="88">
        <v>0</v>
      </c>
      <c r="Z133" s="99">
        <f t="shared" si="78"/>
        <v>0</v>
      </c>
      <c r="AA133" s="100">
        <f t="shared" si="79"/>
        <v>0</v>
      </c>
      <c r="AB133" s="99">
        <f t="shared" si="80"/>
        <v>0</v>
      </c>
      <c r="AC133" s="88"/>
      <c r="AD133" s="88">
        <f t="shared" si="81"/>
        <v>1200000</v>
      </c>
      <c r="AE133" s="114"/>
    </row>
    <row r="134" spans="1:31" ht="12.95" customHeight="1" x14ac:dyDescent="0.35">
      <c r="A134" s="135"/>
      <c r="B134" s="215" t="s">
        <v>82</v>
      </c>
      <c r="C134" s="111" t="s">
        <v>135</v>
      </c>
      <c r="D134" s="111"/>
      <c r="E134" s="111"/>
      <c r="F134" s="111"/>
      <c r="G134" s="137"/>
      <c r="H134" s="107"/>
      <c r="I134" s="108"/>
      <c r="J134" s="109"/>
      <c r="K134" s="110"/>
      <c r="L134" s="111"/>
      <c r="M134" s="111"/>
      <c r="N134" s="111"/>
      <c r="O134" s="134">
        <v>4</v>
      </c>
      <c r="P134" s="111" t="s">
        <v>127</v>
      </c>
      <c r="Q134" s="207"/>
      <c r="R134" s="107">
        <f>O134*475000</f>
        <v>1900000</v>
      </c>
      <c r="S134" s="85">
        <f t="shared" si="77"/>
        <v>8.4852376960703968E-2</v>
      </c>
      <c r="T134" s="99"/>
      <c r="U134" s="87"/>
      <c r="V134" s="87"/>
      <c r="W134" s="87"/>
      <c r="X134" s="87"/>
      <c r="Y134" s="88">
        <v>0</v>
      </c>
      <c r="Z134" s="99">
        <f t="shared" si="78"/>
        <v>0</v>
      </c>
      <c r="AA134" s="100">
        <f t="shared" si="79"/>
        <v>0</v>
      </c>
      <c r="AB134" s="99">
        <f t="shared" si="80"/>
        <v>0</v>
      </c>
      <c r="AC134" s="88"/>
      <c r="AD134" s="88">
        <f t="shared" si="81"/>
        <v>1900000</v>
      </c>
      <c r="AE134" s="114"/>
    </row>
    <row r="135" spans="1:31" ht="12.95" customHeight="1" x14ac:dyDescent="0.35">
      <c r="A135" s="135"/>
      <c r="B135" s="223" t="s">
        <v>82</v>
      </c>
      <c r="C135" s="111" t="s">
        <v>136</v>
      </c>
      <c r="D135" s="111"/>
      <c r="E135" s="111"/>
      <c r="F135" s="111"/>
      <c r="G135" s="137"/>
      <c r="H135" s="107"/>
      <c r="I135" s="108"/>
      <c r="J135" s="109"/>
      <c r="K135" s="110"/>
      <c r="L135" s="111"/>
      <c r="M135" s="111"/>
      <c r="N135" s="111"/>
      <c r="O135" s="134">
        <v>1</v>
      </c>
      <c r="P135" s="111" t="s">
        <v>127</v>
      </c>
      <c r="Q135" s="207"/>
      <c r="R135" s="107">
        <f>O135*5000000</f>
        <v>5000000</v>
      </c>
      <c r="S135" s="85">
        <f t="shared" si="77"/>
        <v>0.22329572884395779</v>
      </c>
      <c r="T135" s="99"/>
      <c r="U135" s="87"/>
      <c r="V135" s="87"/>
      <c r="W135" s="87"/>
      <c r="X135" s="87"/>
      <c r="Y135" s="88">
        <v>0</v>
      </c>
      <c r="Z135" s="99">
        <f t="shared" si="78"/>
        <v>0</v>
      </c>
      <c r="AA135" s="100">
        <f t="shared" si="79"/>
        <v>0</v>
      </c>
      <c r="AB135" s="99">
        <f t="shared" si="80"/>
        <v>0</v>
      </c>
      <c r="AC135" s="88"/>
      <c r="AD135" s="88">
        <f t="shared" si="81"/>
        <v>5000000</v>
      </c>
      <c r="AE135" s="114"/>
    </row>
    <row r="136" spans="1:31" ht="12.95" customHeight="1" x14ac:dyDescent="0.35">
      <c r="A136" s="135"/>
      <c r="B136" s="223" t="s">
        <v>82</v>
      </c>
      <c r="C136" s="111" t="s">
        <v>137</v>
      </c>
      <c r="D136" s="111"/>
      <c r="E136" s="111"/>
      <c r="F136" s="111"/>
      <c r="G136" s="137"/>
      <c r="H136" s="107"/>
      <c r="I136" s="108"/>
      <c r="J136" s="109"/>
      <c r="K136" s="110"/>
      <c r="L136" s="111"/>
      <c r="M136" s="111"/>
      <c r="N136" s="111"/>
      <c r="O136" s="134">
        <v>1</v>
      </c>
      <c r="P136" s="111" t="s">
        <v>127</v>
      </c>
      <c r="Q136" s="207"/>
      <c r="R136" s="107">
        <f>O136*23000000</f>
        <v>23000000</v>
      </c>
      <c r="S136" s="85">
        <f t="shared" si="77"/>
        <v>1.027160352682206</v>
      </c>
      <c r="T136" s="99"/>
      <c r="U136" s="87"/>
      <c r="V136" s="87"/>
      <c r="W136" s="87"/>
      <c r="X136" s="87"/>
      <c r="Y136" s="88">
        <f>1600000*5+927000</f>
        <v>8927000</v>
      </c>
      <c r="Z136" s="99">
        <f t="shared" si="78"/>
        <v>38.813043478260866</v>
      </c>
      <c r="AA136" s="100">
        <f t="shared" ref="AA136:AA137" si="82">1/14*Z136</f>
        <v>2.7723602484472045</v>
      </c>
      <c r="AB136" s="99">
        <f t="shared" si="80"/>
        <v>2.8476585305571588E-2</v>
      </c>
      <c r="AC136" s="88"/>
      <c r="AD136" s="88">
        <f t="shared" si="81"/>
        <v>14073000</v>
      </c>
      <c r="AE136" s="114"/>
    </row>
    <row r="137" spans="1:31" ht="12.95" customHeight="1" x14ac:dyDescent="0.35">
      <c r="A137" s="135"/>
      <c r="B137" s="223" t="s">
        <v>82</v>
      </c>
      <c r="C137" s="111" t="s">
        <v>138</v>
      </c>
      <c r="D137" s="111"/>
      <c r="E137" s="111"/>
      <c r="F137" s="111"/>
      <c r="G137" s="137"/>
      <c r="H137" s="107"/>
      <c r="I137" s="108"/>
      <c r="J137" s="109"/>
      <c r="K137" s="110"/>
      <c r="L137" s="111"/>
      <c r="M137" s="111"/>
      <c r="N137" s="111"/>
      <c r="O137" s="134">
        <v>5</v>
      </c>
      <c r="P137" s="111" t="s">
        <v>127</v>
      </c>
      <c r="Q137" s="207"/>
      <c r="R137" s="107">
        <f>O137*3430000</f>
        <v>17150000</v>
      </c>
      <c r="S137" s="85">
        <f t="shared" si="77"/>
        <v>0.7659043499347753</v>
      </c>
      <c r="T137" s="99"/>
      <c r="U137" s="87"/>
      <c r="V137" s="87"/>
      <c r="W137" s="87"/>
      <c r="X137" s="87"/>
      <c r="Y137" s="88">
        <f>800000+800000+550000+261000+800000+260000+220000+607000+800000</f>
        <v>5098000</v>
      </c>
      <c r="Z137" s="99">
        <f t="shared" si="78"/>
        <v>29.725947521865891</v>
      </c>
      <c r="AA137" s="100">
        <f t="shared" si="82"/>
        <v>2.1232819658475637</v>
      </c>
      <c r="AB137" s="99">
        <f t="shared" si="80"/>
        <v>1.6262308937807099E-2</v>
      </c>
      <c r="AC137" s="88"/>
      <c r="AD137" s="88">
        <f t="shared" si="81"/>
        <v>12052000</v>
      </c>
      <c r="AE137" s="114"/>
    </row>
    <row r="138" spans="1:31" ht="12.95" customHeight="1" x14ac:dyDescent="0.35">
      <c r="A138" s="135"/>
      <c r="B138" s="223"/>
      <c r="C138" s="111"/>
      <c r="D138" s="111"/>
      <c r="E138" s="111"/>
      <c r="F138" s="111"/>
      <c r="G138" s="137"/>
      <c r="H138" s="107"/>
      <c r="I138" s="108"/>
      <c r="J138" s="109"/>
      <c r="K138" s="110"/>
      <c r="L138" s="111"/>
      <c r="M138" s="111"/>
      <c r="N138" s="111"/>
      <c r="O138" s="134"/>
      <c r="P138" s="111"/>
      <c r="Q138" s="207"/>
      <c r="R138" s="203"/>
      <c r="S138" s="113"/>
      <c r="T138" s="195"/>
      <c r="U138" s="198"/>
      <c r="V138" s="198"/>
      <c r="W138" s="198"/>
      <c r="X138" s="198"/>
      <c r="Y138" s="116"/>
      <c r="Z138" s="195"/>
      <c r="AA138" s="202"/>
      <c r="AB138" s="197"/>
      <c r="AC138" s="116"/>
      <c r="AD138" s="116"/>
      <c r="AE138" s="114"/>
    </row>
    <row r="139" spans="1:31" ht="12.95" customHeight="1" x14ac:dyDescent="0.35">
      <c r="A139" s="103" t="s">
        <v>139</v>
      </c>
      <c r="B139" s="508" t="s">
        <v>257</v>
      </c>
      <c r="C139" s="509"/>
      <c r="D139" s="509"/>
      <c r="E139" s="509"/>
      <c r="F139" s="509"/>
      <c r="G139" s="510"/>
      <c r="H139" s="107"/>
      <c r="I139" s="108"/>
      <c r="J139" s="109"/>
      <c r="K139" s="110"/>
      <c r="L139" s="111"/>
      <c r="M139" s="111"/>
      <c r="N139" s="111"/>
      <c r="O139" s="112"/>
      <c r="P139" s="105"/>
      <c r="Q139" s="212"/>
      <c r="R139" s="213"/>
      <c r="S139" s="113"/>
      <c r="T139" s="195"/>
      <c r="U139" s="198"/>
      <c r="V139" s="198"/>
      <c r="W139" s="198"/>
      <c r="X139" s="198"/>
      <c r="Y139" s="116"/>
      <c r="Z139" s="195"/>
      <c r="AA139" s="202"/>
      <c r="AB139" s="197"/>
      <c r="AC139" s="116"/>
      <c r="AD139" s="116"/>
      <c r="AE139" s="114"/>
    </row>
    <row r="140" spans="1:31" s="28" customFormat="1" ht="12.95" customHeight="1" x14ac:dyDescent="0.35">
      <c r="A140" s="355">
        <v>522111</v>
      </c>
      <c r="B140" s="356" t="s">
        <v>258</v>
      </c>
      <c r="C140" s="357"/>
      <c r="D140" s="357"/>
      <c r="E140" s="357"/>
      <c r="F140" s="357"/>
      <c r="G140" s="358"/>
      <c r="H140" s="359"/>
      <c r="I140" s="360"/>
      <c r="J140" s="361"/>
      <c r="K140" s="362"/>
      <c r="L140" s="357"/>
      <c r="M140" s="357"/>
      <c r="N140" s="357"/>
      <c r="O140" s="363"/>
      <c r="P140" s="357"/>
      <c r="Q140" s="364"/>
      <c r="R140" s="361"/>
      <c r="S140" s="365"/>
      <c r="T140" s="366"/>
      <c r="U140" s="367"/>
      <c r="V140" s="367"/>
      <c r="W140" s="367"/>
      <c r="X140" s="367"/>
      <c r="Y140" s="368"/>
      <c r="Z140" s="366"/>
      <c r="AA140" s="369"/>
      <c r="AB140" s="370"/>
      <c r="AC140" s="368"/>
      <c r="AD140" s="368"/>
      <c r="AE140" s="371"/>
    </row>
    <row r="141" spans="1:31" ht="12.95" customHeight="1" x14ac:dyDescent="0.35">
      <c r="A141" s="372"/>
      <c r="B141" s="373" t="s">
        <v>82</v>
      </c>
      <c r="C141" s="374" t="s">
        <v>140</v>
      </c>
      <c r="D141" s="374"/>
      <c r="E141" s="374"/>
      <c r="F141" s="374"/>
      <c r="G141" s="375"/>
      <c r="H141" s="376"/>
      <c r="I141" s="377"/>
      <c r="J141" s="378"/>
      <c r="K141" s="379"/>
      <c r="L141" s="374"/>
      <c r="M141" s="374"/>
      <c r="N141" s="374"/>
      <c r="O141" s="380">
        <v>12</v>
      </c>
      <c r="P141" s="374" t="s">
        <v>88</v>
      </c>
      <c r="Q141" s="381"/>
      <c r="R141" s="376">
        <f>O141*6500000</f>
        <v>78000000</v>
      </c>
      <c r="S141" s="365">
        <f t="shared" ref="S141" si="83">+R141/$R$184*100</f>
        <v>3.4834133699657417</v>
      </c>
      <c r="T141" s="382"/>
      <c r="U141" s="383"/>
      <c r="V141" s="383"/>
      <c r="W141" s="383"/>
      <c r="X141" s="383"/>
      <c r="Y141" s="384">
        <v>20148509</v>
      </c>
      <c r="Z141" s="382">
        <f t="shared" ref="Z141" si="84">+Y141/R141*100</f>
        <v>25.831421794871794</v>
      </c>
      <c r="AA141" s="385">
        <f t="shared" ref="AA141" si="85">1/14*Z141</f>
        <v>1.8451015567765565</v>
      </c>
      <c r="AB141" s="382">
        <f t="shared" ref="AB141" si="86">AA141*S141/100</f>
        <v>6.4272514318200608E-2</v>
      </c>
      <c r="AC141" s="384"/>
      <c r="AD141" s="384">
        <f t="shared" ref="AD141" si="87">+R141-Y141</f>
        <v>57851491</v>
      </c>
      <c r="AE141" s="386"/>
    </row>
    <row r="142" spans="1:31" ht="12.95" customHeight="1" x14ac:dyDescent="0.35">
      <c r="A142" s="355">
        <v>522112</v>
      </c>
      <c r="B142" s="356" t="s">
        <v>259</v>
      </c>
      <c r="C142" s="357"/>
      <c r="D142" s="357"/>
      <c r="E142" s="357"/>
      <c r="F142" s="357"/>
      <c r="G142" s="375"/>
      <c r="H142" s="376"/>
      <c r="I142" s="377"/>
      <c r="J142" s="378"/>
      <c r="K142" s="379"/>
      <c r="L142" s="374"/>
      <c r="M142" s="374"/>
      <c r="N142" s="374"/>
      <c r="O142" s="380"/>
      <c r="P142" s="374"/>
      <c r="Q142" s="381"/>
      <c r="R142" s="376"/>
      <c r="S142" s="365"/>
      <c r="T142" s="382"/>
      <c r="U142" s="387"/>
      <c r="V142" s="387"/>
      <c r="W142" s="387"/>
      <c r="X142" s="387"/>
      <c r="Y142" s="384"/>
      <c r="Z142" s="382"/>
      <c r="AA142" s="385"/>
      <c r="AB142" s="388"/>
      <c r="AC142" s="384"/>
      <c r="AD142" s="384"/>
      <c r="AE142" s="386"/>
    </row>
    <row r="143" spans="1:31" ht="12.95" customHeight="1" x14ac:dyDescent="0.35">
      <c r="A143" s="372"/>
      <c r="B143" s="373" t="s">
        <v>82</v>
      </c>
      <c r="C143" s="374" t="s">
        <v>141</v>
      </c>
      <c r="D143" s="374"/>
      <c r="E143" s="374"/>
      <c r="F143" s="374"/>
      <c r="G143" s="375"/>
      <c r="H143" s="376"/>
      <c r="I143" s="377"/>
      <c r="J143" s="378"/>
      <c r="K143" s="379"/>
      <c r="L143" s="374"/>
      <c r="M143" s="374"/>
      <c r="N143" s="374"/>
      <c r="O143" s="380">
        <v>12</v>
      </c>
      <c r="P143" s="374" t="s">
        <v>88</v>
      </c>
      <c r="Q143" s="381"/>
      <c r="R143" s="376">
        <f>O143*4200000</f>
        <v>50400000</v>
      </c>
      <c r="S143" s="365">
        <f t="shared" ref="S143" si="88">+R143/$R$184*100</f>
        <v>2.250820946747095</v>
      </c>
      <c r="T143" s="382"/>
      <c r="U143" s="383"/>
      <c r="V143" s="383"/>
      <c r="W143" s="383"/>
      <c r="X143" s="383"/>
      <c r="Y143" s="384">
        <v>6957569</v>
      </c>
      <c r="Z143" s="382">
        <f t="shared" ref="Z143" si="89">+Y143/R143*100</f>
        <v>13.804700396825398</v>
      </c>
      <c r="AA143" s="385">
        <f t="shared" ref="AA143" si="90">1/14*Z143</f>
        <v>0.98605002834467126</v>
      </c>
      <c r="AB143" s="382">
        <f t="shared" ref="AB143" si="91">AA143*S143/100</f>
        <v>2.2194220583387526E-2</v>
      </c>
      <c r="AC143" s="384"/>
      <c r="AD143" s="384">
        <f t="shared" ref="AD143" si="92">+R143-Y143</f>
        <v>43442431</v>
      </c>
      <c r="AE143" s="386"/>
    </row>
    <row r="144" spans="1:31" ht="12.95" customHeight="1" x14ac:dyDescent="0.35">
      <c r="A144" s="355">
        <v>522113</v>
      </c>
      <c r="B144" s="356" t="s">
        <v>260</v>
      </c>
      <c r="C144" s="357"/>
      <c r="D144" s="357"/>
      <c r="E144" s="357"/>
      <c r="F144" s="357"/>
      <c r="G144" s="375"/>
      <c r="H144" s="376"/>
      <c r="I144" s="377"/>
      <c r="J144" s="378"/>
      <c r="K144" s="379"/>
      <c r="L144" s="374"/>
      <c r="M144" s="374"/>
      <c r="N144" s="374"/>
      <c r="O144" s="380"/>
      <c r="P144" s="374"/>
      <c r="Q144" s="381"/>
      <c r="R144" s="376"/>
      <c r="S144" s="365"/>
      <c r="T144" s="382"/>
      <c r="U144" s="387"/>
      <c r="V144" s="387"/>
      <c r="W144" s="387"/>
      <c r="X144" s="387"/>
      <c r="Y144" s="384"/>
      <c r="Z144" s="382"/>
      <c r="AA144" s="385"/>
      <c r="AB144" s="388"/>
      <c r="AC144" s="384"/>
      <c r="AD144" s="384"/>
      <c r="AE144" s="386"/>
    </row>
    <row r="145" spans="1:35" ht="12.95" customHeight="1" x14ac:dyDescent="0.35">
      <c r="A145" s="372"/>
      <c r="B145" s="373" t="s">
        <v>82</v>
      </c>
      <c r="C145" s="374" t="s">
        <v>142</v>
      </c>
      <c r="D145" s="374"/>
      <c r="E145" s="374"/>
      <c r="F145" s="374"/>
      <c r="G145" s="375"/>
      <c r="H145" s="376"/>
      <c r="I145" s="377"/>
      <c r="J145" s="378"/>
      <c r="K145" s="379"/>
      <c r="L145" s="374"/>
      <c r="M145" s="374"/>
      <c r="N145" s="374"/>
      <c r="O145" s="380">
        <v>12</v>
      </c>
      <c r="P145" s="374" t="s">
        <v>88</v>
      </c>
      <c r="Q145" s="381"/>
      <c r="R145" s="376">
        <f>O145*500000</f>
        <v>6000000</v>
      </c>
      <c r="S145" s="365">
        <f t="shared" ref="S145" si="93">+R145/$R$184*100</f>
        <v>0.26795487461274942</v>
      </c>
      <c r="T145" s="382"/>
      <c r="U145" s="383"/>
      <c r="V145" s="383"/>
      <c r="W145" s="383"/>
      <c r="X145" s="383"/>
      <c r="Y145" s="384">
        <v>946245</v>
      </c>
      <c r="Z145" s="382">
        <f t="shared" ref="Z145" si="94">+Y145/R145*100</f>
        <v>15.77075</v>
      </c>
      <c r="AA145" s="385">
        <f t="shared" ref="AA145" si="95">1/14*Z145</f>
        <v>1.1264821428571428</v>
      </c>
      <c r="AB145" s="382">
        <f t="shared" ref="AB145" si="96">AA145*S145/100</f>
        <v>3.0184638134278696E-3</v>
      </c>
      <c r="AC145" s="384"/>
      <c r="AD145" s="384">
        <f t="shared" ref="AD145" si="97">+R145-Y145</f>
        <v>5053755</v>
      </c>
      <c r="AE145" s="386"/>
    </row>
    <row r="146" spans="1:35" ht="12.95" customHeight="1" x14ac:dyDescent="0.35">
      <c r="A146" s="135"/>
      <c r="B146" s="223"/>
      <c r="C146" s="111"/>
      <c r="D146" s="111"/>
      <c r="E146" s="111"/>
      <c r="F146" s="111"/>
      <c r="G146" s="137"/>
      <c r="H146" s="107"/>
      <c r="I146" s="108"/>
      <c r="J146" s="109"/>
      <c r="K146" s="110"/>
      <c r="L146" s="111"/>
      <c r="M146" s="111"/>
      <c r="N146" s="111"/>
      <c r="O146" s="134"/>
      <c r="P146" s="111"/>
      <c r="Q146" s="207"/>
      <c r="R146" s="107"/>
      <c r="S146" s="113"/>
      <c r="T146" s="195"/>
      <c r="U146" s="196"/>
      <c r="V146" s="196"/>
      <c r="W146" s="196"/>
      <c r="X146" s="196"/>
      <c r="Y146" s="116"/>
      <c r="Z146" s="195"/>
      <c r="AA146" s="100"/>
      <c r="AB146" s="197"/>
      <c r="AC146" s="116"/>
      <c r="AD146" s="116"/>
      <c r="AE146" s="114"/>
    </row>
    <row r="147" spans="1:35" ht="12.95" customHeight="1" x14ac:dyDescent="0.35">
      <c r="A147" s="103" t="s">
        <v>143</v>
      </c>
      <c r="B147" s="470" t="s">
        <v>261</v>
      </c>
      <c r="C147" s="471"/>
      <c r="D147" s="471"/>
      <c r="E147" s="471"/>
      <c r="F147" s="471"/>
      <c r="G147" s="472"/>
      <c r="H147" s="107"/>
      <c r="I147" s="108"/>
      <c r="J147" s="109"/>
      <c r="K147" s="110"/>
      <c r="L147" s="111"/>
      <c r="M147" s="111"/>
      <c r="N147" s="111"/>
      <c r="O147" s="134"/>
      <c r="P147" s="137"/>
      <c r="Q147" s="207"/>
      <c r="R147" s="213"/>
      <c r="S147" s="113"/>
      <c r="T147" s="195"/>
      <c r="U147" s="198"/>
      <c r="V147" s="198"/>
      <c r="W147" s="198"/>
      <c r="X147" s="198"/>
      <c r="Y147" s="116"/>
      <c r="Z147" s="195"/>
      <c r="AA147" s="100"/>
      <c r="AB147" s="197"/>
      <c r="AC147" s="116"/>
      <c r="AD147" s="116"/>
      <c r="AE147" s="114"/>
    </row>
    <row r="148" spans="1:35" s="28" customFormat="1" ht="12.95" customHeight="1" x14ac:dyDescent="0.35">
      <c r="A148" s="210">
        <v>521111</v>
      </c>
      <c r="B148" s="474" t="s">
        <v>81</v>
      </c>
      <c r="C148" s="105"/>
      <c r="D148" s="105"/>
      <c r="E148" s="105"/>
      <c r="F148" s="105"/>
      <c r="G148" s="106"/>
      <c r="H148" s="188"/>
      <c r="I148" s="171"/>
      <c r="J148" s="170"/>
      <c r="K148" s="189"/>
      <c r="L148" s="105"/>
      <c r="M148" s="105"/>
      <c r="N148" s="105"/>
      <c r="O148" s="227"/>
      <c r="P148" s="141"/>
      <c r="Q148" s="228"/>
      <c r="R148" s="229"/>
      <c r="S148" s="113"/>
      <c r="T148" s="190"/>
      <c r="U148" s="191"/>
      <c r="V148" s="191"/>
      <c r="W148" s="191"/>
      <c r="X148" s="191"/>
      <c r="Y148" s="192"/>
      <c r="Z148" s="190"/>
      <c r="AA148" s="178"/>
      <c r="AB148" s="193"/>
      <c r="AC148" s="192"/>
      <c r="AD148" s="192"/>
      <c r="AE148" s="179"/>
    </row>
    <row r="149" spans="1:35" ht="12.95" customHeight="1" x14ac:dyDescent="0.35">
      <c r="A149" s="199"/>
      <c r="B149" s="230" t="s">
        <v>82</v>
      </c>
      <c r="C149" s="217" t="s">
        <v>144</v>
      </c>
      <c r="D149" s="217"/>
      <c r="E149" s="217"/>
      <c r="F149" s="217"/>
      <c r="G149" s="218"/>
      <c r="H149" s="107"/>
      <c r="I149" s="108"/>
      <c r="J149" s="109"/>
      <c r="K149" s="110"/>
      <c r="L149" s="111"/>
      <c r="M149" s="111"/>
      <c r="N149" s="111"/>
      <c r="O149" s="134">
        <v>39</v>
      </c>
      <c r="P149" s="111" t="s">
        <v>145</v>
      </c>
      <c r="Q149" s="207"/>
      <c r="R149" s="107">
        <f>O149*1800000</f>
        <v>70200000</v>
      </c>
      <c r="S149" s="85">
        <f t="shared" ref="S149:S154" si="98">+R149/$R$184*100</f>
        <v>3.1350720329691675</v>
      </c>
      <c r="T149" s="99"/>
      <c r="U149" s="87"/>
      <c r="V149" s="87"/>
      <c r="W149" s="87"/>
      <c r="X149" s="87"/>
      <c r="Y149" s="88">
        <f>5400000*5</f>
        <v>27000000</v>
      </c>
      <c r="Z149" s="99">
        <f t="shared" ref="Z149:Z154" si="99">+Y149/R149*100</f>
        <v>38.461538461538467</v>
      </c>
      <c r="AA149" s="100">
        <f t="shared" ref="AA149:AA153" si="100">1/14*Z149</f>
        <v>2.7472527472527477</v>
      </c>
      <c r="AB149" s="99">
        <f t="shared" ref="AB149:AB154" si="101">AA149*S149/100</f>
        <v>8.6128352554098023E-2</v>
      </c>
      <c r="AC149" s="88"/>
      <c r="AD149" s="88">
        <f t="shared" ref="AD149:AD154" si="102">+R149-Y149</f>
        <v>43200000</v>
      </c>
      <c r="AE149" s="86"/>
    </row>
    <row r="150" spans="1:35" ht="12.95" customHeight="1" x14ac:dyDescent="0.35">
      <c r="A150" s="135"/>
      <c r="B150" s="215" t="s">
        <v>82</v>
      </c>
      <c r="C150" s="216" t="s">
        <v>146</v>
      </c>
      <c r="D150" s="216"/>
      <c r="E150" s="217"/>
      <c r="F150" s="217"/>
      <c r="G150" s="218"/>
      <c r="H150" s="107"/>
      <c r="I150" s="108"/>
      <c r="J150" s="109"/>
      <c r="K150" s="110"/>
      <c r="L150" s="111"/>
      <c r="M150" s="111"/>
      <c r="N150" s="111"/>
      <c r="O150" s="134">
        <v>228</v>
      </c>
      <c r="P150" s="111" t="s">
        <v>147</v>
      </c>
      <c r="Q150" s="207"/>
      <c r="R150" s="107">
        <f>O150*30000</f>
        <v>6840000</v>
      </c>
      <c r="S150" s="85">
        <f t="shared" si="98"/>
        <v>0.30546855705853432</v>
      </c>
      <c r="T150" s="99"/>
      <c r="U150" s="87"/>
      <c r="V150" s="87"/>
      <c r="W150" s="87"/>
      <c r="X150" s="87"/>
      <c r="Y150" s="88">
        <f>570000+570000+480000</f>
        <v>1620000</v>
      </c>
      <c r="Z150" s="99">
        <f t="shared" si="99"/>
        <v>23.684210526315788</v>
      </c>
      <c r="AA150" s="100">
        <f t="shared" si="100"/>
        <v>1.6917293233082704</v>
      </c>
      <c r="AB150" s="99">
        <f t="shared" si="101"/>
        <v>5.1677011532458806E-3</v>
      </c>
      <c r="AC150" s="88"/>
      <c r="AD150" s="88">
        <f t="shared" si="102"/>
        <v>5220000</v>
      </c>
      <c r="AE150" s="114"/>
    </row>
    <row r="151" spans="1:35" ht="12.95" customHeight="1" x14ac:dyDescent="0.35">
      <c r="A151" s="231"/>
      <c r="B151" s="194" t="s">
        <v>82</v>
      </c>
      <c r="C151" s="140" t="s">
        <v>148</v>
      </c>
      <c r="D151" s="140"/>
      <c r="E151" s="140"/>
      <c r="F151" s="140"/>
      <c r="G151" s="150"/>
      <c r="H151" s="107"/>
      <c r="I151" s="108"/>
      <c r="J151" s="109"/>
      <c r="K151" s="110"/>
      <c r="L151" s="111"/>
      <c r="M151" s="111"/>
      <c r="N151" s="111"/>
      <c r="O151" s="182">
        <v>22</v>
      </c>
      <c r="P151" s="140" t="s">
        <v>115</v>
      </c>
      <c r="Q151" s="183"/>
      <c r="R151" s="107">
        <f>O151*190000</f>
        <v>4180000</v>
      </c>
      <c r="S151" s="85">
        <f t="shared" si="98"/>
        <v>0.18667522931354874</v>
      </c>
      <c r="T151" s="99"/>
      <c r="U151" s="87"/>
      <c r="V151" s="87"/>
      <c r="W151" s="87"/>
      <c r="X151" s="87"/>
      <c r="Y151" s="88">
        <f>360000+180000+700000+600000+180000+180000+180000</f>
        <v>2380000</v>
      </c>
      <c r="Z151" s="99">
        <f t="shared" si="99"/>
        <v>56.937799043062199</v>
      </c>
      <c r="AA151" s="100">
        <f t="shared" si="100"/>
        <v>4.0669856459330136</v>
      </c>
      <c r="AB151" s="99">
        <f t="shared" si="101"/>
        <v>7.5920547806945645E-3</v>
      </c>
      <c r="AC151" s="88"/>
      <c r="AD151" s="88">
        <f t="shared" si="102"/>
        <v>1800000</v>
      </c>
      <c r="AE151" s="114"/>
    </row>
    <row r="152" spans="1:35" ht="12.95" customHeight="1" x14ac:dyDescent="0.35">
      <c r="A152" s="231"/>
      <c r="B152" s="194" t="s">
        <v>82</v>
      </c>
      <c r="C152" s="140" t="s">
        <v>266</v>
      </c>
      <c r="D152" s="140"/>
      <c r="E152" s="140"/>
      <c r="F152" s="140"/>
      <c r="G152" s="150"/>
      <c r="H152" s="107"/>
      <c r="I152" s="108"/>
      <c r="J152" s="109"/>
      <c r="K152" s="110"/>
      <c r="L152" s="111"/>
      <c r="M152" s="111"/>
      <c r="N152" s="111"/>
      <c r="O152" s="182">
        <v>1</v>
      </c>
      <c r="P152" s="140" t="s">
        <v>111</v>
      </c>
      <c r="Q152" s="183"/>
      <c r="R152" s="107">
        <f>O152*9020000</f>
        <v>9020000</v>
      </c>
      <c r="S152" s="85">
        <f t="shared" si="98"/>
        <v>0.40282549483449992</v>
      </c>
      <c r="T152" s="99"/>
      <c r="U152" s="87"/>
      <c r="V152" s="87"/>
      <c r="W152" s="87"/>
      <c r="X152" s="87"/>
      <c r="Y152" s="88">
        <f>750000*5</f>
        <v>3750000</v>
      </c>
      <c r="Z152" s="99">
        <f t="shared" si="99"/>
        <v>41.574279379157431</v>
      </c>
      <c r="AA152" s="100">
        <f t="shared" si="100"/>
        <v>2.9695913842255308</v>
      </c>
      <c r="AB152" s="99">
        <f t="shared" si="101"/>
        <v>1.1962271188069171E-2</v>
      </c>
      <c r="AC152" s="88"/>
      <c r="AD152" s="88">
        <f t="shared" si="102"/>
        <v>5270000</v>
      </c>
      <c r="AE152" s="114"/>
    </row>
    <row r="153" spans="1:35" ht="12.95" customHeight="1" x14ac:dyDescent="0.35">
      <c r="A153" s="199"/>
      <c r="B153" s="215" t="s">
        <v>82</v>
      </c>
      <c r="C153" s="217" t="s">
        <v>149</v>
      </c>
      <c r="D153" s="217"/>
      <c r="E153" s="217"/>
      <c r="F153" s="217"/>
      <c r="G153" s="218"/>
      <c r="H153" s="107"/>
      <c r="I153" s="108"/>
      <c r="J153" s="109"/>
      <c r="K153" s="110"/>
      <c r="L153" s="111"/>
      <c r="M153" s="111"/>
      <c r="N153" s="111"/>
      <c r="O153" s="134">
        <v>12</v>
      </c>
      <c r="P153" s="111" t="s">
        <v>88</v>
      </c>
      <c r="Q153" s="207"/>
      <c r="R153" s="203">
        <f>O153*2200000</f>
        <v>26400000</v>
      </c>
      <c r="S153" s="85">
        <f t="shared" si="98"/>
        <v>1.1790014482960973</v>
      </c>
      <c r="T153" s="99"/>
      <c r="U153" s="87"/>
      <c r="V153" s="87"/>
      <c r="W153" s="87"/>
      <c r="X153" s="87"/>
      <c r="Y153" s="88">
        <f>1023700*5</f>
        <v>5118500</v>
      </c>
      <c r="Z153" s="99">
        <f t="shared" si="99"/>
        <v>19.388257575757574</v>
      </c>
      <c r="AA153" s="100">
        <f t="shared" si="100"/>
        <v>1.3848755411255409</v>
      </c>
      <c r="AB153" s="99">
        <f t="shared" si="101"/>
        <v>1.6327702686968541E-2</v>
      </c>
      <c r="AC153" s="88"/>
      <c r="AD153" s="88">
        <f t="shared" si="102"/>
        <v>21281500</v>
      </c>
      <c r="AE153" s="114"/>
    </row>
    <row r="154" spans="1:35" ht="12.95" customHeight="1" x14ac:dyDescent="0.35">
      <c r="A154" s="199"/>
      <c r="B154" s="296" t="s">
        <v>82</v>
      </c>
      <c r="C154" s="297" t="s">
        <v>265</v>
      </c>
      <c r="D154" s="297"/>
      <c r="E154" s="297"/>
      <c r="F154" s="297"/>
      <c r="G154" s="298"/>
      <c r="H154" s="77"/>
      <c r="I154" s="78"/>
      <c r="J154" s="79"/>
      <c r="K154" s="80"/>
      <c r="L154" s="81"/>
      <c r="M154" s="81"/>
      <c r="N154" s="81"/>
      <c r="O154" s="185">
        <v>1</v>
      </c>
      <c r="P154" s="81" t="s">
        <v>83</v>
      </c>
      <c r="Q154" s="144"/>
      <c r="R154" s="77">
        <f>O154*3792000</f>
        <v>3792000</v>
      </c>
      <c r="S154" s="85">
        <f t="shared" si="98"/>
        <v>0.16934748075525763</v>
      </c>
      <c r="T154" s="99"/>
      <c r="U154" s="87"/>
      <c r="V154" s="87"/>
      <c r="W154" s="87"/>
      <c r="X154" s="87"/>
      <c r="Y154" s="88">
        <v>0</v>
      </c>
      <c r="Z154" s="99">
        <f t="shared" si="99"/>
        <v>0</v>
      </c>
      <c r="AA154" s="100">
        <f t="shared" ref="AA154" si="103">Z154</f>
        <v>0</v>
      </c>
      <c r="AB154" s="99">
        <f t="shared" si="101"/>
        <v>0</v>
      </c>
      <c r="AC154" s="88"/>
      <c r="AD154" s="88">
        <f t="shared" si="102"/>
        <v>3792000</v>
      </c>
      <c r="AE154" s="86"/>
      <c r="AF154" s="90"/>
      <c r="AG154" s="90"/>
      <c r="AH154" s="90"/>
      <c r="AI154" s="90"/>
    </row>
    <row r="155" spans="1:35" ht="12.95" customHeight="1" x14ac:dyDescent="0.35">
      <c r="A155" s="135"/>
      <c r="B155" s="94"/>
      <c r="C155" s="105"/>
      <c r="D155" s="105"/>
      <c r="E155" s="111"/>
      <c r="F155" s="111"/>
      <c r="G155" s="137"/>
      <c r="H155" s="107"/>
      <c r="I155" s="108"/>
      <c r="J155" s="109"/>
      <c r="K155" s="110"/>
      <c r="L155" s="111"/>
      <c r="M155" s="111"/>
      <c r="N155" s="111"/>
      <c r="O155" s="134"/>
      <c r="P155" s="111"/>
      <c r="Q155" s="135"/>
      <c r="R155" s="107"/>
      <c r="S155" s="113"/>
      <c r="T155" s="114"/>
      <c r="U155" s="115"/>
      <c r="V155" s="115"/>
      <c r="W155" s="115"/>
      <c r="X155" s="115"/>
      <c r="Y155" s="116"/>
      <c r="Z155" s="114"/>
      <c r="AA155" s="114"/>
      <c r="AB155" s="114"/>
      <c r="AC155" s="116"/>
      <c r="AD155" s="116"/>
      <c r="AE155" s="114"/>
    </row>
    <row r="156" spans="1:35" ht="12.95" customHeight="1" x14ac:dyDescent="0.35">
      <c r="A156" s="210">
        <v>521114</v>
      </c>
      <c r="B156" s="474" t="s">
        <v>150</v>
      </c>
      <c r="C156" s="105"/>
      <c r="D156" s="105"/>
      <c r="E156" s="105"/>
      <c r="F156" s="105"/>
      <c r="G156" s="106"/>
      <c r="H156" s="188"/>
      <c r="I156" s="171"/>
      <c r="J156" s="170"/>
      <c r="K156" s="189"/>
      <c r="L156" s="105"/>
      <c r="M156" s="105"/>
      <c r="N156" s="105"/>
      <c r="O156" s="227"/>
      <c r="P156" s="141"/>
      <c r="Q156" s="228"/>
      <c r="R156" s="229"/>
      <c r="S156" s="113"/>
      <c r="T156" s="190"/>
      <c r="U156" s="191"/>
      <c r="V156" s="191"/>
      <c r="W156" s="191"/>
      <c r="X156" s="191"/>
      <c r="Y156" s="192"/>
      <c r="Z156" s="190"/>
      <c r="AA156" s="178"/>
      <c r="AB156" s="193"/>
      <c r="AC156" s="192"/>
      <c r="AD156" s="192"/>
      <c r="AE156" s="114"/>
    </row>
    <row r="157" spans="1:35" ht="12.95" customHeight="1" x14ac:dyDescent="0.35">
      <c r="A157" s="199"/>
      <c r="B157" s="230" t="s">
        <v>82</v>
      </c>
      <c r="C157" s="217" t="s">
        <v>151</v>
      </c>
      <c r="D157" s="217"/>
      <c r="E157" s="217"/>
      <c r="F157" s="217"/>
      <c r="G157" s="218"/>
      <c r="H157" s="107"/>
      <c r="I157" s="108"/>
      <c r="J157" s="109"/>
      <c r="K157" s="110"/>
      <c r="L157" s="111"/>
      <c r="M157" s="111"/>
      <c r="N157" s="111"/>
      <c r="O157" s="134">
        <v>12</v>
      </c>
      <c r="P157" s="111" t="s">
        <v>88</v>
      </c>
      <c r="Q157" s="207"/>
      <c r="R157" s="107">
        <f>O157*715000</f>
        <v>8580000</v>
      </c>
      <c r="S157" s="85">
        <f t="shared" ref="S157" si="104">+R157/$R$184*100</f>
        <v>0.38317547069623159</v>
      </c>
      <c r="T157" s="99"/>
      <c r="U157" s="87"/>
      <c r="V157" s="87"/>
      <c r="W157" s="87"/>
      <c r="X157" s="87"/>
      <c r="Y157" s="88">
        <v>3575000</v>
      </c>
      <c r="Z157" s="99">
        <f t="shared" ref="Z157" si="105">+Y157/R157*100</f>
        <v>41.666666666666671</v>
      </c>
      <c r="AA157" s="100">
        <f t="shared" ref="AA157" si="106">1/14*Z157</f>
        <v>2.9761904761904763</v>
      </c>
      <c r="AB157" s="99">
        <f t="shared" ref="AB157" si="107">AA157*S157/100</f>
        <v>1.1404031865959275E-2</v>
      </c>
      <c r="AC157" s="88"/>
      <c r="AD157" s="88">
        <f t="shared" ref="AD157" si="108">+R157-Y157</f>
        <v>5005000</v>
      </c>
      <c r="AE157" s="86"/>
    </row>
    <row r="158" spans="1:35" ht="12.95" customHeight="1" x14ac:dyDescent="0.35">
      <c r="A158" s="199"/>
      <c r="B158" s="215"/>
      <c r="C158" s="217"/>
      <c r="D158" s="217"/>
      <c r="E158" s="217"/>
      <c r="F158" s="217"/>
      <c r="G158" s="218"/>
      <c r="H158" s="107"/>
      <c r="I158" s="108"/>
      <c r="J158" s="109"/>
      <c r="K158" s="110"/>
      <c r="L158" s="111"/>
      <c r="M158" s="111"/>
      <c r="N158" s="111"/>
      <c r="O158" s="134"/>
      <c r="P158" s="111"/>
      <c r="Q158" s="207"/>
      <c r="R158" s="107"/>
      <c r="S158" s="113"/>
      <c r="T158" s="195"/>
      <c r="U158" s="198"/>
      <c r="V158" s="198"/>
      <c r="W158" s="198"/>
      <c r="X158" s="198"/>
      <c r="Y158" s="116"/>
      <c r="Z158" s="195"/>
      <c r="AA158" s="100"/>
      <c r="AB158" s="197"/>
      <c r="AC158" s="116"/>
      <c r="AD158" s="116"/>
      <c r="AE158" s="114"/>
    </row>
    <row r="159" spans="1:35" s="28" customFormat="1" ht="12.95" customHeight="1" x14ac:dyDescent="0.35">
      <c r="A159" s="210">
        <v>521115</v>
      </c>
      <c r="B159" s="474" t="s">
        <v>152</v>
      </c>
      <c r="C159" s="232"/>
      <c r="D159" s="232"/>
      <c r="E159" s="232"/>
      <c r="F159" s="232"/>
      <c r="G159" s="233"/>
      <c r="H159" s="107"/>
      <c r="I159" s="108"/>
      <c r="J159" s="109"/>
      <c r="K159" s="110"/>
      <c r="L159" s="111"/>
      <c r="M159" s="111"/>
      <c r="N159" s="111"/>
      <c r="O159" s="182"/>
      <c r="P159" s="140"/>
      <c r="Q159" s="228"/>
      <c r="R159" s="201"/>
      <c r="S159" s="113"/>
      <c r="T159" s="190"/>
      <c r="U159" s="191"/>
      <c r="V159" s="191"/>
      <c r="W159" s="191"/>
      <c r="X159" s="191"/>
      <c r="Y159" s="192"/>
      <c r="Z159" s="190"/>
      <c r="AA159" s="178"/>
      <c r="AB159" s="193"/>
      <c r="AC159" s="192"/>
      <c r="AD159" s="192"/>
      <c r="AE159" s="179"/>
    </row>
    <row r="160" spans="1:35" ht="12.95" customHeight="1" x14ac:dyDescent="0.35">
      <c r="A160" s="199"/>
      <c r="B160" s="104"/>
      <c r="C160" s="217" t="s">
        <v>153</v>
      </c>
      <c r="D160" s="217"/>
      <c r="E160" s="217"/>
      <c r="F160" s="217"/>
      <c r="G160" s="218"/>
      <c r="H160" s="107"/>
      <c r="I160" s="108"/>
      <c r="J160" s="109"/>
      <c r="K160" s="110"/>
      <c r="L160" s="111"/>
      <c r="M160" s="111"/>
      <c r="N160" s="111"/>
      <c r="O160" s="134"/>
      <c r="P160" s="111"/>
      <c r="Q160" s="207"/>
      <c r="R160" s="188"/>
      <c r="S160" s="113"/>
      <c r="T160" s="195"/>
      <c r="U160" s="198"/>
      <c r="V160" s="198"/>
      <c r="W160" s="198"/>
      <c r="X160" s="198"/>
      <c r="Y160" s="116"/>
      <c r="Z160" s="195"/>
      <c r="AA160" s="202"/>
      <c r="AB160" s="197"/>
      <c r="AC160" s="116"/>
      <c r="AD160" s="116"/>
      <c r="AE160" s="114"/>
    </row>
    <row r="161" spans="1:31" ht="12.95" customHeight="1" x14ac:dyDescent="0.35">
      <c r="A161" s="199"/>
      <c r="B161" s="234" t="s">
        <v>82</v>
      </c>
      <c r="C161" s="217" t="s">
        <v>154</v>
      </c>
      <c r="D161" s="111"/>
      <c r="E161" s="217"/>
      <c r="F161" s="217"/>
      <c r="G161" s="217"/>
      <c r="H161" s="107"/>
      <c r="I161" s="108"/>
      <c r="J161" s="109"/>
      <c r="K161" s="110"/>
      <c r="L161" s="111"/>
      <c r="M161" s="111"/>
      <c r="N161" s="111"/>
      <c r="O161" s="134">
        <v>12</v>
      </c>
      <c r="P161" s="111" t="s">
        <v>145</v>
      </c>
      <c r="Q161" s="207"/>
      <c r="R161" s="107">
        <f>O161*900000</f>
        <v>10800000</v>
      </c>
      <c r="S161" s="85">
        <f t="shared" ref="S161:S166" si="109">+R161/$R$184*100</f>
        <v>0.48231877430294889</v>
      </c>
      <c r="T161" s="99"/>
      <c r="U161" s="87"/>
      <c r="V161" s="87"/>
      <c r="W161" s="87"/>
      <c r="X161" s="87"/>
      <c r="Y161" s="88">
        <f>R161/12*5</f>
        <v>4500000</v>
      </c>
      <c r="Z161" s="99">
        <f t="shared" ref="Z161:Z166" si="110">+Y161/R161*100</f>
        <v>41.666666666666671</v>
      </c>
      <c r="AA161" s="100">
        <f t="shared" ref="AA161:AA166" si="111">1/14*Z161</f>
        <v>2.9761904761904763</v>
      </c>
      <c r="AB161" s="99">
        <f t="shared" ref="AB161:AB166" si="112">AA161*S161/100</f>
        <v>1.4354725425683003E-2</v>
      </c>
      <c r="AC161" s="88"/>
      <c r="AD161" s="88">
        <f t="shared" ref="AD161:AD166" si="113">+R161-Y161</f>
        <v>6300000</v>
      </c>
      <c r="AE161" s="86"/>
    </row>
    <row r="162" spans="1:31" ht="12.95" customHeight="1" x14ac:dyDescent="0.35">
      <c r="A162" s="199"/>
      <c r="B162" s="234" t="s">
        <v>82</v>
      </c>
      <c r="C162" s="217" t="s">
        <v>155</v>
      </c>
      <c r="D162" s="111"/>
      <c r="E162" s="217"/>
      <c r="F162" s="217"/>
      <c r="G162" s="217"/>
      <c r="H162" s="107"/>
      <c r="I162" s="108"/>
      <c r="J162" s="109"/>
      <c r="K162" s="110"/>
      <c r="L162" s="111"/>
      <c r="M162" s="111"/>
      <c r="N162" s="111"/>
      <c r="O162" s="134">
        <v>12</v>
      </c>
      <c r="P162" s="111" t="s">
        <v>145</v>
      </c>
      <c r="Q162" s="207"/>
      <c r="R162" s="107">
        <f>O162*700000</f>
        <v>8400000</v>
      </c>
      <c r="S162" s="85">
        <f t="shared" si="109"/>
        <v>0.37513682445784913</v>
      </c>
      <c r="T162" s="99"/>
      <c r="U162" s="87"/>
      <c r="V162" s="87"/>
      <c r="W162" s="87"/>
      <c r="X162" s="87"/>
      <c r="Y162" s="88">
        <f>R162/12*5</f>
        <v>3500000</v>
      </c>
      <c r="Z162" s="99">
        <f t="shared" si="110"/>
        <v>41.666666666666671</v>
      </c>
      <c r="AA162" s="100">
        <f t="shared" si="111"/>
        <v>2.9761904761904763</v>
      </c>
      <c r="AB162" s="99">
        <f t="shared" si="112"/>
        <v>1.1164786442197892E-2</v>
      </c>
      <c r="AC162" s="88"/>
      <c r="AD162" s="88">
        <f t="shared" si="113"/>
        <v>4900000</v>
      </c>
      <c r="AE162" s="114"/>
    </row>
    <row r="163" spans="1:31" ht="12.95" customHeight="1" x14ac:dyDescent="0.35">
      <c r="A163" s="199"/>
      <c r="B163" s="234" t="s">
        <v>82</v>
      </c>
      <c r="C163" s="111" t="s">
        <v>156</v>
      </c>
      <c r="D163" s="111"/>
      <c r="E163" s="217"/>
      <c r="F163" s="217"/>
      <c r="G163" s="217"/>
      <c r="H163" s="107"/>
      <c r="I163" s="108"/>
      <c r="J163" s="109"/>
      <c r="K163" s="110"/>
      <c r="L163" s="111"/>
      <c r="M163" s="111"/>
      <c r="N163" s="111"/>
      <c r="O163" s="134">
        <v>3</v>
      </c>
      <c r="P163" s="111" t="s">
        <v>145</v>
      </c>
      <c r="Q163" s="207"/>
      <c r="R163" s="107">
        <f>O163*400000</f>
        <v>1200000</v>
      </c>
      <c r="S163" s="85">
        <f t="shared" si="109"/>
        <v>5.3590974922549883E-2</v>
      </c>
      <c r="T163" s="99"/>
      <c r="U163" s="87"/>
      <c r="V163" s="87"/>
      <c r="W163" s="87"/>
      <c r="X163" s="87"/>
      <c r="Y163" s="88">
        <v>1200000</v>
      </c>
      <c r="Z163" s="99">
        <f t="shared" si="110"/>
        <v>100</v>
      </c>
      <c r="AA163" s="100">
        <f t="shared" si="111"/>
        <v>7.1428571428571423</v>
      </c>
      <c r="AB163" s="99">
        <f t="shared" si="112"/>
        <v>3.8279267801821343E-3</v>
      </c>
      <c r="AC163" s="88"/>
      <c r="AD163" s="88">
        <f t="shared" si="113"/>
        <v>0</v>
      </c>
      <c r="AE163" s="114"/>
    </row>
    <row r="164" spans="1:31" ht="12.95" customHeight="1" x14ac:dyDescent="0.35">
      <c r="A164" s="199"/>
      <c r="B164" s="234" t="s">
        <v>82</v>
      </c>
      <c r="C164" s="217" t="s">
        <v>157</v>
      </c>
      <c r="D164" s="111"/>
      <c r="E164" s="217"/>
      <c r="F164" s="217"/>
      <c r="G164" s="217"/>
      <c r="H164" s="107"/>
      <c r="I164" s="108"/>
      <c r="J164" s="109"/>
      <c r="K164" s="110"/>
      <c r="L164" s="111"/>
      <c r="M164" s="111"/>
      <c r="N164" s="111"/>
      <c r="O164" s="134">
        <v>12</v>
      </c>
      <c r="P164" s="111" t="s">
        <v>145</v>
      </c>
      <c r="Q164" s="207"/>
      <c r="R164" s="107">
        <f>O164*700000</f>
        <v>8400000</v>
      </c>
      <c r="S164" s="85">
        <f t="shared" si="109"/>
        <v>0.37513682445784913</v>
      </c>
      <c r="T164" s="99"/>
      <c r="U164" s="87"/>
      <c r="V164" s="87"/>
      <c r="W164" s="87"/>
      <c r="X164" s="87"/>
      <c r="Y164" s="88">
        <f>R164/12*5</f>
        <v>3500000</v>
      </c>
      <c r="Z164" s="99">
        <f t="shared" si="110"/>
        <v>41.666666666666671</v>
      </c>
      <c r="AA164" s="100">
        <f t="shared" si="111"/>
        <v>2.9761904761904763</v>
      </c>
      <c r="AB164" s="99">
        <f t="shared" si="112"/>
        <v>1.1164786442197892E-2</v>
      </c>
      <c r="AC164" s="88"/>
      <c r="AD164" s="88">
        <f t="shared" si="113"/>
        <v>4900000</v>
      </c>
      <c r="AE164" s="114"/>
    </row>
    <row r="165" spans="1:31" ht="12.95" customHeight="1" x14ac:dyDescent="0.35">
      <c r="A165" s="199"/>
      <c r="B165" s="234" t="s">
        <v>82</v>
      </c>
      <c r="C165" s="217" t="s">
        <v>158</v>
      </c>
      <c r="D165" s="111"/>
      <c r="E165" s="217"/>
      <c r="F165" s="217"/>
      <c r="G165" s="217"/>
      <c r="H165" s="107"/>
      <c r="I165" s="108"/>
      <c r="J165" s="109"/>
      <c r="K165" s="110"/>
      <c r="L165" s="111"/>
      <c r="M165" s="111"/>
      <c r="N165" s="111"/>
      <c r="O165" s="134">
        <v>12</v>
      </c>
      <c r="P165" s="111" t="s">
        <v>145</v>
      </c>
      <c r="Q165" s="207"/>
      <c r="R165" s="107">
        <f>O165*650000</f>
        <v>7800000</v>
      </c>
      <c r="S165" s="85">
        <f t="shared" si="109"/>
        <v>0.34834133699657421</v>
      </c>
      <c r="T165" s="99"/>
      <c r="U165" s="87"/>
      <c r="V165" s="87"/>
      <c r="W165" s="87"/>
      <c r="X165" s="87"/>
      <c r="Y165" s="88">
        <f>R165/12*5</f>
        <v>3250000</v>
      </c>
      <c r="Z165" s="99">
        <f t="shared" si="110"/>
        <v>41.666666666666671</v>
      </c>
      <c r="AA165" s="100">
        <f t="shared" si="111"/>
        <v>2.9761904761904763</v>
      </c>
      <c r="AB165" s="99">
        <f t="shared" si="112"/>
        <v>1.0367301696326613E-2</v>
      </c>
      <c r="AC165" s="88"/>
      <c r="AD165" s="88">
        <f t="shared" si="113"/>
        <v>4550000</v>
      </c>
      <c r="AE165" s="114"/>
    </row>
    <row r="166" spans="1:31" ht="12.95" customHeight="1" x14ac:dyDescent="0.35">
      <c r="A166" s="199"/>
      <c r="B166" s="234" t="s">
        <v>82</v>
      </c>
      <c r="C166" s="217" t="s">
        <v>159</v>
      </c>
      <c r="D166" s="111"/>
      <c r="E166" s="217"/>
      <c r="F166" s="217"/>
      <c r="G166" s="218"/>
      <c r="H166" s="107"/>
      <c r="I166" s="108"/>
      <c r="J166" s="109"/>
      <c r="K166" s="110"/>
      <c r="L166" s="111"/>
      <c r="M166" s="111"/>
      <c r="N166" s="111"/>
      <c r="O166" s="134">
        <v>24</v>
      </c>
      <c r="P166" s="111" t="s">
        <v>145</v>
      </c>
      <c r="Q166" s="207"/>
      <c r="R166" s="107">
        <f>O166*300000</f>
        <v>7200000</v>
      </c>
      <c r="S166" s="85">
        <f t="shared" si="109"/>
        <v>0.32154584953529924</v>
      </c>
      <c r="T166" s="99"/>
      <c r="U166" s="87"/>
      <c r="V166" s="87"/>
      <c r="W166" s="87"/>
      <c r="X166" s="87"/>
      <c r="Y166" s="88">
        <f>R166/12*5</f>
        <v>3000000</v>
      </c>
      <c r="Z166" s="99">
        <f t="shared" si="110"/>
        <v>41.666666666666671</v>
      </c>
      <c r="AA166" s="100">
        <f t="shared" si="111"/>
        <v>2.9761904761904763</v>
      </c>
      <c r="AB166" s="99">
        <f t="shared" si="112"/>
        <v>9.569816950455336E-3</v>
      </c>
      <c r="AC166" s="88"/>
      <c r="AD166" s="88">
        <f t="shared" si="113"/>
        <v>4200000</v>
      </c>
      <c r="AE166" s="114"/>
    </row>
    <row r="167" spans="1:31" ht="12.95" customHeight="1" x14ac:dyDescent="0.35">
      <c r="A167" s="132"/>
      <c r="B167" s="104"/>
      <c r="C167" s="511" t="s">
        <v>160</v>
      </c>
      <c r="D167" s="511"/>
      <c r="E167" s="511"/>
      <c r="F167" s="511"/>
      <c r="G167" s="512"/>
      <c r="H167" s="107"/>
      <c r="I167" s="108"/>
      <c r="J167" s="109"/>
      <c r="K167" s="110"/>
      <c r="L167" s="111"/>
      <c r="M167" s="111"/>
      <c r="N167" s="111"/>
      <c r="O167" s="112"/>
      <c r="P167" s="105"/>
      <c r="Q167" s="212"/>
      <c r="R167" s="188"/>
      <c r="S167" s="113"/>
      <c r="T167" s="195"/>
      <c r="U167" s="198"/>
      <c r="V167" s="198"/>
      <c r="W167" s="198"/>
      <c r="X167" s="198"/>
      <c r="Y167" s="116"/>
      <c r="Z167" s="195"/>
      <c r="AA167" s="100"/>
      <c r="AB167" s="197"/>
      <c r="AC167" s="116"/>
      <c r="AD167" s="116"/>
      <c r="AE167" s="114"/>
    </row>
    <row r="168" spans="1:31" ht="12.95" customHeight="1" x14ac:dyDescent="0.35">
      <c r="A168" s="199"/>
      <c r="B168" s="234" t="s">
        <v>82</v>
      </c>
      <c r="C168" s="217" t="s">
        <v>161</v>
      </c>
      <c r="D168" s="111"/>
      <c r="E168" s="217"/>
      <c r="F168" s="217"/>
      <c r="G168" s="217"/>
      <c r="H168" s="107"/>
      <c r="I168" s="108"/>
      <c r="J168" s="109"/>
      <c r="K168" s="110"/>
      <c r="L168" s="111"/>
      <c r="M168" s="111"/>
      <c r="N168" s="111"/>
      <c r="O168" s="134">
        <v>12</v>
      </c>
      <c r="P168" s="111" t="s">
        <v>145</v>
      </c>
      <c r="Q168" s="207"/>
      <c r="R168" s="107">
        <f>O168*350000</f>
        <v>4200000</v>
      </c>
      <c r="S168" s="85">
        <f t="shared" ref="S168:S171" si="114">+R168/$R$184*100</f>
        <v>0.18756841222892456</v>
      </c>
      <c r="T168" s="99"/>
      <c r="U168" s="87"/>
      <c r="V168" s="87"/>
      <c r="W168" s="87"/>
      <c r="X168" s="87"/>
      <c r="Y168" s="88">
        <f>R168/12*5</f>
        <v>1750000</v>
      </c>
      <c r="Z168" s="99">
        <f t="shared" ref="Z168:Z171" si="115">+Y168/R168*100</f>
        <v>41.666666666666671</v>
      </c>
      <c r="AA168" s="100">
        <f t="shared" ref="AA168:AA170" si="116">1/14*Z168</f>
        <v>2.9761904761904763</v>
      </c>
      <c r="AB168" s="99">
        <f t="shared" ref="AB168:AB171" si="117">AA168*S168/100</f>
        <v>5.5823932210989462E-3</v>
      </c>
      <c r="AC168" s="88"/>
      <c r="AD168" s="88">
        <f t="shared" ref="AD168:AD171" si="118">+R168-Y168</f>
        <v>2450000</v>
      </c>
      <c r="AE168" s="86"/>
    </row>
    <row r="169" spans="1:31" ht="12.95" customHeight="1" x14ac:dyDescent="0.35">
      <c r="A169" s="199"/>
      <c r="B169" s="234" t="s">
        <v>82</v>
      </c>
      <c r="C169" s="217" t="s">
        <v>162</v>
      </c>
      <c r="D169" s="111"/>
      <c r="E169" s="217"/>
      <c r="F169" s="217"/>
      <c r="G169" s="217"/>
      <c r="H169" s="107"/>
      <c r="I169" s="108"/>
      <c r="J169" s="109"/>
      <c r="K169" s="110"/>
      <c r="L169" s="111"/>
      <c r="M169" s="111"/>
      <c r="N169" s="111"/>
      <c r="O169" s="134">
        <v>12</v>
      </c>
      <c r="P169" s="111" t="s">
        <v>145</v>
      </c>
      <c r="Q169" s="207"/>
      <c r="R169" s="107">
        <f>O169*300000</f>
        <v>3600000</v>
      </c>
      <c r="S169" s="85">
        <f t="shared" si="114"/>
        <v>0.16077292476764962</v>
      </c>
      <c r="T169" s="99"/>
      <c r="U169" s="87"/>
      <c r="V169" s="87"/>
      <c r="W169" s="87"/>
      <c r="X169" s="87"/>
      <c r="Y169" s="88">
        <f>R169/12*5</f>
        <v>1500000</v>
      </c>
      <c r="Z169" s="99">
        <f t="shared" si="115"/>
        <v>41.666666666666671</v>
      </c>
      <c r="AA169" s="100">
        <f t="shared" si="116"/>
        <v>2.9761904761904763</v>
      </c>
      <c r="AB169" s="99">
        <f t="shared" si="117"/>
        <v>4.784908475227668E-3</v>
      </c>
      <c r="AC169" s="88"/>
      <c r="AD169" s="88">
        <f t="shared" si="118"/>
        <v>2100000</v>
      </c>
      <c r="AE169" s="114"/>
    </row>
    <row r="170" spans="1:31" ht="12.95" customHeight="1" x14ac:dyDescent="0.35">
      <c r="A170" s="199"/>
      <c r="B170" s="234" t="s">
        <v>82</v>
      </c>
      <c r="C170" s="217" t="s">
        <v>163</v>
      </c>
      <c r="D170" s="111"/>
      <c r="E170" s="217"/>
      <c r="F170" s="217"/>
      <c r="G170" s="217"/>
      <c r="H170" s="107"/>
      <c r="I170" s="108"/>
      <c r="J170" s="109"/>
      <c r="K170" s="110"/>
      <c r="L170" s="111"/>
      <c r="M170" s="111"/>
      <c r="N170" s="111"/>
      <c r="O170" s="134">
        <v>12</v>
      </c>
      <c r="P170" s="111" t="s">
        <v>145</v>
      </c>
      <c r="Q170" s="207"/>
      <c r="R170" s="107">
        <f>O170*250000</f>
        <v>3000000</v>
      </c>
      <c r="S170" s="85">
        <f t="shared" si="114"/>
        <v>0.13397743730637471</v>
      </c>
      <c r="T170" s="99"/>
      <c r="U170" s="87"/>
      <c r="V170" s="87"/>
      <c r="W170" s="87"/>
      <c r="X170" s="87"/>
      <c r="Y170" s="88">
        <f>R170/12*5</f>
        <v>1250000</v>
      </c>
      <c r="Z170" s="99">
        <f t="shared" si="115"/>
        <v>41.666666666666671</v>
      </c>
      <c r="AA170" s="100">
        <f t="shared" si="116"/>
        <v>2.9761904761904763</v>
      </c>
      <c r="AB170" s="99">
        <f t="shared" si="117"/>
        <v>3.9874237293563899E-3</v>
      </c>
      <c r="AC170" s="88"/>
      <c r="AD170" s="88">
        <f t="shared" si="118"/>
        <v>1750000</v>
      </c>
      <c r="AE170" s="114"/>
    </row>
    <row r="171" spans="1:31" ht="12.95" customHeight="1" x14ac:dyDescent="0.35">
      <c r="A171" s="199"/>
      <c r="B171" s="234" t="s">
        <v>82</v>
      </c>
      <c r="C171" s="217" t="s">
        <v>164</v>
      </c>
      <c r="D171" s="111"/>
      <c r="E171" s="217"/>
      <c r="F171" s="217"/>
      <c r="G171" s="217"/>
      <c r="H171" s="107"/>
      <c r="I171" s="108"/>
      <c r="J171" s="109"/>
      <c r="K171" s="110"/>
      <c r="L171" s="111"/>
      <c r="M171" s="111"/>
      <c r="N171" s="111"/>
      <c r="O171" s="134">
        <v>48</v>
      </c>
      <c r="P171" s="111" t="s">
        <v>145</v>
      </c>
      <c r="Q171" s="207"/>
      <c r="R171" s="107">
        <f>O171*200000</f>
        <v>9600000</v>
      </c>
      <c r="S171" s="85">
        <f t="shared" si="114"/>
        <v>0.42872779938039907</v>
      </c>
      <c r="T171" s="99"/>
      <c r="U171" s="87"/>
      <c r="V171" s="87"/>
      <c r="W171" s="87"/>
      <c r="X171" s="87"/>
      <c r="Y171" s="88">
        <f>R171/12*5</f>
        <v>4000000</v>
      </c>
      <c r="Z171" s="99">
        <f t="shared" si="115"/>
        <v>41.666666666666671</v>
      </c>
      <c r="AA171" s="100">
        <f>1/14*Z171</f>
        <v>2.9761904761904763</v>
      </c>
      <c r="AB171" s="99">
        <f t="shared" si="117"/>
        <v>1.2759755933940449E-2</v>
      </c>
      <c r="AC171" s="88"/>
      <c r="AD171" s="88">
        <f t="shared" si="118"/>
        <v>5600000</v>
      </c>
      <c r="AE171" s="114"/>
    </row>
    <row r="172" spans="1:31" ht="12.95" customHeight="1" x14ac:dyDescent="0.35">
      <c r="A172" s="199"/>
      <c r="B172" s="234"/>
      <c r="C172" s="217"/>
      <c r="D172" s="111"/>
      <c r="E172" s="217"/>
      <c r="F172" s="217"/>
      <c r="G172" s="217"/>
      <c r="H172" s="107"/>
      <c r="I172" s="108"/>
      <c r="J172" s="109"/>
      <c r="K172" s="110"/>
      <c r="L172" s="111"/>
      <c r="M172" s="111"/>
      <c r="N172" s="111"/>
      <c r="O172" s="134"/>
      <c r="P172" s="111"/>
      <c r="Q172" s="207"/>
      <c r="R172" s="107"/>
      <c r="S172" s="113"/>
      <c r="T172" s="195"/>
      <c r="U172" s="196"/>
      <c r="V172" s="196"/>
      <c r="W172" s="196"/>
      <c r="X172" s="196"/>
      <c r="Y172" s="116"/>
      <c r="Z172" s="195"/>
      <c r="AA172" s="100"/>
      <c r="AB172" s="197"/>
      <c r="AC172" s="116"/>
      <c r="AD172" s="116"/>
      <c r="AE172" s="114"/>
    </row>
    <row r="173" spans="1:31" ht="12.95" customHeight="1" x14ac:dyDescent="0.35">
      <c r="A173" s="219">
        <v>521219</v>
      </c>
      <c r="B173" s="211" t="s">
        <v>165</v>
      </c>
      <c r="C173" s="105"/>
      <c r="D173" s="105"/>
      <c r="E173" s="105"/>
      <c r="F173" s="105"/>
      <c r="G173" s="106"/>
      <c r="H173" s="188"/>
      <c r="I173" s="171"/>
      <c r="J173" s="170"/>
      <c r="K173" s="189"/>
      <c r="L173" s="105"/>
      <c r="M173" s="105"/>
      <c r="N173" s="105"/>
      <c r="O173" s="112"/>
      <c r="P173" s="105"/>
      <c r="Q173" s="212"/>
      <c r="R173" s="188"/>
      <c r="S173" s="113"/>
      <c r="T173" s="190"/>
      <c r="U173" s="191"/>
      <c r="V173" s="191"/>
      <c r="W173" s="191"/>
      <c r="X173" s="191"/>
      <c r="Y173" s="192"/>
      <c r="Z173" s="190"/>
      <c r="AA173" s="100"/>
      <c r="AB173" s="193"/>
      <c r="AC173" s="192"/>
      <c r="AD173" s="192"/>
      <c r="AE173" s="179"/>
    </row>
    <row r="174" spans="1:31" ht="12.95" customHeight="1" x14ac:dyDescent="0.35">
      <c r="A174" s="199"/>
      <c r="B174" s="299" t="s">
        <v>82</v>
      </c>
      <c r="C174" s="300" t="s">
        <v>166</v>
      </c>
      <c r="D174" s="81"/>
      <c r="E174" s="81"/>
      <c r="F174" s="81"/>
      <c r="G174" s="289"/>
      <c r="H174" s="77"/>
      <c r="I174" s="78"/>
      <c r="J174" s="79"/>
      <c r="K174" s="80"/>
      <c r="L174" s="81"/>
      <c r="M174" s="81"/>
      <c r="N174" s="81"/>
      <c r="O174" s="185">
        <v>1</v>
      </c>
      <c r="P174" s="81" t="s">
        <v>83</v>
      </c>
      <c r="Q174" s="144"/>
      <c r="R174" s="77">
        <f>O174*4500000</f>
        <v>4500000</v>
      </c>
      <c r="S174" s="85">
        <f t="shared" ref="S174:S175" si="119">+R174/$R$184*100</f>
        <v>0.20096615595956205</v>
      </c>
      <c r="T174" s="99"/>
      <c r="U174" s="87"/>
      <c r="V174" s="87"/>
      <c r="W174" s="87"/>
      <c r="X174" s="87"/>
      <c r="Y174" s="88">
        <v>0</v>
      </c>
      <c r="Z174" s="99">
        <f t="shared" ref="Z174:Z175" si="120">+Y174/R174*100</f>
        <v>0</v>
      </c>
      <c r="AA174" s="100">
        <f t="shared" ref="AA174:AA175" si="121">Z174</f>
        <v>0</v>
      </c>
      <c r="AB174" s="99">
        <f t="shared" ref="AB174:AB175" si="122">AA174*S174/100</f>
        <v>0</v>
      </c>
      <c r="AC174" s="88"/>
      <c r="AD174" s="88">
        <f t="shared" ref="AD174:AD175" si="123">+R174-Y174</f>
        <v>4500000</v>
      </c>
      <c r="AE174" s="86"/>
    </row>
    <row r="175" spans="1:31" ht="12.95" customHeight="1" x14ac:dyDescent="0.35">
      <c r="A175" s="199"/>
      <c r="B175" s="235" t="s">
        <v>82</v>
      </c>
      <c r="C175" s="216" t="s">
        <v>167</v>
      </c>
      <c r="D175" s="111"/>
      <c r="E175" s="111"/>
      <c r="F175" s="111"/>
      <c r="G175" s="137"/>
      <c r="H175" s="107"/>
      <c r="I175" s="108"/>
      <c r="J175" s="109"/>
      <c r="K175" s="110"/>
      <c r="L175" s="111"/>
      <c r="M175" s="111"/>
      <c r="N175" s="111"/>
      <c r="O175" s="134">
        <v>2</v>
      </c>
      <c r="P175" s="111" t="s">
        <v>147</v>
      </c>
      <c r="Q175" s="207"/>
      <c r="R175" s="107">
        <f>O175*3000000</f>
        <v>6000000</v>
      </c>
      <c r="S175" s="85">
        <f t="shared" si="119"/>
        <v>0.26795487461274942</v>
      </c>
      <c r="T175" s="99"/>
      <c r="U175" s="87"/>
      <c r="V175" s="87"/>
      <c r="W175" s="87"/>
      <c r="X175" s="87"/>
      <c r="Y175" s="88">
        <v>0</v>
      </c>
      <c r="Z175" s="99">
        <f t="shared" si="120"/>
        <v>0</v>
      </c>
      <c r="AA175" s="100">
        <f t="shared" si="121"/>
        <v>0</v>
      </c>
      <c r="AB175" s="99">
        <f t="shared" si="122"/>
        <v>0</v>
      </c>
      <c r="AC175" s="88"/>
      <c r="AD175" s="88">
        <f t="shared" si="123"/>
        <v>6000000</v>
      </c>
      <c r="AE175" s="114"/>
    </row>
    <row r="176" spans="1:31" ht="12.95" customHeight="1" x14ac:dyDescent="0.35">
      <c r="A176" s="199"/>
      <c r="B176" s="235"/>
      <c r="C176" s="216"/>
      <c r="D176" s="111"/>
      <c r="E176" s="111"/>
      <c r="F176" s="111"/>
      <c r="G176" s="137"/>
      <c r="H176" s="107"/>
      <c r="I176" s="108"/>
      <c r="J176" s="109"/>
      <c r="K176" s="110"/>
      <c r="L176" s="111"/>
      <c r="M176" s="111"/>
      <c r="N176" s="111"/>
      <c r="O176" s="134"/>
      <c r="P176" s="111"/>
      <c r="Q176" s="207"/>
      <c r="R176" s="107"/>
      <c r="S176" s="113"/>
      <c r="T176" s="195"/>
      <c r="U176" s="196"/>
      <c r="V176" s="196"/>
      <c r="W176" s="196"/>
      <c r="X176" s="196"/>
      <c r="Y176" s="116"/>
      <c r="Z176" s="195"/>
      <c r="AA176" s="100"/>
      <c r="AB176" s="197"/>
      <c r="AC176" s="116"/>
      <c r="AD176" s="116"/>
      <c r="AE176" s="114"/>
    </row>
    <row r="177" spans="1:32" ht="12.95" customHeight="1" x14ac:dyDescent="0.35">
      <c r="A177" s="219">
        <v>522141</v>
      </c>
      <c r="B177" s="513" t="s">
        <v>168</v>
      </c>
      <c r="C177" s="514"/>
      <c r="D177" s="514"/>
      <c r="E177" s="514"/>
      <c r="F177" s="514"/>
      <c r="G177" s="515"/>
      <c r="H177" s="107"/>
      <c r="I177" s="108"/>
      <c r="J177" s="109"/>
      <c r="K177" s="110"/>
      <c r="L177" s="111"/>
      <c r="M177" s="111"/>
      <c r="N177" s="111"/>
      <c r="O177" s="134"/>
      <c r="P177" s="111"/>
      <c r="Q177" s="207"/>
      <c r="R177" s="107"/>
      <c r="S177" s="113"/>
      <c r="T177" s="195"/>
      <c r="U177" s="196"/>
      <c r="V177" s="196"/>
      <c r="W177" s="196"/>
      <c r="X177" s="196"/>
      <c r="Y177" s="116"/>
      <c r="Z177" s="195"/>
      <c r="AA177" s="100"/>
      <c r="AB177" s="197"/>
      <c r="AC177" s="116"/>
      <c r="AD177" s="116"/>
      <c r="AE177" s="114"/>
    </row>
    <row r="178" spans="1:32" ht="12.95" customHeight="1" x14ac:dyDescent="0.35">
      <c r="A178" s="199"/>
      <c r="B178" s="235" t="s">
        <v>82</v>
      </c>
      <c r="C178" s="216" t="s">
        <v>169</v>
      </c>
      <c r="D178" s="111"/>
      <c r="E178" s="111"/>
      <c r="F178" s="111"/>
      <c r="G178" s="137"/>
      <c r="H178" s="107"/>
      <c r="I178" s="108"/>
      <c r="J178" s="109"/>
      <c r="K178" s="110"/>
      <c r="L178" s="111"/>
      <c r="M178" s="111"/>
      <c r="N178" s="111"/>
      <c r="O178" s="134">
        <v>1</v>
      </c>
      <c r="P178" s="111" t="s">
        <v>83</v>
      </c>
      <c r="Q178" s="207"/>
      <c r="R178" s="107">
        <f>O178*4000000</f>
        <v>4000000</v>
      </c>
      <c r="S178" s="85">
        <f t="shared" ref="S178" si="124">+R178/$R$184*100</f>
        <v>0.17863658307516625</v>
      </c>
      <c r="T178" s="99"/>
      <c r="U178" s="87"/>
      <c r="V178" s="87"/>
      <c r="W178" s="87"/>
      <c r="X178" s="87"/>
      <c r="Y178" s="88">
        <v>0</v>
      </c>
      <c r="Z178" s="99">
        <f t="shared" ref="Z178" si="125">+Y178/R178*100</f>
        <v>0</v>
      </c>
      <c r="AA178" s="100">
        <f t="shared" ref="AA178" si="126">Z178</f>
        <v>0</v>
      </c>
      <c r="AB178" s="99">
        <f t="shared" ref="AB178" si="127">AA178*S178/100</f>
        <v>0</v>
      </c>
      <c r="AC178" s="88"/>
      <c r="AD178" s="88">
        <f t="shared" ref="AD178" si="128">+R178-Y178</f>
        <v>4000000</v>
      </c>
      <c r="AE178" s="86"/>
    </row>
    <row r="179" spans="1:32" ht="12.95" customHeight="1" x14ac:dyDescent="0.35">
      <c r="A179" s="199"/>
      <c r="B179" s="235"/>
      <c r="C179" s="216"/>
      <c r="D179" s="111"/>
      <c r="E179" s="111"/>
      <c r="F179" s="111"/>
      <c r="G179" s="137"/>
      <c r="H179" s="107"/>
      <c r="I179" s="108"/>
      <c r="J179" s="109"/>
      <c r="K179" s="110"/>
      <c r="L179" s="111"/>
      <c r="M179" s="111"/>
      <c r="N179" s="111"/>
      <c r="O179" s="134"/>
      <c r="P179" s="111"/>
      <c r="Q179" s="207"/>
      <c r="R179" s="107"/>
      <c r="S179" s="113"/>
      <c r="T179" s="195"/>
      <c r="U179" s="196"/>
      <c r="V179" s="196"/>
      <c r="W179" s="196"/>
      <c r="X179" s="196"/>
      <c r="Y179" s="116"/>
      <c r="Z179" s="195"/>
      <c r="AA179" s="100"/>
      <c r="AB179" s="197"/>
      <c r="AC179" s="116"/>
      <c r="AD179" s="116"/>
      <c r="AE179" s="114"/>
    </row>
    <row r="180" spans="1:32" ht="12.95" customHeight="1" x14ac:dyDescent="0.35">
      <c r="A180" s="199">
        <v>524111</v>
      </c>
      <c r="B180" s="301" t="s">
        <v>85</v>
      </c>
      <c r="C180" s="216"/>
      <c r="D180" s="111"/>
      <c r="E180" s="111"/>
      <c r="F180" s="111"/>
      <c r="G180" s="137"/>
      <c r="H180" s="107"/>
      <c r="I180" s="108"/>
      <c r="J180" s="109"/>
      <c r="K180" s="110"/>
      <c r="L180" s="111"/>
      <c r="M180" s="111"/>
      <c r="N180" s="111"/>
      <c r="O180" s="134"/>
      <c r="P180" s="111"/>
      <c r="Q180" s="207"/>
      <c r="R180" s="107"/>
      <c r="S180" s="113"/>
      <c r="T180" s="195"/>
      <c r="U180" s="196"/>
      <c r="V180" s="196"/>
      <c r="W180" s="196"/>
      <c r="X180" s="196"/>
      <c r="Y180" s="116"/>
      <c r="Z180" s="195"/>
      <c r="AA180" s="100"/>
      <c r="AB180" s="197"/>
      <c r="AC180" s="116"/>
      <c r="AD180" s="116"/>
      <c r="AE180" s="114"/>
    </row>
    <row r="181" spans="1:32" ht="12.95" customHeight="1" x14ac:dyDescent="0.35">
      <c r="A181" s="199"/>
      <c r="B181" s="230" t="s">
        <v>82</v>
      </c>
      <c r="C181" s="217" t="s">
        <v>102</v>
      </c>
      <c r="D181" s="217"/>
      <c r="E181" s="217"/>
      <c r="F181" s="217"/>
      <c r="G181" s="218"/>
      <c r="H181" s="107"/>
      <c r="I181" s="108"/>
      <c r="J181" s="109"/>
      <c r="K181" s="110"/>
      <c r="L181" s="111"/>
      <c r="M181" s="111"/>
      <c r="N181" s="111"/>
      <c r="O181" s="134">
        <v>1</v>
      </c>
      <c r="P181" s="111" t="s">
        <v>83</v>
      </c>
      <c r="Q181" s="207"/>
      <c r="R181" s="107">
        <f>O181*40500000</f>
        <v>40500000</v>
      </c>
      <c r="S181" s="85">
        <f t="shared" ref="S181" si="129">+R181/$R$184*100</f>
        <v>1.8086954036360583</v>
      </c>
      <c r="T181" s="99"/>
      <c r="U181" s="87"/>
      <c r="V181" s="87"/>
      <c r="W181" s="87"/>
      <c r="X181" s="87"/>
      <c r="Y181" s="88">
        <v>19117000</v>
      </c>
      <c r="Z181" s="99">
        <f t="shared" ref="Z181" si="130">+Y181/R181*100</f>
        <v>47.202469135802474</v>
      </c>
      <c r="AA181" s="100">
        <f>4/12*Z181</f>
        <v>15.734156378600824</v>
      </c>
      <c r="AB181" s="99">
        <f t="shared" ref="AB181" si="131">AA181*S181/100</f>
        <v>0.28458296322066279</v>
      </c>
      <c r="AC181" s="88"/>
      <c r="AD181" s="88">
        <f t="shared" ref="AD181" si="132">+R181-Y181</f>
        <v>21383000</v>
      </c>
      <c r="AE181" s="86"/>
    </row>
    <row r="182" spans="1:32" ht="12.95" customHeight="1" x14ac:dyDescent="0.35">
      <c r="A182" s="302"/>
      <c r="B182" s="303"/>
      <c r="C182" s="304"/>
      <c r="D182" s="278"/>
      <c r="E182" s="278"/>
      <c r="F182" s="278"/>
      <c r="G182" s="101"/>
      <c r="H182" s="173"/>
      <c r="I182" s="290"/>
      <c r="J182" s="291"/>
      <c r="K182" s="292"/>
      <c r="L182" s="278"/>
      <c r="M182" s="278"/>
      <c r="N182" s="278"/>
      <c r="O182" s="293"/>
      <c r="P182" s="278"/>
      <c r="Q182" s="294"/>
      <c r="R182" s="173"/>
      <c r="S182" s="305"/>
      <c r="T182" s="175"/>
      <c r="U182" s="306"/>
      <c r="V182" s="306"/>
      <c r="W182" s="306"/>
      <c r="X182" s="306"/>
      <c r="Y182" s="177"/>
      <c r="Z182" s="175"/>
      <c r="AA182" s="178"/>
      <c r="AB182" s="295"/>
      <c r="AC182" s="177"/>
      <c r="AD182" s="177"/>
      <c r="AE182" s="174"/>
      <c r="AF182" s="90"/>
    </row>
    <row r="183" spans="1:32" ht="12.95" customHeight="1" x14ac:dyDescent="0.35">
      <c r="A183" s="199"/>
      <c r="B183" s="473"/>
      <c r="C183" s="217"/>
      <c r="D183" s="111"/>
      <c r="E183" s="217"/>
      <c r="F183" s="217"/>
      <c r="G183" s="217"/>
      <c r="H183" s="107"/>
      <c r="I183" s="108"/>
      <c r="J183" s="109"/>
      <c r="K183" s="110"/>
      <c r="L183" s="111"/>
      <c r="M183" s="111"/>
      <c r="N183" s="111"/>
      <c r="O183" s="134"/>
      <c r="P183" s="111"/>
      <c r="Q183" s="207"/>
      <c r="R183" s="107"/>
      <c r="S183" s="113"/>
      <c r="T183" s="195"/>
      <c r="U183" s="196"/>
      <c r="V183" s="196"/>
      <c r="W183" s="196"/>
      <c r="X183" s="196"/>
      <c r="Y183" s="116"/>
      <c r="Z183" s="195"/>
      <c r="AA183" s="202"/>
      <c r="AB183" s="197"/>
      <c r="AC183" s="116"/>
      <c r="AD183" s="116"/>
      <c r="AE183" s="114"/>
    </row>
    <row r="184" spans="1:32" s="28" customFormat="1" ht="14.25" customHeight="1" thickBot="1" x14ac:dyDescent="0.4">
      <c r="A184" s="238"/>
      <c r="B184" s="239" t="s">
        <v>171</v>
      </c>
      <c r="C184" s="240"/>
      <c r="D184" s="241"/>
      <c r="E184" s="241"/>
      <c r="F184" s="241"/>
      <c r="G184" s="242"/>
      <c r="H184" s="243"/>
      <c r="I184" s="244"/>
      <c r="J184" s="245"/>
      <c r="K184" s="246"/>
      <c r="L184" s="241"/>
      <c r="M184" s="241"/>
      <c r="N184" s="241"/>
      <c r="O184" s="247"/>
      <c r="P184" s="248"/>
      <c r="Q184" s="249"/>
      <c r="R184" s="250">
        <f>SUM(R17:R183)</f>
        <v>2239183000</v>
      </c>
      <c r="S184" s="251">
        <f>SUM(S26:S183)</f>
        <v>100.00000000000001</v>
      </c>
      <c r="T184" s="251">
        <f>SUM(T66:T183)</f>
        <v>0</v>
      </c>
      <c r="U184" s="252" t="s">
        <v>82</v>
      </c>
      <c r="V184" s="252" t="s">
        <v>82</v>
      </c>
      <c r="W184" s="252" t="s">
        <v>82</v>
      </c>
      <c r="X184" s="252" t="s">
        <v>82</v>
      </c>
      <c r="Y184" s="253">
        <f>SUM(Y17:Y183)</f>
        <v>806264825</v>
      </c>
      <c r="Z184" s="251">
        <f>+Y184/R184*100</f>
        <v>36.00709834792422</v>
      </c>
      <c r="AA184" s="254">
        <f>SUM(AA17:AA183)</f>
        <v>2095.7596667452517</v>
      </c>
      <c r="AB184" s="254">
        <f>SUM(AB17:AB183)</f>
        <v>22.19533699078978</v>
      </c>
      <c r="AC184" s="253">
        <f>SUM(AC17:AC183)</f>
        <v>0</v>
      </c>
      <c r="AD184" s="253">
        <f>SUM(AD17:AD183)</f>
        <v>1432918175</v>
      </c>
      <c r="AE184" s="255"/>
    </row>
    <row r="185" spans="1:32" ht="12.95" customHeight="1" thickTop="1" x14ac:dyDescent="0.35">
      <c r="A185" s="256"/>
      <c r="B185" s="466"/>
      <c r="C185" s="257"/>
      <c r="D185" s="13"/>
      <c r="E185" s="14"/>
      <c r="F185" s="14"/>
      <c r="G185" s="14"/>
      <c r="H185" s="258"/>
      <c r="I185" s="258"/>
      <c r="J185" s="258"/>
      <c r="K185" s="259"/>
    </row>
    <row r="186" spans="1:32" ht="12.95" customHeight="1" x14ac:dyDescent="0.35">
      <c r="A186" s="261"/>
      <c r="B186" s="262"/>
      <c r="C186" s="262"/>
      <c r="G186" s="516"/>
      <c r="H186" s="516"/>
      <c r="I186" s="516"/>
      <c r="J186" s="516"/>
      <c r="K186" s="516"/>
      <c r="AB186" s="502" t="s">
        <v>273</v>
      </c>
      <c r="AC186" s="502"/>
      <c r="AD186" s="502"/>
      <c r="AE186" s="502"/>
    </row>
    <row r="187" spans="1:32" ht="12.95" customHeight="1" x14ac:dyDescent="0.35">
      <c r="A187" s="261"/>
      <c r="B187" s="262"/>
      <c r="C187" s="262"/>
      <c r="G187" s="265"/>
      <c r="H187" s="266"/>
      <c r="I187" s="266"/>
      <c r="J187" s="266"/>
      <c r="K187" s="266"/>
      <c r="Q187" s="267" t="s">
        <v>172</v>
      </c>
    </row>
    <row r="188" spans="1:32" ht="12.95" customHeight="1" x14ac:dyDescent="0.35">
      <c r="A188" s="261"/>
      <c r="B188" s="262"/>
      <c r="C188" s="268"/>
      <c r="G188" s="265"/>
      <c r="H188" s="265"/>
      <c r="I188" s="265"/>
      <c r="J188" s="265"/>
      <c r="K188" s="265"/>
      <c r="Q188" s="267" t="s">
        <v>173</v>
      </c>
      <c r="AB188" s="502" t="s">
        <v>174</v>
      </c>
      <c r="AC188" s="502"/>
      <c r="AD188" s="502"/>
      <c r="AE188" s="502"/>
    </row>
    <row r="189" spans="1:32" ht="12.95" customHeight="1" x14ac:dyDescent="0.35">
      <c r="A189" s="261"/>
      <c r="B189" s="262"/>
      <c r="C189" s="262"/>
      <c r="G189" s="269"/>
      <c r="H189" s="269"/>
      <c r="I189" s="269"/>
      <c r="J189" s="269"/>
      <c r="K189" s="269"/>
      <c r="Q189" s="270" t="s">
        <v>175</v>
      </c>
    </row>
    <row r="190" spans="1:32" ht="12.95" customHeight="1" x14ac:dyDescent="0.35">
      <c r="A190" s="261"/>
      <c r="B190" s="262"/>
      <c r="C190" s="262"/>
      <c r="G190" s="28"/>
      <c r="H190" s="28"/>
      <c r="I190" s="271"/>
      <c r="J190" s="271"/>
      <c r="K190" s="272"/>
    </row>
    <row r="191" spans="1:32" ht="12.95" customHeight="1" x14ac:dyDescent="0.35">
      <c r="A191" s="273"/>
      <c r="G191" s="28"/>
      <c r="H191" s="28"/>
      <c r="I191" s="271"/>
      <c r="J191" s="271"/>
      <c r="K191" s="272"/>
      <c r="AB191" s="517" t="s">
        <v>176</v>
      </c>
      <c r="AC191" s="517"/>
      <c r="AD191" s="517"/>
      <c r="AE191" s="517"/>
    </row>
    <row r="192" spans="1:32" ht="12.95" customHeight="1" x14ac:dyDescent="0.35">
      <c r="A192" s="273"/>
      <c r="H192" s="13"/>
      <c r="I192" s="13"/>
      <c r="J192" s="272"/>
      <c r="K192" s="274"/>
      <c r="AB192" s="502" t="s">
        <v>177</v>
      </c>
      <c r="AC192" s="502"/>
      <c r="AD192" s="502"/>
      <c r="AE192" s="502"/>
    </row>
    <row r="193" spans="1:17" ht="18" customHeight="1" x14ac:dyDescent="0.35">
      <c r="A193" s="273"/>
      <c r="H193" s="13"/>
      <c r="I193" s="13"/>
      <c r="J193" s="272"/>
      <c r="K193" s="274"/>
      <c r="Q193" s="267" t="s">
        <v>178</v>
      </c>
    </row>
    <row r="194" spans="1:17" ht="18" customHeight="1" x14ac:dyDescent="0.35">
      <c r="A194" s="273"/>
      <c r="H194" s="268"/>
      <c r="I194" s="268"/>
      <c r="J194" s="268"/>
      <c r="K194" s="268"/>
    </row>
  </sheetData>
  <mergeCells count="34">
    <mergeCell ref="A1:S1"/>
    <mergeCell ref="A2:AE2"/>
    <mergeCell ref="A3:AE3"/>
    <mergeCell ref="F7:G7"/>
    <mergeCell ref="W11:X12"/>
    <mergeCell ref="Y11:Z11"/>
    <mergeCell ref="AA11:AB11"/>
    <mergeCell ref="AC11:AD12"/>
    <mergeCell ref="AE11:AE15"/>
    <mergeCell ref="A12:A15"/>
    <mergeCell ref="B12:G15"/>
    <mergeCell ref="H12:K12"/>
    <mergeCell ref="O12:P15"/>
    <mergeCell ref="Q12:Q15"/>
    <mergeCell ref="R12:R15"/>
    <mergeCell ref="T12:U12"/>
    <mergeCell ref="Y12:Z12"/>
    <mergeCell ref="AA12:AB12"/>
    <mergeCell ref="H13:I15"/>
    <mergeCell ref="J13:J15"/>
    <mergeCell ref="K13:K15"/>
    <mergeCell ref="S12:S15"/>
    <mergeCell ref="AB192:AE192"/>
    <mergeCell ref="B16:G16"/>
    <mergeCell ref="H16:I16"/>
    <mergeCell ref="O16:P16"/>
    <mergeCell ref="D68:G68"/>
    <mergeCell ref="B139:G139"/>
    <mergeCell ref="C167:G167"/>
    <mergeCell ref="B177:G177"/>
    <mergeCell ref="G186:K186"/>
    <mergeCell ref="AB186:AE186"/>
    <mergeCell ref="AB188:AE188"/>
    <mergeCell ref="AB191:AE191"/>
  </mergeCells>
  <printOptions horizontalCentered="1"/>
  <pageMargins left="0.25" right="0.25" top="0.5" bottom="0.5" header="0.511811023622047" footer="0.511811023622047"/>
  <pageSetup paperSize="5" scale="75" orientation="landscape" horizontalDpi="4294967294" r:id="rId1"/>
  <headerFooter alignWithMargins="0"/>
  <rowBreaks count="1" manualBreakCount="1">
    <brk id="92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3"/>
  </sheetPr>
  <dimension ref="A1:AO194"/>
  <sheetViews>
    <sheetView view="pageBreakPreview" topLeftCell="A170" zoomScale="91" zoomScaleSheetLayoutView="91" workbookViewId="0">
      <selection activeCell="AB187" sqref="AB187"/>
    </sheetView>
  </sheetViews>
  <sheetFormatPr defaultRowHeight="18" customHeight="1" x14ac:dyDescent="0.35"/>
  <cols>
    <col min="1" max="1" width="12.28515625" style="275" customWidth="1"/>
    <col min="2" max="2" width="2.42578125" style="263" customWidth="1"/>
    <col min="3" max="3" width="3.42578125" style="263" customWidth="1"/>
    <col min="4" max="4" width="13.28515625" style="263" customWidth="1"/>
    <col min="5" max="5" width="3.140625" style="263" customWidth="1"/>
    <col min="6" max="6" width="5.140625" style="263" customWidth="1"/>
    <col min="7" max="7" width="16.42578125" style="13" customWidth="1"/>
    <col min="8" max="8" width="6.85546875" style="263" hidden="1" customWidth="1"/>
    <col min="9" max="9" width="5.28515625" style="263" hidden="1" customWidth="1"/>
    <col min="10" max="10" width="16.140625" style="276" hidden="1" customWidth="1"/>
    <col min="11" max="11" width="22.42578125" style="277" hidden="1" customWidth="1"/>
    <col min="12" max="14" width="9.140625" style="13" hidden="1" customWidth="1"/>
    <col min="15" max="15" width="4.140625" style="13" customWidth="1"/>
    <col min="16" max="16" width="5.7109375" style="13" customWidth="1"/>
    <col min="17" max="17" width="16.140625" style="13" hidden="1" customWidth="1"/>
    <col min="18" max="18" width="15.7109375" style="13" customWidth="1"/>
    <col min="19" max="19" width="7.7109375" style="260" customWidth="1"/>
    <col min="20" max="20" width="9.140625" style="13"/>
    <col min="21" max="21" width="10.85546875" style="13" customWidth="1"/>
    <col min="22" max="22" width="9.7109375" style="13" customWidth="1"/>
    <col min="23" max="23" width="8.85546875" style="13" customWidth="1"/>
    <col min="24" max="24" width="10.7109375" style="13" customWidth="1"/>
    <col min="25" max="25" width="16" style="13" customWidth="1"/>
    <col min="26" max="26" width="8.7109375" style="13" customWidth="1"/>
    <col min="27" max="27" width="8.140625" style="13" bestFit="1" customWidth="1"/>
    <col min="28" max="28" width="8.7109375" style="13" customWidth="1"/>
    <col min="29" max="29" width="16" style="13" customWidth="1"/>
    <col min="30" max="30" width="16.140625" style="13" bestFit="1" customWidth="1"/>
    <col min="31" max="31" width="9.42578125" style="13" customWidth="1"/>
    <col min="32" max="256" width="9.140625" style="13"/>
    <col min="257" max="257" width="12.28515625" style="13" customWidth="1"/>
    <col min="258" max="258" width="2.42578125" style="13" customWidth="1"/>
    <col min="259" max="259" width="3.42578125" style="13" customWidth="1"/>
    <col min="260" max="260" width="13.28515625" style="13" customWidth="1"/>
    <col min="261" max="261" width="3.140625" style="13" customWidth="1"/>
    <col min="262" max="262" width="5.140625" style="13" customWidth="1"/>
    <col min="263" max="263" width="16.42578125" style="13" customWidth="1"/>
    <col min="264" max="270" width="0" style="13" hidden="1" customWidth="1"/>
    <col min="271" max="271" width="4.140625" style="13" customWidth="1"/>
    <col min="272" max="272" width="5.7109375" style="13" customWidth="1"/>
    <col min="273" max="273" width="0" style="13" hidden="1" customWidth="1"/>
    <col min="274" max="274" width="15.7109375" style="13" customWidth="1"/>
    <col min="275" max="275" width="7.7109375" style="13" customWidth="1"/>
    <col min="276" max="276" width="9.140625" style="13"/>
    <col min="277" max="277" width="10.85546875" style="13" customWidth="1"/>
    <col min="278" max="278" width="9.7109375" style="13" customWidth="1"/>
    <col min="279" max="279" width="8.85546875" style="13" customWidth="1"/>
    <col min="280" max="280" width="10.7109375" style="13" customWidth="1"/>
    <col min="281" max="281" width="16" style="13" customWidth="1"/>
    <col min="282" max="282" width="8.7109375" style="13" customWidth="1"/>
    <col min="283" max="283" width="6.5703125" style="13" bestFit="1" customWidth="1"/>
    <col min="284" max="284" width="8.7109375" style="13" customWidth="1"/>
    <col min="285" max="285" width="16" style="13" customWidth="1"/>
    <col min="286" max="286" width="15" style="13" customWidth="1"/>
    <col min="287" max="287" width="9.42578125" style="13" customWidth="1"/>
    <col min="288" max="512" width="9.140625" style="13"/>
    <col min="513" max="513" width="12.28515625" style="13" customWidth="1"/>
    <col min="514" max="514" width="2.42578125" style="13" customWidth="1"/>
    <col min="515" max="515" width="3.42578125" style="13" customWidth="1"/>
    <col min="516" max="516" width="13.28515625" style="13" customWidth="1"/>
    <col min="517" max="517" width="3.140625" style="13" customWidth="1"/>
    <col min="518" max="518" width="5.140625" style="13" customWidth="1"/>
    <col min="519" max="519" width="16.42578125" style="13" customWidth="1"/>
    <col min="520" max="526" width="0" style="13" hidden="1" customWidth="1"/>
    <col min="527" max="527" width="4.140625" style="13" customWidth="1"/>
    <col min="528" max="528" width="5.7109375" style="13" customWidth="1"/>
    <col min="529" max="529" width="0" style="13" hidden="1" customWidth="1"/>
    <col min="530" max="530" width="15.7109375" style="13" customWidth="1"/>
    <col min="531" max="531" width="7.7109375" style="13" customWidth="1"/>
    <col min="532" max="532" width="9.140625" style="13"/>
    <col min="533" max="533" width="10.85546875" style="13" customWidth="1"/>
    <col min="534" max="534" width="9.7109375" style="13" customWidth="1"/>
    <col min="535" max="535" width="8.85546875" style="13" customWidth="1"/>
    <col min="536" max="536" width="10.7109375" style="13" customWidth="1"/>
    <col min="537" max="537" width="16" style="13" customWidth="1"/>
    <col min="538" max="538" width="8.7109375" style="13" customWidth="1"/>
    <col min="539" max="539" width="6.5703125" style="13" bestFit="1" customWidth="1"/>
    <col min="540" max="540" width="8.7109375" style="13" customWidth="1"/>
    <col min="541" max="541" width="16" style="13" customWidth="1"/>
    <col min="542" max="542" width="15" style="13" customWidth="1"/>
    <col min="543" max="543" width="9.42578125" style="13" customWidth="1"/>
    <col min="544" max="768" width="9.140625" style="13"/>
    <col min="769" max="769" width="12.28515625" style="13" customWidth="1"/>
    <col min="770" max="770" width="2.42578125" style="13" customWidth="1"/>
    <col min="771" max="771" width="3.42578125" style="13" customWidth="1"/>
    <col min="772" max="772" width="13.28515625" style="13" customWidth="1"/>
    <col min="773" max="773" width="3.140625" style="13" customWidth="1"/>
    <col min="774" max="774" width="5.140625" style="13" customWidth="1"/>
    <col min="775" max="775" width="16.42578125" style="13" customWidth="1"/>
    <col min="776" max="782" width="0" style="13" hidden="1" customWidth="1"/>
    <col min="783" max="783" width="4.140625" style="13" customWidth="1"/>
    <col min="784" max="784" width="5.7109375" style="13" customWidth="1"/>
    <col min="785" max="785" width="0" style="13" hidden="1" customWidth="1"/>
    <col min="786" max="786" width="15.7109375" style="13" customWidth="1"/>
    <col min="787" max="787" width="7.7109375" style="13" customWidth="1"/>
    <col min="788" max="788" width="9.140625" style="13"/>
    <col min="789" max="789" width="10.85546875" style="13" customWidth="1"/>
    <col min="790" max="790" width="9.7109375" style="13" customWidth="1"/>
    <col min="791" max="791" width="8.85546875" style="13" customWidth="1"/>
    <col min="792" max="792" width="10.7109375" style="13" customWidth="1"/>
    <col min="793" max="793" width="16" style="13" customWidth="1"/>
    <col min="794" max="794" width="8.7109375" style="13" customWidth="1"/>
    <col min="795" max="795" width="6.5703125" style="13" bestFit="1" customWidth="1"/>
    <col min="796" max="796" width="8.7109375" style="13" customWidth="1"/>
    <col min="797" max="797" width="16" style="13" customWidth="1"/>
    <col min="798" max="798" width="15" style="13" customWidth="1"/>
    <col min="799" max="799" width="9.42578125" style="13" customWidth="1"/>
    <col min="800" max="1024" width="9.140625" style="13"/>
    <col min="1025" max="1025" width="12.28515625" style="13" customWidth="1"/>
    <col min="1026" max="1026" width="2.42578125" style="13" customWidth="1"/>
    <col min="1027" max="1027" width="3.42578125" style="13" customWidth="1"/>
    <col min="1028" max="1028" width="13.28515625" style="13" customWidth="1"/>
    <col min="1029" max="1029" width="3.140625" style="13" customWidth="1"/>
    <col min="1030" max="1030" width="5.140625" style="13" customWidth="1"/>
    <col min="1031" max="1031" width="16.42578125" style="13" customWidth="1"/>
    <col min="1032" max="1038" width="0" style="13" hidden="1" customWidth="1"/>
    <col min="1039" max="1039" width="4.140625" style="13" customWidth="1"/>
    <col min="1040" max="1040" width="5.7109375" style="13" customWidth="1"/>
    <col min="1041" max="1041" width="0" style="13" hidden="1" customWidth="1"/>
    <col min="1042" max="1042" width="15.7109375" style="13" customWidth="1"/>
    <col min="1043" max="1043" width="7.7109375" style="13" customWidth="1"/>
    <col min="1044" max="1044" width="9.140625" style="13"/>
    <col min="1045" max="1045" width="10.85546875" style="13" customWidth="1"/>
    <col min="1046" max="1046" width="9.7109375" style="13" customWidth="1"/>
    <col min="1047" max="1047" width="8.85546875" style="13" customWidth="1"/>
    <col min="1048" max="1048" width="10.7109375" style="13" customWidth="1"/>
    <col min="1049" max="1049" width="16" style="13" customWidth="1"/>
    <col min="1050" max="1050" width="8.7109375" style="13" customWidth="1"/>
    <col min="1051" max="1051" width="6.5703125" style="13" bestFit="1" customWidth="1"/>
    <col min="1052" max="1052" width="8.7109375" style="13" customWidth="1"/>
    <col min="1053" max="1053" width="16" style="13" customWidth="1"/>
    <col min="1054" max="1054" width="15" style="13" customWidth="1"/>
    <col min="1055" max="1055" width="9.42578125" style="13" customWidth="1"/>
    <col min="1056" max="1280" width="9.140625" style="13"/>
    <col min="1281" max="1281" width="12.28515625" style="13" customWidth="1"/>
    <col min="1282" max="1282" width="2.42578125" style="13" customWidth="1"/>
    <col min="1283" max="1283" width="3.42578125" style="13" customWidth="1"/>
    <col min="1284" max="1284" width="13.28515625" style="13" customWidth="1"/>
    <col min="1285" max="1285" width="3.140625" style="13" customWidth="1"/>
    <col min="1286" max="1286" width="5.140625" style="13" customWidth="1"/>
    <col min="1287" max="1287" width="16.42578125" style="13" customWidth="1"/>
    <col min="1288" max="1294" width="0" style="13" hidden="1" customWidth="1"/>
    <col min="1295" max="1295" width="4.140625" style="13" customWidth="1"/>
    <col min="1296" max="1296" width="5.7109375" style="13" customWidth="1"/>
    <col min="1297" max="1297" width="0" style="13" hidden="1" customWidth="1"/>
    <col min="1298" max="1298" width="15.7109375" style="13" customWidth="1"/>
    <col min="1299" max="1299" width="7.7109375" style="13" customWidth="1"/>
    <col min="1300" max="1300" width="9.140625" style="13"/>
    <col min="1301" max="1301" width="10.85546875" style="13" customWidth="1"/>
    <col min="1302" max="1302" width="9.7109375" style="13" customWidth="1"/>
    <col min="1303" max="1303" width="8.85546875" style="13" customWidth="1"/>
    <col min="1304" max="1304" width="10.7109375" style="13" customWidth="1"/>
    <col min="1305" max="1305" width="16" style="13" customWidth="1"/>
    <col min="1306" max="1306" width="8.7109375" style="13" customWidth="1"/>
    <col min="1307" max="1307" width="6.5703125" style="13" bestFit="1" customWidth="1"/>
    <col min="1308" max="1308" width="8.7109375" style="13" customWidth="1"/>
    <col min="1309" max="1309" width="16" style="13" customWidth="1"/>
    <col min="1310" max="1310" width="15" style="13" customWidth="1"/>
    <col min="1311" max="1311" width="9.42578125" style="13" customWidth="1"/>
    <col min="1312" max="1536" width="9.140625" style="13"/>
    <col min="1537" max="1537" width="12.28515625" style="13" customWidth="1"/>
    <col min="1538" max="1538" width="2.42578125" style="13" customWidth="1"/>
    <col min="1539" max="1539" width="3.42578125" style="13" customWidth="1"/>
    <col min="1540" max="1540" width="13.28515625" style="13" customWidth="1"/>
    <col min="1541" max="1541" width="3.140625" style="13" customWidth="1"/>
    <col min="1542" max="1542" width="5.140625" style="13" customWidth="1"/>
    <col min="1543" max="1543" width="16.42578125" style="13" customWidth="1"/>
    <col min="1544" max="1550" width="0" style="13" hidden="1" customWidth="1"/>
    <col min="1551" max="1551" width="4.140625" style="13" customWidth="1"/>
    <col min="1552" max="1552" width="5.7109375" style="13" customWidth="1"/>
    <col min="1553" max="1553" width="0" style="13" hidden="1" customWidth="1"/>
    <col min="1554" max="1554" width="15.7109375" style="13" customWidth="1"/>
    <col min="1555" max="1555" width="7.7109375" style="13" customWidth="1"/>
    <col min="1556" max="1556" width="9.140625" style="13"/>
    <col min="1557" max="1557" width="10.85546875" style="13" customWidth="1"/>
    <col min="1558" max="1558" width="9.7109375" style="13" customWidth="1"/>
    <col min="1559" max="1559" width="8.85546875" style="13" customWidth="1"/>
    <col min="1560" max="1560" width="10.7109375" style="13" customWidth="1"/>
    <col min="1561" max="1561" width="16" style="13" customWidth="1"/>
    <col min="1562" max="1562" width="8.7109375" style="13" customWidth="1"/>
    <col min="1563" max="1563" width="6.5703125" style="13" bestFit="1" customWidth="1"/>
    <col min="1564" max="1564" width="8.7109375" style="13" customWidth="1"/>
    <col min="1565" max="1565" width="16" style="13" customWidth="1"/>
    <col min="1566" max="1566" width="15" style="13" customWidth="1"/>
    <col min="1567" max="1567" width="9.42578125" style="13" customWidth="1"/>
    <col min="1568" max="1792" width="9.140625" style="13"/>
    <col min="1793" max="1793" width="12.28515625" style="13" customWidth="1"/>
    <col min="1794" max="1794" width="2.42578125" style="13" customWidth="1"/>
    <col min="1795" max="1795" width="3.42578125" style="13" customWidth="1"/>
    <col min="1796" max="1796" width="13.28515625" style="13" customWidth="1"/>
    <col min="1797" max="1797" width="3.140625" style="13" customWidth="1"/>
    <col min="1798" max="1798" width="5.140625" style="13" customWidth="1"/>
    <col min="1799" max="1799" width="16.42578125" style="13" customWidth="1"/>
    <col min="1800" max="1806" width="0" style="13" hidden="1" customWidth="1"/>
    <col min="1807" max="1807" width="4.140625" style="13" customWidth="1"/>
    <col min="1808" max="1808" width="5.7109375" style="13" customWidth="1"/>
    <col min="1809" max="1809" width="0" style="13" hidden="1" customWidth="1"/>
    <col min="1810" max="1810" width="15.7109375" style="13" customWidth="1"/>
    <col min="1811" max="1811" width="7.7109375" style="13" customWidth="1"/>
    <col min="1812" max="1812" width="9.140625" style="13"/>
    <col min="1813" max="1813" width="10.85546875" style="13" customWidth="1"/>
    <col min="1814" max="1814" width="9.7109375" style="13" customWidth="1"/>
    <col min="1815" max="1815" width="8.85546875" style="13" customWidth="1"/>
    <col min="1816" max="1816" width="10.7109375" style="13" customWidth="1"/>
    <col min="1817" max="1817" width="16" style="13" customWidth="1"/>
    <col min="1818" max="1818" width="8.7109375" style="13" customWidth="1"/>
    <col min="1819" max="1819" width="6.5703125" style="13" bestFit="1" customWidth="1"/>
    <col min="1820" max="1820" width="8.7109375" style="13" customWidth="1"/>
    <col min="1821" max="1821" width="16" style="13" customWidth="1"/>
    <col min="1822" max="1822" width="15" style="13" customWidth="1"/>
    <col min="1823" max="1823" width="9.42578125" style="13" customWidth="1"/>
    <col min="1824" max="2048" width="9.140625" style="13"/>
    <col min="2049" max="2049" width="12.28515625" style="13" customWidth="1"/>
    <col min="2050" max="2050" width="2.42578125" style="13" customWidth="1"/>
    <col min="2051" max="2051" width="3.42578125" style="13" customWidth="1"/>
    <col min="2052" max="2052" width="13.28515625" style="13" customWidth="1"/>
    <col min="2053" max="2053" width="3.140625" style="13" customWidth="1"/>
    <col min="2054" max="2054" width="5.140625" style="13" customWidth="1"/>
    <col min="2055" max="2055" width="16.42578125" style="13" customWidth="1"/>
    <col min="2056" max="2062" width="0" style="13" hidden="1" customWidth="1"/>
    <col min="2063" max="2063" width="4.140625" style="13" customWidth="1"/>
    <col min="2064" max="2064" width="5.7109375" style="13" customWidth="1"/>
    <col min="2065" max="2065" width="0" style="13" hidden="1" customWidth="1"/>
    <col min="2066" max="2066" width="15.7109375" style="13" customWidth="1"/>
    <col min="2067" max="2067" width="7.7109375" style="13" customWidth="1"/>
    <col min="2068" max="2068" width="9.140625" style="13"/>
    <col min="2069" max="2069" width="10.85546875" style="13" customWidth="1"/>
    <col min="2070" max="2070" width="9.7109375" style="13" customWidth="1"/>
    <col min="2071" max="2071" width="8.85546875" style="13" customWidth="1"/>
    <col min="2072" max="2072" width="10.7109375" style="13" customWidth="1"/>
    <col min="2073" max="2073" width="16" style="13" customWidth="1"/>
    <col min="2074" max="2074" width="8.7109375" style="13" customWidth="1"/>
    <col min="2075" max="2075" width="6.5703125" style="13" bestFit="1" customWidth="1"/>
    <col min="2076" max="2076" width="8.7109375" style="13" customWidth="1"/>
    <col min="2077" max="2077" width="16" style="13" customWidth="1"/>
    <col min="2078" max="2078" width="15" style="13" customWidth="1"/>
    <col min="2079" max="2079" width="9.42578125" style="13" customWidth="1"/>
    <col min="2080" max="2304" width="9.140625" style="13"/>
    <col min="2305" max="2305" width="12.28515625" style="13" customWidth="1"/>
    <col min="2306" max="2306" width="2.42578125" style="13" customWidth="1"/>
    <col min="2307" max="2307" width="3.42578125" style="13" customWidth="1"/>
    <col min="2308" max="2308" width="13.28515625" style="13" customWidth="1"/>
    <col min="2309" max="2309" width="3.140625" style="13" customWidth="1"/>
    <col min="2310" max="2310" width="5.140625" style="13" customWidth="1"/>
    <col min="2311" max="2311" width="16.42578125" style="13" customWidth="1"/>
    <col min="2312" max="2318" width="0" style="13" hidden="1" customWidth="1"/>
    <col min="2319" max="2319" width="4.140625" style="13" customWidth="1"/>
    <col min="2320" max="2320" width="5.7109375" style="13" customWidth="1"/>
    <col min="2321" max="2321" width="0" style="13" hidden="1" customWidth="1"/>
    <col min="2322" max="2322" width="15.7109375" style="13" customWidth="1"/>
    <col min="2323" max="2323" width="7.7109375" style="13" customWidth="1"/>
    <col min="2324" max="2324" width="9.140625" style="13"/>
    <col min="2325" max="2325" width="10.85546875" style="13" customWidth="1"/>
    <col min="2326" max="2326" width="9.7109375" style="13" customWidth="1"/>
    <col min="2327" max="2327" width="8.85546875" style="13" customWidth="1"/>
    <col min="2328" max="2328" width="10.7109375" style="13" customWidth="1"/>
    <col min="2329" max="2329" width="16" style="13" customWidth="1"/>
    <col min="2330" max="2330" width="8.7109375" style="13" customWidth="1"/>
    <col min="2331" max="2331" width="6.5703125" style="13" bestFit="1" customWidth="1"/>
    <col min="2332" max="2332" width="8.7109375" style="13" customWidth="1"/>
    <col min="2333" max="2333" width="16" style="13" customWidth="1"/>
    <col min="2334" max="2334" width="15" style="13" customWidth="1"/>
    <col min="2335" max="2335" width="9.42578125" style="13" customWidth="1"/>
    <col min="2336" max="2560" width="9.140625" style="13"/>
    <col min="2561" max="2561" width="12.28515625" style="13" customWidth="1"/>
    <col min="2562" max="2562" width="2.42578125" style="13" customWidth="1"/>
    <col min="2563" max="2563" width="3.42578125" style="13" customWidth="1"/>
    <col min="2564" max="2564" width="13.28515625" style="13" customWidth="1"/>
    <col min="2565" max="2565" width="3.140625" style="13" customWidth="1"/>
    <col min="2566" max="2566" width="5.140625" style="13" customWidth="1"/>
    <col min="2567" max="2567" width="16.42578125" style="13" customWidth="1"/>
    <col min="2568" max="2574" width="0" style="13" hidden="1" customWidth="1"/>
    <col min="2575" max="2575" width="4.140625" style="13" customWidth="1"/>
    <col min="2576" max="2576" width="5.7109375" style="13" customWidth="1"/>
    <col min="2577" max="2577" width="0" style="13" hidden="1" customWidth="1"/>
    <col min="2578" max="2578" width="15.7109375" style="13" customWidth="1"/>
    <col min="2579" max="2579" width="7.7109375" style="13" customWidth="1"/>
    <col min="2580" max="2580" width="9.140625" style="13"/>
    <col min="2581" max="2581" width="10.85546875" style="13" customWidth="1"/>
    <col min="2582" max="2582" width="9.7109375" style="13" customWidth="1"/>
    <col min="2583" max="2583" width="8.85546875" style="13" customWidth="1"/>
    <col min="2584" max="2584" width="10.7109375" style="13" customWidth="1"/>
    <col min="2585" max="2585" width="16" style="13" customWidth="1"/>
    <col min="2586" max="2586" width="8.7109375" style="13" customWidth="1"/>
    <col min="2587" max="2587" width="6.5703125" style="13" bestFit="1" customWidth="1"/>
    <col min="2588" max="2588" width="8.7109375" style="13" customWidth="1"/>
    <col min="2589" max="2589" width="16" style="13" customWidth="1"/>
    <col min="2590" max="2590" width="15" style="13" customWidth="1"/>
    <col min="2591" max="2591" width="9.42578125" style="13" customWidth="1"/>
    <col min="2592" max="2816" width="9.140625" style="13"/>
    <col min="2817" max="2817" width="12.28515625" style="13" customWidth="1"/>
    <col min="2818" max="2818" width="2.42578125" style="13" customWidth="1"/>
    <col min="2819" max="2819" width="3.42578125" style="13" customWidth="1"/>
    <col min="2820" max="2820" width="13.28515625" style="13" customWidth="1"/>
    <col min="2821" max="2821" width="3.140625" style="13" customWidth="1"/>
    <col min="2822" max="2822" width="5.140625" style="13" customWidth="1"/>
    <col min="2823" max="2823" width="16.42578125" style="13" customWidth="1"/>
    <col min="2824" max="2830" width="0" style="13" hidden="1" customWidth="1"/>
    <col min="2831" max="2831" width="4.140625" style="13" customWidth="1"/>
    <col min="2832" max="2832" width="5.7109375" style="13" customWidth="1"/>
    <col min="2833" max="2833" width="0" style="13" hidden="1" customWidth="1"/>
    <col min="2834" max="2834" width="15.7109375" style="13" customWidth="1"/>
    <col min="2835" max="2835" width="7.7109375" style="13" customWidth="1"/>
    <col min="2836" max="2836" width="9.140625" style="13"/>
    <col min="2837" max="2837" width="10.85546875" style="13" customWidth="1"/>
    <col min="2838" max="2838" width="9.7109375" style="13" customWidth="1"/>
    <col min="2839" max="2839" width="8.85546875" style="13" customWidth="1"/>
    <col min="2840" max="2840" width="10.7109375" style="13" customWidth="1"/>
    <col min="2841" max="2841" width="16" style="13" customWidth="1"/>
    <col min="2842" max="2842" width="8.7109375" style="13" customWidth="1"/>
    <col min="2843" max="2843" width="6.5703125" style="13" bestFit="1" customWidth="1"/>
    <col min="2844" max="2844" width="8.7109375" style="13" customWidth="1"/>
    <col min="2845" max="2845" width="16" style="13" customWidth="1"/>
    <col min="2846" max="2846" width="15" style="13" customWidth="1"/>
    <col min="2847" max="2847" width="9.42578125" style="13" customWidth="1"/>
    <col min="2848" max="3072" width="9.140625" style="13"/>
    <col min="3073" max="3073" width="12.28515625" style="13" customWidth="1"/>
    <col min="3074" max="3074" width="2.42578125" style="13" customWidth="1"/>
    <col min="3075" max="3075" width="3.42578125" style="13" customWidth="1"/>
    <col min="3076" max="3076" width="13.28515625" style="13" customWidth="1"/>
    <col min="3077" max="3077" width="3.140625" style="13" customWidth="1"/>
    <col min="3078" max="3078" width="5.140625" style="13" customWidth="1"/>
    <col min="3079" max="3079" width="16.42578125" style="13" customWidth="1"/>
    <col min="3080" max="3086" width="0" style="13" hidden="1" customWidth="1"/>
    <col min="3087" max="3087" width="4.140625" style="13" customWidth="1"/>
    <col min="3088" max="3088" width="5.7109375" style="13" customWidth="1"/>
    <col min="3089" max="3089" width="0" style="13" hidden="1" customWidth="1"/>
    <col min="3090" max="3090" width="15.7109375" style="13" customWidth="1"/>
    <col min="3091" max="3091" width="7.7109375" style="13" customWidth="1"/>
    <col min="3092" max="3092" width="9.140625" style="13"/>
    <col min="3093" max="3093" width="10.85546875" style="13" customWidth="1"/>
    <col min="3094" max="3094" width="9.7109375" style="13" customWidth="1"/>
    <col min="3095" max="3095" width="8.85546875" style="13" customWidth="1"/>
    <col min="3096" max="3096" width="10.7109375" style="13" customWidth="1"/>
    <col min="3097" max="3097" width="16" style="13" customWidth="1"/>
    <col min="3098" max="3098" width="8.7109375" style="13" customWidth="1"/>
    <col min="3099" max="3099" width="6.5703125" style="13" bestFit="1" customWidth="1"/>
    <col min="3100" max="3100" width="8.7109375" style="13" customWidth="1"/>
    <col min="3101" max="3101" width="16" style="13" customWidth="1"/>
    <col min="3102" max="3102" width="15" style="13" customWidth="1"/>
    <col min="3103" max="3103" width="9.42578125" style="13" customWidth="1"/>
    <col min="3104" max="3328" width="9.140625" style="13"/>
    <col min="3329" max="3329" width="12.28515625" style="13" customWidth="1"/>
    <col min="3330" max="3330" width="2.42578125" style="13" customWidth="1"/>
    <col min="3331" max="3331" width="3.42578125" style="13" customWidth="1"/>
    <col min="3332" max="3332" width="13.28515625" style="13" customWidth="1"/>
    <col min="3333" max="3333" width="3.140625" style="13" customWidth="1"/>
    <col min="3334" max="3334" width="5.140625" style="13" customWidth="1"/>
    <col min="3335" max="3335" width="16.42578125" style="13" customWidth="1"/>
    <col min="3336" max="3342" width="0" style="13" hidden="1" customWidth="1"/>
    <col min="3343" max="3343" width="4.140625" style="13" customWidth="1"/>
    <col min="3344" max="3344" width="5.7109375" style="13" customWidth="1"/>
    <col min="3345" max="3345" width="0" style="13" hidden="1" customWidth="1"/>
    <col min="3346" max="3346" width="15.7109375" style="13" customWidth="1"/>
    <col min="3347" max="3347" width="7.7109375" style="13" customWidth="1"/>
    <col min="3348" max="3348" width="9.140625" style="13"/>
    <col min="3349" max="3349" width="10.85546875" style="13" customWidth="1"/>
    <col min="3350" max="3350" width="9.7109375" style="13" customWidth="1"/>
    <col min="3351" max="3351" width="8.85546875" style="13" customWidth="1"/>
    <col min="3352" max="3352" width="10.7109375" style="13" customWidth="1"/>
    <col min="3353" max="3353" width="16" style="13" customWidth="1"/>
    <col min="3354" max="3354" width="8.7109375" style="13" customWidth="1"/>
    <col min="3355" max="3355" width="6.5703125" style="13" bestFit="1" customWidth="1"/>
    <col min="3356" max="3356" width="8.7109375" style="13" customWidth="1"/>
    <col min="3357" max="3357" width="16" style="13" customWidth="1"/>
    <col min="3358" max="3358" width="15" style="13" customWidth="1"/>
    <col min="3359" max="3359" width="9.42578125" style="13" customWidth="1"/>
    <col min="3360" max="3584" width="9.140625" style="13"/>
    <col min="3585" max="3585" width="12.28515625" style="13" customWidth="1"/>
    <col min="3586" max="3586" width="2.42578125" style="13" customWidth="1"/>
    <col min="3587" max="3587" width="3.42578125" style="13" customWidth="1"/>
    <col min="3588" max="3588" width="13.28515625" style="13" customWidth="1"/>
    <col min="3589" max="3589" width="3.140625" style="13" customWidth="1"/>
    <col min="3590" max="3590" width="5.140625" style="13" customWidth="1"/>
    <col min="3591" max="3591" width="16.42578125" style="13" customWidth="1"/>
    <col min="3592" max="3598" width="0" style="13" hidden="1" customWidth="1"/>
    <col min="3599" max="3599" width="4.140625" style="13" customWidth="1"/>
    <col min="3600" max="3600" width="5.7109375" style="13" customWidth="1"/>
    <col min="3601" max="3601" width="0" style="13" hidden="1" customWidth="1"/>
    <col min="3602" max="3602" width="15.7109375" style="13" customWidth="1"/>
    <col min="3603" max="3603" width="7.7109375" style="13" customWidth="1"/>
    <col min="3604" max="3604" width="9.140625" style="13"/>
    <col min="3605" max="3605" width="10.85546875" style="13" customWidth="1"/>
    <col min="3606" max="3606" width="9.7109375" style="13" customWidth="1"/>
    <col min="3607" max="3607" width="8.85546875" style="13" customWidth="1"/>
    <col min="3608" max="3608" width="10.7109375" style="13" customWidth="1"/>
    <col min="3609" max="3609" width="16" style="13" customWidth="1"/>
    <col min="3610" max="3610" width="8.7109375" style="13" customWidth="1"/>
    <col min="3611" max="3611" width="6.5703125" style="13" bestFit="1" customWidth="1"/>
    <col min="3612" max="3612" width="8.7109375" style="13" customWidth="1"/>
    <col min="3613" max="3613" width="16" style="13" customWidth="1"/>
    <col min="3614" max="3614" width="15" style="13" customWidth="1"/>
    <col min="3615" max="3615" width="9.42578125" style="13" customWidth="1"/>
    <col min="3616" max="3840" width="9.140625" style="13"/>
    <col min="3841" max="3841" width="12.28515625" style="13" customWidth="1"/>
    <col min="3842" max="3842" width="2.42578125" style="13" customWidth="1"/>
    <col min="3843" max="3843" width="3.42578125" style="13" customWidth="1"/>
    <col min="3844" max="3844" width="13.28515625" style="13" customWidth="1"/>
    <col min="3845" max="3845" width="3.140625" style="13" customWidth="1"/>
    <col min="3846" max="3846" width="5.140625" style="13" customWidth="1"/>
    <col min="3847" max="3847" width="16.42578125" style="13" customWidth="1"/>
    <col min="3848" max="3854" width="0" style="13" hidden="1" customWidth="1"/>
    <col min="3855" max="3855" width="4.140625" style="13" customWidth="1"/>
    <col min="3856" max="3856" width="5.7109375" style="13" customWidth="1"/>
    <col min="3857" max="3857" width="0" style="13" hidden="1" customWidth="1"/>
    <col min="3858" max="3858" width="15.7109375" style="13" customWidth="1"/>
    <col min="3859" max="3859" width="7.7109375" style="13" customWidth="1"/>
    <col min="3860" max="3860" width="9.140625" style="13"/>
    <col min="3861" max="3861" width="10.85546875" style="13" customWidth="1"/>
    <col min="3862" max="3862" width="9.7109375" style="13" customWidth="1"/>
    <col min="3863" max="3863" width="8.85546875" style="13" customWidth="1"/>
    <col min="3864" max="3864" width="10.7109375" style="13" customWidth="1"/>
    <col min="3865" max="3865" width="16" style="13" customWidth="1"/>
    <col min="3866" max="3866" width="8.7109375" style="13" customWidth="1"/>
    <col min="3867" max="3867" width="6.5703125" style="13" bestFit="1" customWidth="1"/>
    <col min="3868" max="3868" width="8.7109375" style="13" customWidth="1"/>
    <col min="3869" max="3869" width="16" style="13" customWidth="1"/>
    <col min="3870" max="3870" width="15" style="13" customWidth="1"/>
    <col min="3871" max="3871" width="9.42578125" style="13" customWidth="1"/>
    <col min="3872" max="4096" width="9.140625" style="13"/>
    <col min="4097" max="4097" width="12.28515625" style="13" customWidth="1"/>
    <col min="4098" max="4098" width="2.42578125" style="13" customWidth="1"/>
    <col min="4099" max="4099" width="3.42578125" style="13" customWidth="1"/>
    <col min="4100" max="4100" width="13.28515625" style="13" customWidth="1"/>
    <col min="4101" max="4101" width="3.140625" style="13" customWidth="1"/>
    <col min="4102" max="4102" width="5.140625" style="13" customWidth="1"/>
    <col min="4103" max="4103" width="16.42578125" style="13" customWidth="1"/>
    <col min="4104" max="4110" width="0" style="13" hidden="1" customWidth="1"/>
    <col min="4111" max="4111" width="4.140625" style="13" customWidth="1"/>
    <col min="4112" max="4112" width="5.7109375" style="13" customWidth="1"/>
    <col min="4113" max="4113" width="0" style="13" hidden="1" customWidth="1"/>
    <col min="4114" max="4114" width="15.7109375" style="13" customWidth="1"/>
    <col min="4115" max="4115" width="7.7109375" style="13" customWidth="1"/>
    <col min="4116" max="4116" width="9.140625" style="13"/>
    <col min="4117" max="4117" width="10.85546875" style="13" customWidth="1"/>
    <col min="4118" max="4118" width="9.7109375" style="13" customWidth="1"/>
    <col min="4119" max="4119" width="8.85546875" style="13" customWidth="1"/>
    <col min="4120" max="4120" width="10.7109375" style="13" customWidth="1"/>
    <col min="4121" max="4121" width="16" style="13" customWidth="1"/>
    <col min="4122" max="4122" width="8.7109375" style="13" customWidth="1"/>
    <col min="4123" max="4123" width="6.5703125" style="13" bestFit="1" customWidth="1"/>
    <col min="4124" max="4124" width="8.7109375" style="13" customWidth="1"/>
    <col min="4125" max="4125" width="16" style="13" customWidth="1"/>
    <col min="4126" max="4126" width="15" style="13" customWidth="1"/>
    <col min="4127" max="4127" width="9.42578125" style="13" customWidth="1"/>
    <col min="4128" max="4352" width="9.140625" style="13"/>
    <col min="4353" max="4353" width="12.28515625" style="13" customWidth="1"/>
    <col min="4354" max="4354" width="2.42578125" style="13" customWidth="1"/>
    <col min="4355" max="4355" width="3.42578125" style="13" customWidth="1"/>
    <col min="4356" max="4356" width="13.28515625" style="13" customWidth="1"/>
    <col min="4357" max="4357" width="3.140625" style="13" customWidth="1"/>
    <col min="4358" max="4358" width="5.140625" style="13" customWidth="1"/>
    <col min="4359" max="4359" width="16.42578125" style="13" customWidth="1"/>
    <col min="4360" max="4366" width="0" style="13" hidden="1" customWidth="1"/>
    <col min="4367" max="4367" width="4.140625" style="13" customWidth="1"/>
    <col min="4368" max="4368" width="5.7109375" style="13" customWidth="1"/>
    <col min="4369" max="4369" width="0" style="13" hidden="1" customWidth="1"/>
    <col min="4370" max="4370" width="15.7109375" style="13" customWidth="1"/>
    <col min="4371" max="4371" width="7.7109375" style="13" customWidth="1"/>
    <col min="4372" max="4372" width="9.140625" style="13"/>
    <col min="4373" max="4373" width="10.85546875" style="13" customWidth="1"/>
    <col min="4374" max="4374" width="9.7109375" style="13" customWidth="1"/>
    <col min="4375" max="4375" width="8.85546875" style="13" customWidth="1"/>
    <col min="4376" max="4376" width="10.7109375" style="13" customWidth="1"/>
    <col min="4377" max="4377" width="16" style="13" customWidth="1"/>
    <col min="4378" max="4378" width="8.7109375" style="13" customWidth="1"/>
    <col min="4379" max="4379" width="6.5703125" style="13" bestFit="1" customWidth="1"/>
    <col min="4380" max="4380" width="8.7109375" style="13" customWidth="1"/>
    <col min="4381" max="4381" width="16" style="13" customWidth="1"/>
    <col min="4382" max="4382" width="15" style="13" customWidth="1"/>
    <col min="4383" max="4383" width="9.42578125" style="13" customWidth="1"/>
    <col min="4384" max="4608" width="9.140625" style="13"/>
    <col min="4609" max="4609" width="12.28515625" style="13" customWidth="1"/>
    <col min="4610" max="4610" width="2.42578125" style="13" customWidth="1"/>
    <col min="4611" max="4611" width="3.42578125" style="13" customWidth="1"/>
    <col min="4612" max="4612" width="13.28515625" style="13" customWidth="1"/>
    <col min="4613" max="4613" width="3.140625" style="13" customWidth="1"/>
    <col min="4614" max="4614" width="5.140625" style="13" customWidth="1"/>
    <col min="4615" max="4615" width="16.42578125" style="13" customWidth="1"/>
    <col min="4616" max="4622" width="0" style="13" hidden="1" customWidth="1"/>
    <col min="4623" max="4623" width="4.140625" style="13" customWidth="1"/>
    <col min="4624" max="4624" width="5.7109375" style="13" customWidth="1"/>
    <col min="4625" max="4625" width="0" style="13" hidden="1" customWidth="1"/>
    <col min="4626" max="4626" width="15.7109375" style="13" customWidth="1"/>
    <col min="4627" max="4627" width="7.7109375" style="13" customWidth="1"/>
    <col min="4628" max="4628" width="9.140625" style="13"/>
    <col min="4629" max="4629" width="10.85546875" style="13" customWidth="1"/>
    <col min="4630" max="4630" width="9.7109375" style="13" customWidth="1"/>
    <col min="4631" max="4631" width="8.85546875" style="13" customWidth="1"/>
    <col min="4632" max="4632" width="10.7109375" style="13" customWidth="1"/>
    <col min="4633" max="4633" width="16" style="13" customWidth="1"/>
    <col min="4634" max="4634" width="8.7109375" style="13" customWidth="1"/>
    <col min="4635" max="4635" width="6.5703125" style="13" bestFit="1" customWidth="1"/>
    <col min="4636" max="4636" width="8.7109375" style="13" customWidth="1"/>
    <col min="4637" max="4637" width="16" style="13" customWidth="1"/>
    <col min="4638" max="4638" width="15" style="13" customWidth="1"/>
    <col min="4639" max="4639" width="9.42578125" style="13" customWidth="1"/>
    <col min="4640" max="4864" width="9.140625" style="13"/>
    <col min="4865" max="4865" width="12.28515625" style="13" customWidth="1"/>
    <col min="4866" max="4866" width="2.42578125" style="13" customWidth="1"/>
    <col min="4867" max="4867" width="3.42578125" style="13" customWidth="1"/>
    <col min="4868" max="4868" width="13.28515625" style="13" customWidth="1"/>
    <col min="4869" max="4869" width="3.140625" style="13" customWidth="1"/>
    <col min="4870" max="4870" width="5.140625" style="13" customWidth="1"/>
    <col min="4871" max="4871" width="16.42578125" style="13" customWidth="1"/>
    <col min="4872" max="4878" width="0" style="13" hidden="1" customWidth="1"/>
    <col min="4879" max="4879" width="4.140625" style="13" customWidth="1"/>
    <col min="4880" max="4880" width="5.7109375" style="13" customWidth="1"/>
    <col min="4881" max="4881" width="0" style="13" hidden="1" customWidth="1"/>
    <col min="4882" max="4882" width="15.7109375" style="13" customWidth="1"/>
    <col min="4883" max="4883" width="7.7109375" style="13" customWidth="1"/>
    <col min="4884" max="4884" width="9.140625" style="13"/>
    <col min="4885" max="4885" width="10.85546875" style="13" customWidth="1"/>
    <col min="4886" max="4886" width="9.7109375" style="13" customWidth="1"/>
    <col min="4887" max="4887" width="8.85546875" style="13" customWidth="1"/>
    <col min="4888" max="4888" width="10.7109375" style="13" customWidth="1"/>
    <col min="4889" max="4889" width="16" style="13" customWidth="1"/>
    <col min="4890" max="4890" width="8.7109375" style="13" customWidth="1"/>
    <col min="4891" max="4891" width="6.5703125" style="13" bestFit="1" customWidth="1"/>
    <col min="4892" max="4892" width="8.7109375" style="13" customWidth="1"/>
    <col min="4893" max="4893" width="16" style="13" customWidth="1"/>
    <col min="4894" max="4894" width="15" style="13" customWidth="1"/>
    <col min="4895" max="4895" width="9.42578125" style="13" customWidth="1"/>
    <col min="4896" max="5120" width="9.140625" style="13"/>
    <col min="5121" max="5121" width="12.28515625" style="13" customWidth="1"/>
    <col min="5122" max="5122" width="2.42578125" style="13" customWidth="1"/>
    <col min="5123" max="5123" width="3.42578125" style="13" customWidth="1"/>
    <col min="5124" max="5124" width="13.28515625" style="13" customWidth="1"/>
    <col min="5125" max="5125" width="3.140625" style="13" customWidth="1"/>
    <col min="5126" max="5126" width="5.140625" style="13" customWidth="1"/>
    <col min="5127" max="5127" width="16.42578125" style="13" customWidth="1"/>
    <col min="5128" max="5134" width="0" style="13" hidden="1" customWidth="1"/>
    <col min="5135" max="5135" width="4.140625" style="13" customWidth="1"/>
    <col min="5136" max="5136" width="5.7109375" style="13" customWidth="1"/>
    <col min="5137" max="5137" width="0" style="13" hidden="1" customWidth="1"/>
    <col min="5138" max="5138" width="15.7109375" style="13" customWidth="1"/>
    <col min="5139" max="5139" width="7.7109375" style="13" customWidth="1"/>
    <col min="5140" max="5140" width="9.140625" style="13"/>
    <col min="5141" max="5141" width="10.85546875" style="13" customWidth="1"/>
    <col min="5142" max="5142" width="9.7109375" style="13" customWidth="1"/>
    <col min="5143" max="5143" width="8.85546875" style="13" customWidth="1"/>
    <col min="5144" max="5144" width="10.7109375" style="13" customWidth="1"/>
    <col min="5145" max="5145" width="16" style="13" customWidth="1"/>
    <col min="5146" max="5146" width="8.7109375" style="13" customWidth="1"/>
    <col min="5147" max="5147" width="6.5703125" style="13" bestFit="1" customWidth="1"/>
    <col min="5148" max="5148" width="8.7109375" style="13" customWidth="1"/>
    <col min="5149" max="5149" width="16" style="13" customWidth="1"/>
    <col min="5150" max="5150" width="15" style="13" customWidth="1"/>
    <col min="5151" max="5151" width="9.42578125" style="13" customWidth="1"/>
    <col min="5152" max="5376" width="9.140625" style="13"/>
    <col min="5377" max="5377" width="12.28515625" style="13" customWidth="1"/>
    <col min="5378" max="5378" width="2.42578125" style="13" customWidth="1"/>
    <col min="5379" max="5379" width="3.42578125" style="13" customWidth="1"/>
    <col min="5380" max="5380" width="13.28515625" style="13" customWidth="1"/>
    <col min="5381" max="5381" width="3.140625" style="13" customWidth="1"/>
    <col min="5382" max="5382" width="5.140625" style="13" customWidth="1"/>
    <col min="5383" max="5383" width="16.42578125" style="13" customWidth="1"/>
    <col min="5384" max="5390" width="0" style="13" hidden="1" customWidth="1"/>
    <col min="5391" max="5391" width="4.140625" style="13" customWidth="1"/>
    <col min="5392" max="5392" width="5.7109375" style="13" customWidth="1"/>
    <col min="5393" max="5393" width="0" style="13" hidden="1" customWidth="1"/>
    <col min="5394" max="5394" width="15.7109375" style="13" customWidth="1"/>
    <col min="5395" max="5395" width="7.7109375" style="13" customWidth="1"/>
    <col min="5396" max="5396" width="9.140625" style="13"/>
    <col min="5397" max="5397" width="10.85546875" style="13" customWidth="1"/>
    <col min="5398" max="5398" width="9.7109375" style="13" customWidth="1"/>
    <col min="5399" max="5399" width="8.85546875" style="13" customWidth="1"/>
    <col min="5400" max="5400" width="10.7109375" style="13" customWidth="1"/>
    <col min="5401" max="5401" width="16" style="13" customWidth="1"/>
    <col min="5402" max="5402" width="8.7109375" style="13" customWidth="1"/>
    <col min="5403" max="5403" width="6.5703125" style="13" bestFit="1" customWidth="1"/>
    <col min="5404" max="5404" width="8.7109375" style="13" customWidth="1"/>
    <col min="5405" max="5405" width="16" style="13" customWidth="1"/>
    <col min="5406" max="5406" width="15" style="13" customWidth="1"/>
    <col min="5407" max="5407" width="9.42578125" style="13" customWidth="1"/>
    <col min="5408" max="5632" width="9.140625" style="13"/>
    <col min="5633" max="5633" width="12.28515625" style="13" customWidth="1"/>
    <col min="5634" max="5634" width="2.42578125" style="13" customWidth="1"/>
    <col min="5635" max="5635" width="3.42578125" style="13" customWidth="1"/>
    <col min="5636" max="5636" width="13.28515625" style="13" customWidth="1"/>
    <col min="5637" max="5637" width="3.140625" style="13" customWidth="1"/>
    <col min="5638" max="5638" width="5.140625" style="13" customWidth="1"/>
    <col min="5639" max="5639" width="16.42578125" style="13" customWidth="1"/>
    <col min="5640" max="5646" width="0" style="13" hidden="1" customWidth="1"/>
    <col min="5647" max="5647" width="4.140625" style="13" customWidth="1"/>
    <col min="5648" max="5648" width="5.7109375" style="13" customWidth="1"/>
    <col min="5649" max="5649" width="0" style="13" hidden="1" customWidth="1"/>
    <col min="5650" max="5650" width="15.7109375" style="13" customWidth="1"/>
    <col min="5651" max="5651" width="7.7109375" style="13" customWidth="1"/>
    <col min="5652" max="5652" width="9.140625" style="13"/>
    <col min="5653" max="5653" width="10.85546875" style="13" customWidth="1"/>
    <col min="5654" max="5654" width="9.7109375" style="13" customWidth="1"/>
    <col min="5655" max="5655" width="8.85546875" style="13" customWidth="1"/>
    <col min="5656" max="5656" width="10.7109375" style="13" customWidth="1"/>
    <col min="5657" max="5657" width="16" style="13" customWidth="1"/>
    <col min="5658" max="5658" width="8.7109375" style="13" customWidth="1"/>
    <col min="5659" max="5659" width="6.5703125" style="13" bestFit="1" customWidth="1"/>
    <col min="5660" max="5660" width="8.7109375" style="13" customWidth="1"/>
    <col min="5661" max="5661" width="16" style="13" customWidth="1"/>
    <col min="5662" max="5662" width="15" style="13" customWidth="1"/>
    <col min="5663" max="5663" width="9.42578125" style="13" customWidth="1"/>
    <col min="5664" max="5888" width="9.140625" style="13"/>
    <col min="5889" max="5889" width="12.28515625" style="13" customWidth="1"/>
    <col min="5890" max="5890" width="2.42578125" style="13" customWidth="1"/>
    <col min="5891" max="5891" width="3.42578125" style="13" customWidth="1"/>
    <col min="5892" max="5892" width="13.28515625" style="13" customWidth="1"/>
    <col min="5893" max="5893" width="3.140625" style="13" customWidth="1"/>
    <col min="5894" max="5894" width="5.140625" style="13" customWidth="1"/>
    <col min="5895" max="5895" width="16.42578125" style="13" customWidth="1"/>
    <col min="5896" max="5902" width="0" style="13" hidden="1" customWidth="1"/>
    <col min="5903" max="5903" width="4.140625" style="13" customWidth="1"/>
    <col min="5904" max="5904" width="5.7109375" style="13" customWidth="1"/>
    <col min="5905" max="5905" width="0" style="13" hidden="1" customWidth="1"/>
    <col min="5906" max="5906" width="15.7109375" style="13" customWidth="1"/>
    <col min="5907" max="5907" width="7.7109375" style="13" customWidth="1"/>
    <col min="5908" max="5908" width="9.140625" style="13"/>
    <col min="5909" max="5909" width="10.85546875" style="13" customWidth="1"/>
    <col min="5910" max="5910" width="9.7109375" style="13" customWidth="1"/>
    <col min="5911" max="5911" width="8.85546875" style="13" customWidth="1"/>
    <col min="5912" max="5912" width="10.7109375" style="13" customWidth="1"/>
    <col min="5913" max="5913" width="16" style="13" customWidth="1"/>
    <col min="5914" max="5914" width="8.7109375" style="13" customWidth="1"/>
    <col min="5915" max="5915" width="6.5703125" style="13" bestFit="1" customWidth="1"/>
    <col min="5916" max="5916" width="8.7109375" style="13" customWidth="1"/>
    <col min="5917" max="5917" width="16" style="13" customWidth="1"/>
    <col min="5918" max="5918" width="15" style="13" customWidth="1"/>
    <col min="5919" max="5919" width="9.42578125" style="13" customWidth="1"/>
    <col min="5920" max="6144" width="9.140625" style="13"/>
    <col min="6145" max="6145" width="12.28515625" style="13" customWidth="1"/>
    <col min="6146" max="6146" width="2.42578125" style="13" customWidth="1"/>
    <col min="6147" max="6147" width="3.42578125" style="13" customWidth="1"/>
    <col min="6148" max="6148" width="13.28515625" style="13" customWidth="1"/>
    <col min="6149" max="6149" width="3.140625" style="13" customWidth="1"/>
    <col min="6150" max="6150" width="5.140625" style="13" customWidth="1"/>
    <col min="6151" max="6151" width="16.42578125" style="13" customWidth="1"/>
    <col min="6152" max="6158" width="0" style="13" hidden="1" customWidth="1"/>
    <col min="6159" max="6159" width="4.140625" style="13" customWidth="1"/>
    <col min="6160" max="6160" width="5.7109375" style="13" customWidth="1"/>
    <col min="6161" max="6161" width="0" style="13" hidden="1" customWidth="1"/>
    <col min="6162" max="6162" width="15.7109375" style="13" customWidth="1"/>
    <col min="6163" max="6163" width="7.7109375" style="13" customWidth="1"/>
    <col min="6164" max="6164" width="9.140625" style="13"/>
    <col min="6165" max="6165" width="10.85546875" style="13" customWidth="1"/>
    <col min="6166" max="6166" width="9.7109375" style="13" customWidth="1"/>
    <col min="6167" max="6167" width="8.85546875" style="13" customWidth="1"/>
    <col min="6168" max="6168" width="10.7109375" style="13" customWidth="1"/>
    <col min="6169" max="6169" width="16" style="13" customWidth="1"/>
    <col min="6170" max="6170" width="8.7109375" style="13" customWidth="1"/>
    <col min="6171" max="6171" width="6.5703125" style="13" bestFit="1" customWidth="1"/>
    <col min="6172" max="6172" width="8.7109375" style="13" customWidth="1"/>
    <col min="6173" max="6173" width="16" style="13" customWidth="1"/>
    <col min="6174" max="6174" width="15" style="13" customWidth="1"/>
    <col min="6175" max="6175" width="9.42578125" style="13" customWidth="1"/>
    <col min="6176" max="6400" width="9.140625" style="13"/>
    <col min="6401" max="6401" width="12.28515625" style="13" customWidth="1"/>
    <col min="6402" max="6402" width="2.42578125" style="13" customWidth="1"/>
    <col min="6403" max="6403" width="3.42578125" style="13" customWidth="1"/>
    <col min="6404" max="6404" width="13.28515625" style="13" customWidth="1"/>
    <col min="6405" max="6405" width="3.140625" style="13" customWidth="1"/>
    <col min="6406" max="6406" width="5.140625" style="13" customWidth="1"/>
    <col min="6407" max="6407" width="16.42578125" style="13" customWidth="1"/>
    <col min="6408" max="6414" width="0" style="13" hidden="1" customWidth="1"/>
    <col min="6415" max="6415" width="4.140625" style="13" customWidth="1"/>
    <col min="6416" max="6416" width="5.7109375" style="13" customWidth="1"/>
    <col min="6417" max="6417" width="0" style="13" hidden="1" customWidth="1"/>
    <col min="6418" max="6418" width="15.7109375" style="13" customWidth="1"/>
    <col min="6419" max="6419" width="7.7109375" style="13" customWidth="1"/>
    <col min="6420" max="6420" width="9.140625" style="13"/>
    <col min="6421" max="6421" width="10.85546875" style="13" customWidth="1"/>
    <col min="6422" max="6422" width="9.7109375" style="13" customWidth="1"/>
    <col min="6423" max="6423" width="8.85546875" style="13" customWidth="1"/>
    <col min="6424" max="6424" width="10.7109375" style="13" customWidth="1"/>
    <col min="6425" max="6425" width="16" style="13" customWidth="1"/>
    <col min="6426" max="6426" width="8.7109375" style="13" customWidth="1"/>
    <col min="6427" max="6427" width="6.5703125" style="13" bestFit="1" customWidth="1"/>
    <col min="6428" max="6428" width="8.7109375" style="13" customWidth="1"/>
    <col min="6429" max="6429" width="16" style="13" customWidth="1"/>
    <col min="6430" max="6430" width="15" style="13" customWidth="1"/>
    <col min="6431" max="6431" width="9.42578125" style="13" customWidth="1"/>
    <col min="6432" max="6656" width="9.140625" style="13"/>
    <col min="6657" max="6657" width="12.28515625" style="13" customWidth="1"/>
    <col min="6658" max="6658" width="2.42578125" style="13" customWidth="1"/>
    <col min="6659" max="6659" width="3.42578125" style="13" customWidth="1"/>
    <col min="6660" max="6660" width="13.28515625" style="13" customWidth="1"/>
    <col min="6661" max="6661" width="3.140625" style="13" customWidth="1"/>
    <col min="6662" max="6662" width="5.140625" style="13" customWidth="1"/>
    <col min="6663" max="6663" width="16.42578125" style="13" customWidth="1"/>
    <col min="6664" max="6670" width="0" style="13" hidden="1" customWidth="1"/>
    <col min="6671" max="6671" width="4.140625" style="13" customWidth="1"/>
    <col min="6672" max="6672" width="5.7109375" style="13" customWidth="1"/>
    <col min="6673" max="6673" width="0" style="13" hidden="1" customWidth="1"/>
    <col min="6674" max="6674" width="15.7109375" style="13" customWidth="1"/>
    <col min="6675" max="6675" width="7.7109375" style="13" customWidth="1"/>
    <col min="6676" max="6676" width="9.140625" style="13"/>
    <col min="6677" max="6677" width="10.85546875" style="13" customWidth="1"/>
    <col min="6678" max="6678" width="9.7109375" style="13" customWidth="1"/>
    <col min="6679" max="6679" width="8.85546875" style="13" customWidth="1"/>
    <col min="6680" max="6680" width="10.7109375" style="13" customWidth="1"/>
    <col min="6681" max="6681" width="16" style="13" customWidth="1"/>
    <col min="6682" max="6682" width="8.7109375" style="13" customWidth="1"/>
    <col min="6683" max="6683" width="6.5703125" style="13" bestFit="1" customWidth="1"/>
    <col min="6684" max="6684" width="8.7109375" style="13" customWidth="1"/>
    <col min="6685" max="6685" width="16" style="13" customWidth="1"/>
    <col min="6686" max="6686" width="15" style="13" customWidth="1"/>
    <col min="6687" max="6687" width="9.42578125" style="13" customWidth="1"/>
    <col min="6688" max="6912" width="9.140625" style="13"/>
    <col min="6913" max="6913" width="12.28515625" style="13" customWidth="1"/>
    <col min="6914" max="6914" width="2.42578125" style="13" customWidth="1"/>
    <col min="6915" max="6915" width="3.42578125" style="13" customWidth="1"/>
    <col min="6916" max="6916" width="13.28515625" style="13" customWidth="1"/>
    <col min="6917" max="6917" width="3.140625" style="13" customWidth="1"/>
    <col min="6918" max="6918" width="5.140625" style="13" customWidth="1"/>
    <col min="6919" max="6919" width="16.42578125" style="13" customWidth="1"/>
    <col min="6920" max="6926" width="0" style="13" hidden="1" customWidth="1"/>
    <col min="6927" max="6927" width="4.140625" style="13" customWidth="1"/>
    <col min="6928" max="6928" width="5.7109375" style="13" customWidth="1"/>
    <col min="6929" max="6929" width="0" style="13" hidden="1" customWidth="1"/>
    <col min="6930" max="6930" width="15.7109375" style="13" customWidth="1"/>
    <col min="6931" max="6931" width="7.7109375" style="13" customWidth="1"/>
    <col min="6932" max="6932" width="9.140625" style="13"/>
    <col min="6933" max="6933" width="10.85546875" style="13" customWidth="1"/>
    <col min="6934" max="6934" width="9.7109375" style="13" customWidth="1"/>
    <col min="6935" max="6935" width="8.85546875" style="13" customWidth="1"/>
    <col min="6936" max="6936" width="10.7109375" style="13" customWidth="1"/>
    <col min="6937" max="6937" width="16" style="13" customWidth="1"/>
    <col min="6938" max="6938" width="8.7109375" style="13" customWidth="1"/>
    <col min="6939" max="6939" width="6.5703125" style="13" bestFit="1" customWidth="1"/>
    <col min="6940" max="6940" width="8.7109375" style="13" customWidth="1"/>
    <col min="6941" max="6941" width="16" style="13" customWidth="1"/>
    <col min="6942" max="6942" width="15" style="13" customWidth="1"/>
    <col min="6943" max="6943" width="9.42578125" style="13" customWidth="1"/>
    <col min="6944" max="7168" width="9.140625" style="13"/>
    <col min="7169" max="7169" width="12.28515625" style="13" customWidth="1"/>
    <col min="7170" max="7170" width="2.42578125" style="13" customWidth="1"/>
    <col min="7171" max="7171" width="3.42578125" style="13" customWidth="1"/>
    <col min="7172" max="7172" width="13.28515625" style="13" customWidth="1"/>
    <col min="7173" max="7173" width="3.140625" style="13" customWidth="1"/>
    <col min="7174" max="7174" width="5.140625" style="13" customWidth="1"/>
    <col min="7175" max="7175" width="16.42578125" style="13" customWidth="1"/>
    <col min="7176" max="7182" width="0" style="13" hidden="1" customWidth="1"/>
    <col min="7183" max="7183" width="4.140625" style="13" customWidth="1"/>
    <col min="7184" max="7184" width="5.7109375" style="13" customWidth="1"/>
    <col min="7185" max="7185" width="0" style="13" hidden="1" customWidth="1"/>
    <col min="7186" max="7186" width="15.7109375" style="13" customWidth="1"/>
    <col min="7187" max="7187" width="7.7109375" style="13" customWidth="1"/>
    <col min="7188" max="7188" width="9.140625" style="13"/>
    <col min="7189" max="7189" width="10.85546875" style="13" customWidth="1"/>
    <col min="7190" max="7190" width="9.7109375" style="13" customWidth="1"/>
    <col min="7191" max="7191" width="8.85546875" style="13" customWidth="1"/>
    <col min="7192" max="7192" width="10.7109375" style="13" customWidth="1"/>
    <col min="7193" max="7193" width="16" style="13" customWidth="1"/>
    <col min="7194" max="7194" width="8.7109375" style="13" customWidth="1"/>
    <col min="7195" max="7195" width="6.5703125" style="13" bestFit="1" customWidth="1"/>
    <col min="7196" max="7196" width="8.7109375" style="13" customWidth="1"/>
    <col min="7197" max="7197" width="16" style="13" customWidth="1"/>
    <col min="7198" max="7198" width="15" style="13" customWidth="1"/>
    <col min="7199" max="7199" width="9.42578125" style="13" customWidth="1"/>
    <col min="7200" max="7424" width="9.140625" style="13"/>
    <col min="7425" max="7425" width="12.28515625" style="13" customWidth="1"/>
    <col min="7426" max="7426" width="2.42578125" style="13" customWidth="1"/>
    <col min="7427" max="7427" width="3.42578125" style="13" customWidth="1"/>
    <col min="7428" max="7428" width="13.28515625" style="13" customWidth="1"/>
    <col min="7429" max="7429" width="3.140625" style="13" customWidth="1"/>
    <col min="7430" max="7430" width="5.140625" style="13" customWidth="1"/>
    <col min="7431" max="7431" width="16.42578125" style="13" customWidth="1"/>
    <col min="7432" max="7438" width="0" style="13" hidden="1" customWidth="1"/>
    <col min="7439" max="7439" width="4.140625" style="13" customWidth="1"/>
    <col min="7440" max="7440" width="5.7109375" style="13" customWidth="1"/>
    <col min="7441" max="7441" width="0" style="13" hidden="1" customWidth="1"/>
    <col min="7442" max="7442" width="15.7109375" style="13" customWidth="1"/>
    <col min="7443" max="7443" width="7.7109375" style="13" customWidth="1"/>
    <col min="7444" max="7444" width="9.140625" style="13"/>
    <col min="7445" max="7445" width="10.85546875" style="13" customWidth="1"/>
    <col min="7446" max="7446" width="9.7109375" style="13" customWidth="1"/>
    <col min="7447" max="7447" width="8.85546875" style="13" customWidth="1"/>
    <col min="7448" max="7448" width="10.7109375" style="13" customWidth="1"/>
    <col min="7449" max="7449" width="16" style="13" customWidth="1"/>
    <col min="7450" max="7450" width="8.7109375" style="13" customWidth="1"/>
    <col min="7451" max="7451" width="6.5703125" style="13" bestFit="1" customWidth="1"/>
    <col min="7452" max="7452" width="8.7109375" style="13" customWidth="1"/>
    <col min="7453" max="7453" width="16" style="13" customWidth="1"/>
    <col min="7454" max="7454" width="15" style="13" customWidth="1"/>
    <col min="7455" max="7455" width="9.42578125" style="13" customWidth="1"/>
    <col min="7456" max="7680" width="9.140625" style="13"/>
    <col min="7681" max="7681" width="12.28515625" style="13" customWidth="1"/>
    <col min="7682" max="7682" width="2.42578125" style="13" customWidth="1"/>
    <col min="7683" max="7683" width="3.42578125" style="13" customWidth="1"/>
    <col min="7684" max="7684" width="13.28515625" style="13" customWidth="1"/>
    <col min="7685" max="7685" width="3.140625" style="13" customWidth="1"/>
    <col min="7686" max="7686" width="5.140625" style="13" customWidth="1"/>
    <col min="7687" max="7687" width="16.42578125" style="13" customWidth="1"/>
    <col min="7688" max="7694" width="0" style="13" hidden="1" customWidth="1"/>
    <col min="7695" max="7695" width="4.140625" style="13" customWidth="1"/>
    <col min="7696" max="7696" width="5.7109375" style="13" customWidth="1"/>
    <col min="7697" max="7697" width="0" style="13" hidden="1" customWidth="1"/>
    <col min="7698" max="7698" width="15.7109375" style="13" customWidth="1"/>
    <col min="7699" max="7699" width="7.7109375" style="13" customWidth="1"/>
    <col min="7700" max="7700" width="9.140625" style="13"/>
    <col min="7701" max="7701" width="10.85546875" style="13" customWidth="1"/>
    <col min="7702" max="7702" width="9.7109375" style="13" customWidth="1"/>
    <col min="7703" max="7703" width="8.85546875" style="13" customWidth="1"/>
    <col min="7704" max="7704" width="10.7109375" style="13" customWidth="1"/>
    <col min="7705" max="7705" width="16" style="13" customWidth="1"/>
    <col min="7706" max="7706" width="8.7109375" style="13" customWidth="1"/>
    <col min="7707" max="7707" width="6.5703125" style="13" bestFit="1" customWidth="1"/>
    <col min="7708" max="7708" width="8.7109375" style="13" customWidth="1"/>
    <col min="7709" max="7709" width="16" style="13" customWidth="1"/>
    <col min="7710" max="7710" width="15" style="13" customWidth="1"/>
    <col min="7711" max="7711" width="9.42578125" style="13" customWidth="1"/>
    <col min="7712" max="7936" width="9.140625" style="13"/>
    <col min="7937" max="7937" width="12.28515625" style="13" customWidth="1"/>
    <col min="7938" max="7938" width="2.42578125" style="13" customWidth="1"/>
    <col min="7939" max="7939" width="3.42578125" style="13" customWidth="1"/>
    <col min="7940" max="7940" width="13.28515625" style="13" customWidth="1"/>
    <col min="7941" max="7941" width="3.140625" style="13" customWidth="1"/>
    <col min="7942" max="7942" width="5.140625" style="13" customWidth="1"/>
    <col min="7943" max="7943" width="16.42578125" style="13" customWidth="1"/>
    <col min="7944" max="7950" width="0" style="13" hidden="1" customWidth="1"/>
    <col min="7951" max="7951" width="4.140625" style="13" customWidth="1"/>
    <col min="7952" max="7952" width="5.7109375" style="13" customWidth="1"/>
    <col min="7953" max="7953" width="0" style="13" hidden="1" customWidth="1"/>
    <col min="7954" max="7954" width="15.7109375" style="13" customWidth="1"/>
    <col min="7955" max="7955" width="7.7109375" style="13" customWidth="1"/>
    <col min="7956" max="7956" width="9.140625" style="13"/>
    <col min="7957" max="7957" width="10.85546875" style="13" customWidth="1"/>
    <col min="7958" max="7958" width="9.7109375" style="13" customWidth="1"/>
    <col min="7959" max="7959" width="8.85546875" style="13" customWidth="1"/>
    <col min="7960" max="7960" width="10.7109375" style="13" customWidth="1"/>
    <col min="7961" max="7961" width="16" style="13" customWidth="1"/>
    <col min="7962" max="7962" width="8.7109375" style="13" customWidth="1"/>
    <col min="7963" max="7963" width="6.5703125" style="13" bestFit="1" customWidth="1"/>
    <col min="7964" max="7964" width="8.7109375" style="13" customWidth="1"/>
    <col min="7965" max="7965" width="16" style="13" customWidth="1"/>
    <col min="7966" max="7966" width="15" style="13" customWidth="1"/>
    <col min="7967" max="7967" width="9.42578125" style="13" customWidth="1"/>
    <col min="7968" max="8192" width="9.140625" style="13"/>
    <col min="8193" max="8193" width="12.28515625" style="13" customWidth="1"/>
    <col min="8194" max="8194" width="2.42578125" style="13" customWidth="1"/>
    <col min="8195" max="8195" width="3.42578125" style="13" customWidth="1"/>
    <col min="8196" max="8196" width="13.28515625" style="13" customWidth="1"/>
    <col min="8197" max="8197" width="3.140625" style="13" customWidth="1"/>
    <col min="8198" max="8198" width="5.140625" style="13" customWidth="1"/>
    <col min="8199" max="8199" width="16.42578125" style="13" customWidth="1"/>
    <col min="8200" max="8206" width="0" style="13" hidden="1" customWidth="1"/>
    <col min="8207" max="8207" width="4.140625" style="13" customWidth="1"/>
    <col min="8208" max="8208" width="5.7109375" style="13" customWidth="1"/>
    <col min="8209" max="8209" width="0" style="13" hidden="1" customWidth="1"/>
    <col min="8210" max="8210" width="15.7109375" style="13" customWidth="1"/>
    <col min="8211" max="8211" width="7.7109375" style="13" customWidth="1"/>
    <col min="8212" max="8212" width="9.140625" style="13"/>
    <col min="8213" max="8213" width="10.85546875" style="13" customWidth="1"/>
    <col min="8214" max="8214" width="9.7109375" style="13" customWidth="1"/>
    <col min="8215" max="8215" width="8.85546875" style="13" customWidth="1"/>
    <col min="8216" max="8216" width="10.7109375" style="13" customWidth="1"/>
    <col min="8217" max="8217" width="16" style="13" customWidth="1"/>
    <col min="8218" max="8218" width="8.7109375" style="13" customWidth="1"/>
    <col min="8219" max="8219" width="6.5703125" style="13" bestFit="1" customWidth="1"/>
    <col min="8220" max="8220" width="8.7109375" style="13" customWidth="1"/>
    <col min="8221" max="8221" width="16" style="13" customWidth="1"/>
    <col min="8222" max="8222" width="15" style="13" customWidth="1"/>
    <col min="8223" max="8223" width="9.42578125" style="13" customWidth="1"/>
    <col min="8224" max="8448" width="9.140625" style="13"/>
    <col min="8449" max="8449" width="12.28515625" style="13" customWidth="1"/>
    <col min="8450" max="8450" width="2.42578125" style="13" customWidth="1"/>
    <col min="8451" max="8451" width="3.42578125" style="13" customWidth="1"/>
    <col min="8452" max="8452" width="13.28515625" style="13" customWidth="1"/>
    <col min="8453" max="8453" width="3.140625" style="13" customWidth="1"/>
    <col min="8454" max="8454" width="5.140625" style="13" customWidth="1"/>
    <col min="8455" max="8455" width="16.42578125" style="13" customWidth="1"/>
    <col min="8456" max="8462" width="0" style="13" hidden="1" customWidth="1"/>
    <col min="8463" max="8463" width="4.140625" style="13" customWidth="1"/>
    <col min="8464" max="8464" width="5.7109375" style="13" customWidth="1"/>
    <col min="8465" max="8465" width="0" style="13" hidden="1" customWidth="1"/>
    <col min="8466" max="8466" width="15.7109375" style="13" customWidth="1"/>
    <col min="8467" max="8467" width="7.7109375" style="13" customWidth="1"/>
    <col min="8468" max="8468" width="9.140625" style="13"/>
    <col min="8469" max="8469" width="10.85546875" style="13" customWidth="1"/>
    <col min="8470" max="8470" width="9.7109375" style="13" customWidth="1"/>
    <col min="8471" max="8471" width="8.85546875" style="13" customWidth="1"/>
    <col min="8472" max="8472" width="10.7109375" style="13" customWidth="1"/>
    <col min="8473" max="8473" width="16" style="13" customWidth="1"/>
    <col min="8474" max="8474" width="8.7109375" style="13" customWidth="1"/>
    <col min="8475" max="8475" width="6.5703125" style="13" bestFit="1" customWidth="1"/>
    <col min="8476" max="8476" width="8.7109375" style="13" customWidth="1"/>
    <col min="8477" max="8477" width="16" style="13" customWidth="1"/>
    <col min="8478" max="8478" width="15" style="13" customWidth="1"/>
    <col min="8479" max="8479" width="9.42578125" style="13" customWidth="1"/>
    <col min="8480" max="8704" width="9.140625" style="13"/>
    <col min="8705" max="8705" width="12.28515625" style="13" customWidth="1"/>
    <col min="8706" max="8706" width="2.42578125" style="13" customWidth="1"/>
    <col min="8707" max="8707" width="3.42578125" style="13" customWidth="1"/>
    <col min="8708" max="8708" width="13.28515625" style="13" customWidth="1"/>
    <col min="8709" max="8709" width="3.140625" style="13" customWidth="1"/>
    <col min="8710" max="8710" width="5.140625" style="13" customWidth="1"/>
    <col min="8711" max="8711" width="16.42578125" style="13" customWidth="1"/>
    <col min="8712" max="8718" width="0" style="13" hidden="1" customWidth="1"/>
    <col min="8719" max="8719" width="4.140625" style="13" customWidth="1"/>
    <col min="8720" max="8720" width="5.7109375" style="13" customWidth="1"/>
    <col min="8721" max="8721" width="0" style="13" hidden="1" customWidth="1"/>
    <col min="8722" max="8722" width="15.7109375" style="13" customWidth="1"/>
    <col min="8723" max="8723" width="7.7109375" style="13" customWidth="1"/>
    <col min="8724" max="8724" width="9.140625" style="13"/>
    <col min="8725" max="8725" width="10.85546875" style="13" customWidth="1"/>
    <col min="8726" max="8726" width="9.7109375" style="13" customWidth="1"/>
    <col min="8727" max="8727" width="8.85546875" style="13" customWidth="1"/>
    <col min="8728" max="8728" width="10.7109375" style="13" customWidth="1"/>
    <col min="8729" max="8729" width="16" style="13" customWidth="1"/>
    <col min="8730" max="8730" width="8.7109375" style="13" customWidth="1"/>
    <col min="8731" max="8731" width="6.5703125" style="13" bestFit="1" customWidth="1"/>
    <col min="8732" max="8732" width="8.7109375" style="13" customWidth="1"/>
    <col min="8733" max="8733" width="16" style="13" customWidth="1"/>
    <col min="8734" max="8734" width="15" style="13" customWidth="1"/>
    <col min="8735" max="8735" width="9.42578125" style="13" customWidth="1"/>
    <col min="8736" max="8960" width="9.140625" style="13"/>
    <col min="8961" max="8961" width="12.28515625" style="13" customWidth="1"/>
    <col min="8962" max="8962" width="2.42578125" style="13" customWidth="1"/>
    <col min="8963" max="8963" width="3.42578125" style="13" customWidth="1"/>
    <col min="8964" max="8964" width="13.28515625" style="13" customWidth="1"/>
    <col min="8965" max="8965" width="3.140625" style="13" customWidth="1"/>
    <col min="8966" max="8966" width="5.140625" style="13" customWidth="1"/>
    <col min="8967" max="8967" width="16.42578125" style="13" customWidth="1"/>
    <col min="8968" max="8974" width="0" style="13" hidden="1" customWidth="1"/>
    <col min="8975" max="8975" width="4.140625" style="13" customWidth="1"/>
    <col min="8976" max="8976" width="5.7109375" style="13" customWidth="1"/>
    <col min="8977" max="8977" width="0" style="13" hidden="1" customWidth="1"/>
    <col min="8978" max="8978" width="15.7109375" style="13" customWidth="1"/>
    <col min="8979" max="8979" width="7.7109375" style="13" customWidth="1"/>
    <col min="8980" max="8980" width="9.140625" style="13"/>
    <col min="8981" max="8981" width="10.85546875" style="13" customWidth="1"/>
    <col min="8982" max="8982" width="9.7109375" style="13" customWidth="1"/>
    <col min="8983" max="8983" width="8.85546875" style="13" customWidth="1"/>
    <col min="8984" max="8984" width="10.7109375" style="13" customWidth="1"/>
    <col min="8985" max="8985" width="16" style="13" customWidth="1"/>
    <col min="8986" max="8986" width="8.7109375" style="13" customWidth="1"/>
    <col min="8987" max="8987" width="6.5703125" style="13" bestFit="1" customWidth="1"/>
    <col min="8988" max="8988" width="8.7109375" style="13" customWidth="1"/>
    <col min="8989" max="8989" width="16" style="13" customWidth="1"/>
    <col min="8990" max="8990" width="15" style="13" customWidth="1"/>
    <col min="8991" max="8991" width="9.42578125" style="13" customWidth="1"/>
    <col min="8992" max="9216" width="9.140625" style="13"/>
    <col min="9217" max="9217" width="12.28515625" style="13" customWidth="1"/>
    <col min="9218" max="9218" width="2.42578125" style="13" customWidth="1"/>
    <col min="9219" max="9219" width="3.42578125" style="13" customWidth="1"/>
    <col min="9220" max="9220" width="13.28515625" style="13" customWidth="1"/>
    <col min="9221" max="9221" width="3.140625" style="13" customWidth="1"/>
    <col min="9222" max="9222" width="5.140625" style="13" customWidth="1"/>
    <col min="9223" max="9223" width="16.42578125" style="13" customWidth="1"/>
    <col min="9224" max="9230" width="0" style="13" hidden="1" customWidth="1"/>
    <col min="9231" max="9231" width="4.140625" style="13" customWidth="1"/>
    <col min="9232" max="9232" width="5.7109375" style="13" customWidth="1"/>
    <col min="9233" max="9233" width="0" style="13" hidden="1" customWidth="1"/>
    <col min="9234" max="9234" width="15.7109375" style="13" customWidth="1"/>
    <col min="9235" max="9235" width="7.7109375" style="13" customWidth="1"/>
    <col min="9236" max="9236" width="9.140625" style="13"/>
    <col min="9237" max="9237" width="10.85546875" style="13" customWidth="1"/>
    <col min="9238" max="9238" width="9.7109375" style="13" customWidth="1"/>
    <col min="9239" max="9239" width="8.85546875" style="13" customWidth="1"/>
    <col min="9240" max="9240" width="10.7109375" style="13" customWidth="1"/>
    <col min="9241" max="9241" width="16" style="13" customWidth="1"/>
    <col min="9242" max="9242" width="8.7109375" style="13" customWidth="1"/>
    <col min="9243" max="9243" width="6.5703125" style="13" bestFit="1" customWidth="1"/>
    <col min="9244" max="9244" width="8.7109375" style="13" customWidth="1"/>
    <col min="9245" max="9245" width="16" style="13" customWidth="1"/>
    <col min="9246" max="9246" width="15" style="13" customWidth="1"/>
    <col min="9247" max="9247" width="9.42578125" style="13" customWidth="1"/>
    <col min="9248" max="9472" width="9.140625" style="13"/>
    <col min="9473" max="9473" width="12.28515625" style="13" customWidth="1"/>
    <col min="9474" max="9474" width="2.42578125" style="13" customWidth="1"/>
    <col min="9475" max="9475" width="3.42578125" style="13" customWidth="1"/>
    <col min="9476" max="9476" width="13.28515625" style="13" customWidth="1"/>
    <col min="9477" max="9477" width="3.140625" style="13" customWidth="1"/>
    <col min="9478" max="9478" width="5.140625" style="13" customWidth="1"/>
    <col min="9479" max="9479" width="16.42578125" style="13" customWidth="1"/>
    <col min="9480" max="9486" width="0" style="13" hidden="1" customWidth="1"/>
    <col min="9487" max="9487" width="4.140625" style="13" customWidth="1"/>
    <col min="9488" max="9488" width="5.7109375" style="13" customWidth="1"/>
    <col min="9489" max="9489" width="0" style="13" hidden="1" customWidth="1"/>
    <col min="9490" max="9490" width="15.7109375" style="13" customWidth="1"/>
    <col min="9491" max="9491" width="7.7109375" style="13" customWidth="1"/>
    <col min="9492" max="9492" width="9.140625" style="13"/>
    <col min="9493" max="9493" width="10.85546875" style="13" customWidth="1"/>
    <col min="9494" max="9494" width="9.7109375" style="13" customWidth="1"/>
    <col min="9495" max="9495" width="8.85546875" style="13" customWidth="1"/>
    <col min="9496" max="9496" width="10.7109375" style="13" customWidth="1"/>
    <col min="9497" max="9497" width="16" style="13" customWidth="1"/>
    <col min="9498" max="9498" width="8.7109375" style="13" customWidth="1"/>
    <col min="9499" max="9499" width="6.5703125" style="13" bestFit="1" customWidth="1"/>
    <col min="9500" max="9500" width="8.7109375" style="13" customWidth="1"/>
    <col min="9501" max="9501" width="16" style="13" customWidth="1"/>
    <col min="9502" max="9502" width="15" style="13" customWidth="1"/>
    <col min="9503" max="9503" width="9.42578125" style="13" customWidth="1"/>
    <col min="9504" max="9728" width="9.140625" style="13"/>
    <col min="9729" max="9729" width="12.28515625" style="13" customWidth="1"/>
    <col min="9730" max="9730" width="2.42578125" style="13" customWidth="1"/>
    <col min="9731" max="9731" width="3.42578125" style="13" customWidth="1"/>
    <col min="9732" max="9732" width="13.28515625" style="13" customWidth="1"/>
    <col min="9733" max="9733" width="3.140625" style="13" customWidth="1"/>
    <col min="9734" max="9734" width="5.140625" style="13" customWidth="1"/>
    <col min="9735" max="9735" width="16.42578125" style="13" customWidth="1"/>
    <col min="9736" max="9742" width="0" style="13" hidden="1" customWidth="1"/>
    <col min="9743" max="9743" width="4.140625" style="13" customWidth="1"/>
    <col min="9744" max="9744" width="5.7109375" style="13" customWidth="1"/>
    <col min="9745" max="9745" width="0" style="13" hidden="1" customWidth="1"/>
    <col min="9746" max="9746" width="15.7109375" style="13" customWidth="1"/>
    <col min="9747" max="9747" width="7.7109375" style="13" customWidth="1"/>
    <col min="9748" max="9748" width="9.140625" style="13"/>
    <col min="9749" max="9749" width="10.85546875" style="13" customWidth="1"/>
    <col min="9750" max="9750" width="9.7109375" style="13" customWidth="1"/>
    <col min="9751" max="9751" width="8.85546875" style="13" customWidth="1"/>
    <col min="9752" max="9752" width="10.7109375" style="13" customWidth="1"/>
    <col min="9753" max="9753" width="16" style="13" customWidth="1"/>
    <col min="9754" max="9754" width="8.7109375" style="13" customWidth="1"/>
    <col min="9755" max="9755" width="6.5703125" style="13" bestFit="1" customWidth="1"/>
    <col min="9756" max="9756" width="8.7109375" style="13" customWidth="1"/>
    <col min="9757" max="9757" width="16" style="13" customWidth="1"/>
    <col min="9758" max="9758" width="15" style="13" customWidth="1"/>
    <col min="9759" max="9759" width="9.42578125" style="13" customWidth="1"/>
    <col min="9760" max="9984" width="9.140625" style="13"/>
    <col min="9985" max="9985" width="12.28515625" style="13" customWidth="1"/>
    <col min="9986" max="9986" width="2.42578125" style="13" customWidth="1"/>
    <col min="9987" max="9987" width="3.42578125" style="13" customWidth="1"/>
    <col min="9988" max="9988" width="13.28515625" style="13" customWidth="1"/>
    <col min="9989" max="9989" width="3.140625" style="13" customWidth="1"/>
    <col min="9990" max="9990" width="5.140625" style="13" customWidth="1"/>
    <col min="9991" max="9991" width="16.42578125" style="13" customWidth="1"/>
    <col min="9992" max="9998" width="0" style="13" hidden="1" customWidth="1"/>
    <col min="9999" max="9999" width="4.140625" style="13" customWidth="1"/>
    <col min="10000" max="10000" width="5.7109375" style="13" customWidth="1"/>
    <col min="10001" max="10001" width="0" style="13" hidden="1" customWidth="1"/>
    <col min="10002" max="10002" width="15.7109375" style="13" customWidth="1"/>
    <col min="10003" max="10003" width="7.7109375" style="13" customWidth="1"/>
    <col min="10004" max="10004" width="9.140625" style="13"/>
    <col min="10005" max="10005" width="10.85546875" style="13" customWidth="1"/>
    <col min="10006" max="10006" width="9.7109375" style="13" customWidth="1"/>
    <col min="10007" max="10007" width="8.85546875" style="13" customWidth="1"/>
    <col min="10008" max="10008" width="10.7109375" style="13" customWidth="1"/>
    <col min="10009" max="10009" width="16" style="13" customWidth="1"/>
    <col min="10010" max="10010" width="8.7109375" style="13" customWidth="1"/>
    <col min="10011" max="10011" width="6.5703125" style="13" bestFit="1" customWidth="1"/>
    <col min="10012" max="10012" width="8.7109375" style="13" customWidth="1"/>
    <col min="10013" max="10013" width="16" style="13" customWidth="1"/>
    <col min="10014" max="10014" width="15" style="13" customWidth="1"/>
    <col min="10015" max="10015" width="9.42578125" style="13" customWidth="1"/>
    <col min="10016" max="10240" width="9.140625" style="13"/>
    <col min="10241" max="10241" width="12.28515625" style="13" customWidth="1"/>
    <col min="10242" max="10242" width="2.42578125" style="13" customWidth="1"/>
    <col min="10243" max="10243" width="3.42578125" style="13" customWidth="1"/>
    <col min="10244" max="10244" width="13.28515625" style="13" customWidth="1"/>
    <col min="10245" max="10245" width="3.140625" style="13" customWidth="1"/>
    <col min="10246" max="10246" width="5.140625" style="13" customWidth="1"/>
    <col min="10247" max="10247" width="16.42578125" style="13" customWidth="1"/>
    <col min="10248" max="10254" width="0" style="13" hidden="1" customWidth="1"/>
    <col min="10255" max="10255" width="4.140625" style="13" customWidth="1"/>
    <col min="10256" max="10256" width="5.7109375" style="13" customWidth="1"/>
    <col min="10257" max="10257" width="0" style="13" hidden="1" customWidth="1"/>
    <col min="10258" max="10258" width="15.7109375" style="13" customWidth="1"/>
    <col min="10259" max="10259" width="7.7109375" style="13" customWidth="1"/>
    <col min="10260" max="10260" width="9.140625" style="13"/>
    <col min="10261" max="10261" width="10.85546875" style="13" customWidth="1"/>
    <col min="10262" max="10262" width="9.7109375" style="13" customWidth="1"/>
    <col min="10263" max="10263" width="8.85546875" style="13" customWidth="1"/>
    <col min="10264" max="10264" width="10.7109375" style="13" customWidth="1"/>
    <col min="10265" max="10265" width="16" style="13" customWidth="1"/>
    <col min="10266" max="10266" width="8.7109375" style="13" customWidth="1"/>
    <col min="10267" max="10267" width="6.5703125" style="13" bestFit="1" customWidth="1"/>
    <col min="10268" max="10268" width="8.7109375" style="13" customWidth="1"/>
    <col min="10269" max="10269" width="16" style="13" customWidth="1"/>
    <col min="10270" max="10270" width="15" style="13" customWidth="1"/>
    <col min="10271" max="10271" width="9.42578125" style="13" customWidth="1"/>
    <col min="10272" max="10496" width="9.140625" style="13"/>
    <col min="10497" max="10497" width="12.28515625" style="13" customWidth="1"/>
    <col min="10498" max="10498" width="2.42578125" style="13" customWidth="1"/>
    <col min="10499" max="10499" width="3.42578125" style="13" customWidth="1"/>
    <col min="10500" max="10500" width="13.28515625" style="13" customWidth="1"/>
    <col min="10501" max="10501" width="3.140625" style="13" customWidth="1"/>
    <col min="10502" max="10502" width="5.140625" style="13" customWidth="1"/>
    <col min="10503" max="10503" width="16.42578125" style="13" customWidth="1"/>
    <col min="10504" max="10510" width="0" style="13" hidden="1" customWidth="1"/>
    <col min="10511" max="10511" width="4.140625" style="13" customWidth="1"/>
    <col min="10512" max="10512" width="5.7109375" style="13" customWidth="1"/>
    <col min="10513" max="10513" width="0" style="13" hidden="1" customWidth="1"/>
    <col min="10514" max="10514" width="15.7109375" style="13" customWidth="1"/>
    <col min="10515" max="10515" width="7.7109375" style="13" customWidth="1"/>
    <col min="10516" max="10516" width="9.140625" style="13"/>
    <col min="10517" max="10517" width="10.85546875" style="13" customWidth="1"/>
    <col min="10518" max="10518" width="9.7109375" style="13" customWidth="1"/>
    <col min="10519" max="10519" width="8.85546875" style="13" customWidth="1"/>
    <col min="10520" max="10520" width="10.7109375" style="13" customWidth="1"/>
    <col min="10521" max="10521" width="16" style="13" customWidth="1"/>
    <col min="10522" max="10522" width="8.7109375" style="13" customWidth="1"/>
    <col min="10523" max="10523" width="6.5703125" style="13" bestFit="1" customWidth="1"/>
    <col min="10524" max="10524" width="8.7109375" style="13" customWidth="1"/>
    <col min="10525" max="10525" width="16" style="13" customWidth="1"/>
    <col min="10526" max="10526" width="15" style="13" customWidth="1"/>
    <col min="10527" max="10527" width="9.42578125" style="13" customWidth="1"/>
    <col min="10528" max="10752" width="9.140625" style="13"/>
    <col min="10753" max="10753" width="12.28515625" style="13" customWidth="1"/>
    <col min="10754" max="10754" width="2.42578125" style="13" customWidth="1"/>
    <col min="10755" max="10755" width="3.42578125" style="13" customWidth="1"/>
    <col min="10756" max="10756" width="13.28515625" style="13" customWidth="1"/>
    <col min="10757" max="10757" width="3.140625" style="13" customWidth="1"/>
    <col min="10758" max="10758" width="5.140625" style="13" customWidth="1"/>
    <col min="10759" max="10759" width="16.42578125" style="13" customWidth="1"/>
    <col min="10760" max="10766" width="0" style="13" hidden="1" customWidth="1"/>
    <col min="10767" max="10767" width="4.140625" style="13" customWidth="1"/>
    <col min="10768" max="10768" width="5.7109375" style="13" customWidth="1"/>
    <col min="10769" max="10769" width="0" style="13" hidden="1" customWidth="1"/>
    <col min="10770" max="10770" width="15.7109375" style="13" customWidth="1"/>
    <col min="10771" max="10771" width="7.7109375" style="13" customWidth="1"/>
    <col min="10772" max="10772" width="9.140625" style="13"/>
    <col min="10773" max="10773" width="10.85546875" style="13" customWidth="1"/>
    <col min="10774" max="10774" width="9.7109375" style="13" customWidth="1"/>
    <col min="10775" max="10775" width="8.85546875" style="13" customWidth="1"/>
    <col min="10776" max="10776" width="10.7109375" style="13" customWidth="1"/>
    <col min="10777" max="10777" width="16" style="13" customWidth="1"/>
    <col min="10778" max="10778" width="8.7109375" style="13" customWidth="1"/>
    <col min="10779" max="10779" width="6.5703125" style="13" bestFit="1" customWidth="1"/>
    <col min="10780" max="10780" width="8.7109375" style="13" customWidth="1"/>
    <col min="10781" max="10781" width="16" style="13" customWidth="1"/>
    <col min="10782" max="10782" width="15" style="13" customWidth="1"/>
    <col min="10783" max="10783" width="9.42578125" style="13" customWidth="1"/>
    <col min="10784" max="11008" width="9.140625" style="13"/>
    <col min="11009" max="11009" width="12.28515625" style="13" customWidth="1"/>
    <col min="11010" max="11010" width="2.42578125" style="13" customWidth="1"/>
    <col min="11011" max="11011" width="3.42578125" style="13" customWidth="1"/>
    <col min="11012" max="11012" width="13.28515625" style="13" customWidth="1"/>
    <col min="11013" max="11013" width="3.140625" style="13" customWidth="1"/>
    <col min="11014" max="11014" width="5.140625" style="13" customWidth="1"/>
    <col min="11015" max="11015" width="16.42578125" style="13" customWidth="1"/>
    <col min="11016" max="11022" width="0" style="13" hidden="1" customWidth="1"/>
    <col min="11023" max="11023" width="4.140625" style="13" customWidth="1"/>
    <col min="11024" max="11024" width="5.7109375" style="13" customWidth="1"/>
    <col min="11025" max="11025" width="0" style="13" hidden="1" customWidth="1"/>
    <col min="11026" max="11026" width="15.7109375" style="13" customWidth="1"/>
    <col min="11027" max="11027" width="7.7109375" style="13" customWidth="1"/>
    <col min="11028" max="11028" width="9.140625" style="13"/>
    <col min="11029" max="11029" width="10.85546875" style="13" customWidth="1"/>
    <col min="11030" max="11030" width="9.7109375" style="13" customWidth="1"/>
    <col min="11031" max="11031" width="8.85546875" style="13" customWidth="1"/>
    <col min="11032" max="11032" width="10.7109375" style="13" customWidth="1"/>
    <col min="11033" max="11033" width="16" style="13" customWidth="1"/>
    <col min="11034" max="11034" width="8.7109375" style="13" customWidth="1"/>
    <col min="11035" max="11035" width="6.5703125" style="13" bestFit="1" customWidth="1"/>
    <col min="11036" max="11036" width="8.7109375" style="13" customWidth="1"/>
    <col min="11037" max="11037" width="16" style="13" customWidth="1"/>
    <col min="11038" max="11038" width="15" style="13" customWidth="1"/>
    <col min="11039" max="11039" width="9.42578125" style="13" customWidth="1"/>
    <col min="11040" max="11264" width="9.140625" style="13"/>
    <col min="11265" max="11265" width="12.28515625" style="13" customWidth="1"/>
    <col min="11266" max="11266" width="2.42578125" style="13" customWidth="1"/>
    <col min="11267" max="11267" width="3.42578125" style="13" customWidth="1"/>
    <col min="11268" max="11268" width="13.28515625" style="13" customWidth="1"/>
    <col min="11269" max="11269" width="3.140625" style="13" customWidth="1"/>
    <col min="11270" max="11270" width="5.140625" style="13" customWidth="1"/>
    <col min="11271" max="11271" width="16.42578125" style="13" customWidth="1"/>
    <col min="11272" max="11278" width="0" style="13" hidden="1" customWidth="1"/>
    <col min="11279" max="11279" width="4.140625" style="13" customWidth="1"/>
    <col min="11280" max="11280" width="5.7109375" style="13" customWidth="1"/>
    <col min="11281" max="11281" width="0" style="13" hidden="1" customWidth="1"/>
    <col min="11282" max="11282" width="15.7109375" style="13" customWidth="1"/>
    <col min="11283" max="11283" width="7.7109375" style="13" customWidth="1"/>
    <col min="11284" max="11284" width="9.140625" style="13"/>
    <col min="11285" max="11285" width="10.85546875" style="13" customWidth="1"/>
    <col min="11286" max="11286" width="9.7109375" style="13" customWidth="1"/>
    <col min="11287" max="11287" width="8.85546875" style="13" customWidth="1"/>
    <col min="11288" max="11288" width="10.7109375" style="13" customWidth="1"/>
    <col min="11289" max="11289" width="16" style="13" customWidth="1"/>
    <col min="11290" max="11290" width="8.7109375" style="13" customWidth="1"/>
    <col min="11291" max="11291" width="6.5703125" style="13" bestFit="1" customWidth="1"/>
    <col min="11292" max="11292" width="8.7109375" style="13" customWidth="1"/>
    <col min="11293" max="11293" width="16" style="13" customWidth="1"/>
    <col min="11294" max="11294" width="15" style="13" customWidth="1"/>
    <col min="11295" max="11295" width="9.42578125" style="13" customWidth="1"/>
    <col min="11296" max="11520" width="9.140625" style="13"/>
    <col min="11521" max="11521" width="12.28515625" style="13" customWidth="1"/>
    <col min="11522" max="11522" width="2.42578125" style="13" customWidth="1"/>
    <col min="11523" max="11523" width="3.42578125" style="13" customWidth="1"/>
    <col min="11524" max="11524" width="13.28515625" style="13" customWidth="1"/>
    <col min="11525" max="11525" width="3.140625" style="13" customWidth="1"/>
    <col min="11526" max="11526" width="5.140625" style="13" customWidth="1"/>
    <col min="11527" max="11527" width="16.42578125" style="13" customWidth="1"/>
    <col min="11528" max="11534" width="0" style="13" hidden="1" customWidth="1"/>
    <col min="11535" max="11535" width="4.140625" style="13" customWidth="1"/>
    <col min="11536" max="11536" width="5.7109375" style="13" customWidth="1"/>
    <col min="11537" max="11537" width="0" style="13" hidden="1" customWidth="1"/>
    <col min="11538" max="11538" width="15.7109375" style="13" customWidth="1"/>
    <col min="11539" max="11539" width="7.7109375" style="13" customWidth="1"/>
    <col min="11540" max="11540" width="9.140625" style="13"/>
    <col min="11541" max="11541" width="10.85546875" style="13" customWidth="1"/>
    <col min="11542" max="11542" width="9.7109375" style="13" customWidth="1"/>
    <col min="11543" max="11543" width="8.85546875" style="13" customWidth="1"/>
    <col min="11544" max="11544" width="10.7109375" style="13" customWidth="1"/>
    <col min="11545" max="11545" width="16" style="13" customWidth="1"/>
    <col min="11546" max="11546" width="8.7109375" style="13" customWidth="1"/>
    <col min="11547" max="11547" width="6.5703125" style="13" bestFit="1" customWidth="1"/>
    <col min="11548" max="11548" width="8.7109375" style="13" customWidth="1"/>
    <col min="11549" max="11549" width="16" style="13" customWidth="1"/>
    <col min="11550" max="11550" width="15" style="13" customWidth="1"/>
    <col min="11551" max="11551" width="9.42578125" style="13" customWidth="1"/>
    <col min="11552" max="11776" width="9.140625" style="13"/>
    <col min="11777" max="11777" width="12.28515625" style="13" customWidth="1"/>
    <col min="11778" max="11778" width="2.42578125" style="13" customWidth="1"/>
    <col min="11779" max="11779" width="3.42578125" style="13" customWidth="1"/>
    <col min="11780" max="11780" width="13.28515625" style="13" customWidth="1"/>
    <col min="11781" max="11781" width="3.140625" style="13" customWidth="1"/>
    <col min="11782" max="11782" width="5.140625" style="13" customWidth="1"/>
    <col min="11783" max="11783" width="16.42578125" style="13" customWidth="1"/>
    <col min="11784" max="11790" width="0" style="13" hidden="1" customWidth="1"/>
    <col min="11791" max="11791" width="4.140625" style="13" customWidth="1"/>
    <col min="11792" max="11792" width="5.7109375" style="13" customWidth="1"/>
    <col min="11793" max="11793" width="0" style="13" hidden="1" customWidth="1"/>
    <col min="11794" max="11794" width="15.7109375" style="13" customWidth="1"/>
    <col min="11795" max="11795" width="7.7109375" style="13" customWidth="1"/>
    <col min="11796" max="11796" width="9.140625" style="13"/>
    <col min="11797" max="11797" width="10.85546875" style="13" customWidth="1"/>
    <col min="11798" max="11798" width="9.7109375" style="13" customWidth="1"/>
    <col min="11799" max="11799" width="8.85546875" style="13" customWidth="1"/>
    <col min="11800" max="11800" width="10.7109375" style="13" customWidth="1"/>
    <col min="11801" max="11801" width="16" style="13" customWidth="1"/>
    <col min="11802" max="11802" width="8.7109375" style="13" customWidth="1"/>
    <col min="11803" max="11803" width="6.5703125" style="13" bestFit="1" customWidth="1"/>
    <col min="11804" max="11804" width="8.7109375" style="13" customWidth="1"/>
    <col min="11805" max="11805" width="16" style="13" customWidth="1"/>
    <col min="11806" max="11806" width="15" style="13" customWidth="1"/>
    <col min="11807" max="11807" width="9.42578125" style="13" customWidth="1"/>
    <col min="11808" max="12032" width="9.140625" style="13"/>
    <col min="12033" max="12033" width="12.28515625" style="13" customWidth="1"/>
    <col min="12034" max="12034" width="2.42578125" style="13" customWidth="1"/>
    <col min="12035" max="12035" width="3.42578125" style="13" customWidth="1"/>
    <col min="12036" max="12036" width="13.28515625" style="13" customWidth="1"/>
    <col min="12037" max="12037" width="3.140625" style="13" customWidth="1"/>
    <col min="12038" max="12038" width="5.140625" style="13" customWidth="1"/>
    <col min="12039" max="12039" width="16.42578125" style="13" customWidth="1"/>
    <col min="12040" max="12046" width="0" style="13" hidden="1" customWidth="1"/>
    <col min="12047" max="12047" width="4.140625" style="13" customWidth="1"/>
    <col min="12048" max="12048" width="5.7109375" style="13" customWidth="1"/>
    <col min="12049" max="12049" width="0" style="13" hidden="1" customWidth="1"/>
    <col min="12050" max="12050" width="15.7109375" style="13" customWidth="1"/>
    <col min="12051" max="12051" width="7.7109375" style="13" customWidth="1"/>
    <col min="12052" max="12052" width="9.140625" style="13"/>
    <col min="12053" max="12053" width="10.85546875" style="13" customWidth="1"/>
    <col min="12054" max="12054" width="9.7109375" style="13" customWidth="1"/>
    <col min="12055" max="12055" width="8.85546875" style="13" customWidth="1"/>
    <col min="12056" max="12056" width="10.7109375" style="13" customWidth="1"/>
    <col min="12057" max="12057" width="16" style="13" customWidth="1"/>
    <col min="12058" max="12058" width="8.7109375" style="13" customWidth="1"/>
    <col min="12059" max="12059" width="6.5703125" style="13" bestFit="1" customWidth="1"/>
    <col min="12060" max="12060" width="8.7109375" style="13" customWidth="1"/>
    <col min="12061" max="12061" width="16" style="13" customWidth="1"/>
    <col min="12062" max="12062" width="15" style="13" customWidth="1"/>
    <col min="12063" max="12063" width="9.42578125" style="13" customWidth="1"/>
    <col min="12064" max="12288" width="9.140625" style="13"/>
    <col min="12289" max="12289" width="12.28515625" style="13" customWidth="1"/>
    <col min="12290" max="12290" width="2.42578125" style="13" customWidth="1"/>
    <col min="12291" max="12291" width="3.42578125" style="13" customWidth="1"/>
    <col min="12292" max="12292" width="13.28515625" style="13" customWidth="1"/>
    <col min="12293" max="12293" width="3.140625" style="13" customWidth="1"/>
    <col min="12294" max="12294" width="5.140625" style="13" customWidth="1"/>
    <col min="12295" max="12295" width="16.42578125" style="13" customWidth="1"/>
    <col min="12296" max="12302" width="0" style="13" hidden="1" customWidth="1"/>
    <col min="12303" max="12303" width="4.140625" style="13" customWidth="1"/>
    <col min="12304" max="12304" width="5.7109375" style="13" customWidth="1"/>
    <col min="12305" max="12305" width="0" style="13" hidden="1" customWidth="1"/>
    <col min="12306" max="12306" width="15.7109375" style="13" customWidth="1"/>
    <col min="12307" max="12307" width="7.7109375" style="13" customWidth="1"/>
    <col min="12308" max="12308" width="9.140625" style="13"/>
    <col min="12309" max="12309" width="10.85546875" style="13" customWidth="1"/>
    <col min="12310" max="12310" width="9.7109375" style="13" customWidth="1"/>
    <col min="12311" max="12311" width="8.85546875" style="13" customWidth="1"/>
    <col min="12312" max="12312" width="10.7109375" style="13" customWidth="1"/>
    <col min="12313" max="12313" width="16" style="13" customWidth="1"/>
    <col min="12314" max="12314" width="8.7109375" style="13" customWidth="1"/>
    <col min="12315" max="12315" width="6.5703125" style="13" bestFit="1" customWidth="1"/>
    <col min="12316" max="12316" width="8.7109375" style="13" customWidth="1"/>
    <col min="12317" max="12317" width="16" style="13" customWidth="1"/>
    <col min="12318" max="12318" width="15" style="13" customWidth="1"/>
    <col min="12319" max="12319" width="9.42578125" style="13" customWidth="1"/>
    <col min="12320" max="12544" width="9.140625" style="13"/>
    <col min="12545" max="12545" width="12.28515625" style="13" customWidth="1"/>
    <col min="12546" max="12546" width="2.42578125" style="13" customWidth="1"/>
    <col min="12547" max="12547" width="3.42578125" style="13" customWidth="1"/>
    <col min="12548" max="12548" width="13.28515625" style="13" customWidth="1"/>
    <col min="12549" max="12549" width="3.140625" style="13" customWidth="1"/>
    <col min="12550" max="12550" width="5.140625" style="13" customWidth="1"/>
    <col min="12551" max="12551" width="16.42578125" style="13" customWidth="1"/>
    <col min="12552" max="12558" width="0" style="13" hidden="1" customWidth="1"/>
    <col min="12559" max="12559" width="4.140625" style="13" customWidth="1"/>
    <col min="12560" max="12560" width="5.7109375" style="13" customWidth="1"/>
    <col min="12561" max="12561" width="0" style="13" hidden="1" customWidth="1"/>
    <col min="12562" max="12562" width="15.7109375" style="13" customWidth="1"/>
    <col min="12563" max="12563" width="7.7109375" style="13" customWidth="1"/>
    <col min="12564" max="12564" width="9.140625" style="13"/>
    <col min="12565" max="12565" width="10.85546875" style="13" customWidth="1"/>
    <col min="12566" max="12566" width="9.7109375" style="13" customWidth="1"/>
    <col min="12567" max="12567" width="8.85546875" style="13" customWidth="1"/>
    <col min="12568" max="12568" width="10.7109375" style="13" customWidth="1"/>
    <col min="12569" max="12569" width="16" style="13" customWidth="1"/>
    <col min="12570" max="12570" width="8.7109375" style="13" customWidth="1"/>
    <col min="12571" max="12571" width="6.5703125" style="13" bestFit="1" customWidth="1"/>
    <col min="12572" max="12572" width="8.7109375" style="13" customWidth="1"/>
    <col min="12573" max="12573" width="16" style="13" customWidth="1"/>
    <col min="12574" max="12574" width="15" style="13" customWidth="1"/>
    <col min="12575" max="12575" width="9.42578125" style="13" customWidth="1"/>
    <col min="12576" max="12800" width="9.140625" style="13"/>
    <col min="12801" max="12801" width="12.28515625" style="13" customWidth="1"/>
    <col min="12802" max="12802" width="2.42578125" style="13" customWidth="1"/>
    <col min="12803" max="12803" width="3.42578125" style="13" customWidth="1"/>
    <col min="12804" max="12804" width="13.28515625" style="13" customWidth="1"/>
    <col min="12805" max="12805" width="3.140625" style="13" customWidth="1"/>
    <col min="12806" max="12806" width="5.140625" style="13" customWidth="1"/>
    <col min="12807" max="12807" width="16.42578125" style="13" customWidth="1"/>
    <col min="12808" max="12814" width="0" style="13" hidden="1" customWidth="1"/>
    <col min="12815" max="12815" width="4.140625" style="13" customWidth="1"/>
    <col min="12816" max="12816" width="5.7109375" style="13" customWidth="1"/>
    <col min="12817" max="12817" width="0" style="13" hidden="1" customWidth="1"/>
    <col min="12818" max="12818" width="15.7109375" style="13" customWidth="1"/>
    <col min="12819" max="12819" width="7.7109375" style="13" customWidth="1"/>
    <col min="12820" max="12820" width="9.140625" style="13"/>
    <col min="12821" max="12821" width="10.85546875" style="13" customWidth="1"/>
    <col min="12822" max="12822" width="9.7109375" style="13" customWidth="1"/>
    <col min="12823" max="12823" width="8.85546875" style="13" customWidth="1"/>
    <col min="12824" max="12824" width="10.7109375" style="13" customWidth="1"/>
    <col min="12825" max="12825" width="16" style="13" customWidth="1"/>
    <col min="12826" max="12826" width="8.7109375" style="13" customWidth="1"/>
    <col min="12827" max="12827" width="6.5703125" style="13" bestFit="1" customWidth="1"/>
    <col min="12828" max="12828" width="8.7109375" style="13" customWidth="1"/>
    <col min="12829" max="12829" width="16" style="13" customWidth="1"/>
    <col min="12830" max="12830" width="15" style="13" customWidth="1"/>
    <col min="12831" max="12831" width="9.42578125" style="13" customWidth="1"/>
    <col min="12832" max="13056" width="9.140625" style="13"/>
    <col min="13057" max="13057" width="12.28515625" style="13" customWidth="1"/>
    <col min="13058" max="13058" width="2.42578125" style="13" customWidth="1"/>
    <col min="13059" max="13059" width="3.42578125" style="13" customWidth="1"/>
    <col min="13060" max="13060" width="13.28515625" style="13" customWidth="1"/>
    <col min="13061" max="13061" width="3.140625" style="13" customWidth="1"/>
    <col min="13062" max="13062" width="5.140625" style="13" customWidth="1"/>
    <col min="13063" max="13063" width="16.42578125" style="13" customWidth="1"/>
    <col min="13064" max="13070" width="0" style="13" hidden="1" customWidth="1"/>
    <col min="13071" max="13071" width="4.140625" style="13" customWidth="1"/>
    <col min="13072" max="13072" width="5.7109375" style="13" customWidth="1"/>
    <col min="13073" max="13073" width="0" style="13" hidden="1" customWidth="1"/>
    <col min="13074" max="13074" width="15.7109375" style="13" customWidth="1"/>
    <col min="13075" max="13075" width="7.7109375" style="13" customWidth="1"/>
    <col min="13076" max="13076" width="9.140625" style="13"/>
    <col min="13077" max="13077" width="10.85546875" style="13" customWidth="1"/>
    <col min="13078" max="13078" width="9.7109375" style="13" customWidth="1"/>
    <col min="13079" max="13079" width="8.85546875" style="13" customWidth="1"/>
    <col min="13080" max="13080" width="10.7109375" style="13" customWidth="1"/>
    <col min="13081" max="13081" width="16" style="13" customWidth="1"/>
    <col min="13082" max="13082" width="8.7109375" style="13" customWidth="1"/>
    <col min="13083" max="13083" width="6.5703125" style="13" bestFit="1" customWidth="1"/>
    <col min="13084" max="13084" width="8.7109375" style="13" customWidth="1"/>
    <col min="13085" max="13085" width="16" style="13" customWidth="1"/>
    <col min="13086" max="13086" width="15" style="13" customWidth="1"/>
    <col min="13087" max="13087" width="9.42578125" style="13" customWidth="1"/>
    <col min="13088" max="13312" width="9.140625" style="13"/>
    <col min="13313" max="13313" width="12.28515625" style="13" customWidth="1"/>
    <col min="13314" max="13314" width="2.42578125" style="13" customWidth="1"/>
    <col min="13315" max="13315" width="3.42578125" style="13" customWidth="1"/>
    <col min="13316" max="13316" width="13.28515625" style="13" customWidth="1"/>
    <col min="13317" max="13317" width="3.140625" style="13" customWidth="1"/>
    <col min="13318" max="13318" width="5.140625" style="13" customWidth="1"/>
    <col min="13319" max="13319" width="16.42578125" style="13" customWidth="1"/>
    <col min="13320" max="13326" width="0" style="13" hidden="1" customWidth="1"/>
    <col min="13327" max="13327" width="4.140625" style="13" customWidth="1"/>
    <col min="13328" max="13328" width="5.7109375" style="13" customWidth="1"/>
    <col min="13329" max="13329" width="0" style="13" hidden="1" customWidth="1"/>
    <col min="13330" max="13330" width="15.7109375" style="13" customWidth="1"/>
    <col min="13331" max="13331" width="7.7109375" style="13" customWidth="1"/>
    <col min="13332" max="13332" width="9.140625" style="13"/>
    <col min="13333" max="13333" width="10.85546875" style="13" customWidth="1"/>
    <col min="13334" max="13334" width="9.7109375" style="13" customWidth="1"/>
    <col min="13335" max="13335" width="8.85546875" style="13" customWidth="1"/>
    <col min="13336" max="13336" width="10.7109375" style="13" customWidth="1"/>
    <col min="13337" max="13337" width="16" style="13" customWidth="1"/>
    <col min="13338" max="13338" width="8.7109375" style="13" customWidth="1"/>
    <col min="13339" max="13339" width="6.5703125" style="13" bestFit="1" customWidth="1"/>
    <col min="13340" max="13340" width="8.7109375" style="13" customWidth="1"/>
    <col min="13341" max="13341" width="16" style="13" customWidth="1"/>
    <col min="13342" max="13342" width="15" style="13" customWidth="1"/>
    <col min="13343" max="13343" width="9.42578125" style="13" customWidth="1"/>
    <col min="13344" max="13568" width="9.140625" style="13"/>
    <col min="13569" max="13569" width="12.28515625" style="13" customWidth="1"/>
    <col min="13570" max="13570" width="2.42578125" style="13" customWidth="1"/>
    <col min="13571" max="13571" width="3.42578125" style="13" customWidth="1"/>
    <col min="13572" max="13572" width="13.28515625" style="13" customWidth="1"/>
    <col min="13573" max="13573" width="3.140625" style="13" customWidth="1"/>
    <col min="13574" max="13574" width="5.140625" style="13" customWidth="1"/>
    <col min="13575" max="13575" width="16.42578125" style="13" customWidth="1"/>
    <col min="13576" max="13582" width="0" style="13" hidden="1" customWidth="1"/>
    <col min="13583" max="13583" width="4.140625" style="13" customWidth="1"/>
    <col min="13584" max="13584" width="5.7109375" style="13" customWidth="1"/>
    <col min="13585" max="13585" width="0" style="13" hidden="1" customWidth="1"/>
    <col min="13586" max="13586" width="15.7109375" style="13" customWidth="1"/>
    <col min="13587" max="13587" width="7.7109375" style="13" customWidth="1"/>
    <col min="13588" max="13588" width="9.140625" style="13"/>
    <col min="13589" max="13589" width="10.85546875" style="13" customWidth="1"/>
    <col min="13590" max="13590" width="9.7109375" style="13" customWidth="1"/>
    <col min="13591" max="13591" width="8.85546875" style="13" customWidth="1"/>
    <col min="13592" max="13592" width="10.7109375" style="13" customWidth="1"/>
    <col min="13593" max="13593" width="16" style="13" customWidth="1"/>
    <col min="13594" max="13594" width="8.7109375" style="13" customWidth="1"/>
    <col min="13595" max="13595" width="6.5703125" style="13" bestFit="1" customWidth="1"/>
    <col min="13596" max="13596" width="8.7109375" style="13" customWidth="1"/>
    <col min="13597" max="13597" width="16" style="13" customWidth="1"/>
    <col min="13598" max="13598" width="15" style="13" customWidth="1"/>
    <col min="13599" max="13599" width="9.42578125" style="13" customWidth="1"/>
    <col min="13600" max="13824" width="9.140625" style="13"/>
    <col min="13825" max="13825" width="12.28515625" style="13" customWidth="1"/>
    <col min="13826" max="13826" width="2.42578125" style="13" customWidth="1"/>
    <col min="13827" max="13827" width="3.42578125" style="13" customWidth="1"/>
    <col min="13828" max="13828" width="13.28515625" style="13" customWidth="1"/>
    <col min="13829" max="13829" width="3.140625" style="13" customWidth="1"/>
    <col min="13830" max="13830" width="5.140625" style="13" customWidth="1"/>
    <col min="13831" max="13831" width="16.42578125" style="13" customWidth="1"/>
    <col min="13832" max="13838" width="0" style="13" hidden="1" customWidth="1"/>
    <col min="13839" max="13839" width="4.140625" style="13" customWidth="1"/>
    <col min="13840" max="13840" width="5.7109375" style="13" customWidth="1"/>
    <col min="13841" max="13841" width="0" style="13" hidden="1" customWidth="1"/>
    <col min="13842" max="13842" width="15.7109375" style="13" customWidth="1"/>
    <col min="13843" max="13843" width="7.7109375" style="13" customWidth="1"/>
    <col min="13844" max="13844" width="9.140625" style="13"/>
    <col min="13845" max="13845" width="10.85546875" style="13" customWidth="1"/>
    <col min="13846" max="13846" width="9.7109375" style="13" customWidth="1"/>
    <col min="13847" max="13847" width="8.85546875" style="13" customWidth="1"/>
    <col min="13848" max="13848" width="10.7109375" style="13" customWidth="1"/>
    <col min="13849" max="13849" width="16" style="13" customWidth="1"/>
    <col min="13850" max="13850" width="8.7109375" style="13" customWidth="1"/>
    <col min="13851" max="13851" width="6.5703125" style="13" bestFit="1" customWidth="1"/>
    <col min="13852" max="13852" width="8.7109375" style="13" customWidth="1"/>
    <col min="13853" max="13853" width="16" style="13" customWidth="1"/>
    <col min="13854" max="13854" width="15" style="13" customWidth="1"/>
    <col min="13855" max="13855" width="9.42578125" style="13" customWidth="1"/>
    <col min="13856" max="14080" width="9.140625" style="13"/>
    <col min="14081" max="14081" width="12.28515625" style="13" customWidth="1"/>
    <col min="14082" max="14082" width="2.42578125" style="13" customWidth="1"/>
    <col min="14083" max="14083" width="3.42578125" style="13" customWidth="1"/>
    <col min="14084" max="14084" width="13.28515625" style="13" customWidth="1"/>
    <col min="14085" max="14085" width="3.140625" style="13" customWidth="1"/>
    <col min="14086" max="14086" width="5.140625" style="13" customWidth="1"/>
    <col min="14087" max="14087" width="16.42578125" style="13" customWidth="1"/>
    <col min="14088" max="14094" width="0" style="13" hidden="1" customWidth="1"/>
    <col min="14095" max="14095" width="4.140625" style="13" customWidth="1"/>
    <col min="14096" max="14096" width="5.7109375" style="13" customWidth="1"/>
    <col min="14097" max="14097" width="0" style="13" hidden="1" customWidth="1"/>
    <col min="14098" max="14098" width="15.7109375" style="13" customWidth="1"/>
    <col min="14099" max="14099" width="7.7109375" style="13" customWidth="1"/>
    <col min="14100" max="14100" width="9.140625" style="13"/>
    <col min="14101" max="14101" width="10.85546875" style="13" customWidth="1"/>
    <col min="14102" max="14102" width="9.7109375" style="13" customWidth="1"/>
    <col min="14103" max="14103" width="8.85546875" style="13" customWidth="1"/>
    <col min="14104" max="14104" width="10.7109375" style="13" customWidth="1"/>
    <col min="14105" max="14105" width="16" style="13" customWidth="1"/>
    <col min="14106" max="14106" width="8.7109375" style="13" customWidth="1"/>
    <col min="14107" max="14107" width="6.5703125" style="13" bestFit="1" customWidth="1"/>
    <col min="14108" max="14108" width="8.7109375" style="13" customWidth="1"/>
    <col min="14109" max="14109" width="16" style="13" customWidth="1"/>
    <col min="14110" max="14110" width="15" style="13" customWidth="1"/>
    <col min="14111" max="14111" width="9.42578125" style="13" customWidth="1"/>
    <col min="14112" max="14336" width="9.140625" style="13"/>
    <col min="14337" max="14337" width="12.28515625" style="13" customWidth="1"/>
    <col min="14338" max="14338" width="2.42578125" style="13" customWidth="1"/>
    <col min="14339" max="14339" width="3.42578125" style="13" customWidth="1"/>
    <col min="14340" max="14340" width="13.28515625" style="13" customWidth="1"/>
    <col min="14341" max="14341" width="3.140625" style="13" customWidth="1"/>
    <col min="14342" max="14342" width="5.140625" style="13" customWidth="1"/>
    <col min="14343" max="14343" width="16.42578125" style="13" customWidth="1"/>
    <col min="14344" max="14350" width="0" style="13" hidden="1" customWidth="1"/>
    <col min="14351" max="14351" width="4.140625" style="13" customWidth="1"/>
    <col min="14352" max="14352" width="5.7109375" style="13" customWidth="1"/>
    <col min="14353" max="14353" width="0" style="13" hidden="1" customWidth="1"/>
    <col min="14354" max="14354" width="15.7109375" style="13" customWidth="1"/>
    <col min="14355" max="14355" width="7.7109375" style="13" customWidth="1"/>
    <col min="14356" max="14356" width="9.140625" style="13"/>
    <col min="14357" max="14357" width="10.85546875" style="13" customWidth="1"/>
    <col min="14358" max="14358" width="9.7109375" style="13" customWidth="1"/>
    <col min="14359" max="14359" width="8.85546875" style="13" customWidth="1"/>
    <col min="14360" max="14360" width="10.7109375" style="13" customWidth="1"/>
    <col min="14361" max="14361" width="16" style="13" customWidth="1"/>
    <col min="14362" max="14362" width="8.7109375" style="13" customWidth="1"/>
    <col min="14363" max="14363" width="6.5703125" style="13" bestFit="1" customWidth="1"/>
    <col min="14364" max="14364" width="8.7109375" style="13" customWidth="1"/>
    <col min="14365" max="14365" width="16" style="13" customWidth="1"/>
    <col min="14366" max="14366" width="15" style="13" customWidth="1"/>
    <col min="14367" max="14367" width="9.42578125" style="13" customWidth="1"/>
    <col min="14368" max="14592" width="9.140625" style="13"/>
    <col min="14593" max="14593" width="12.28515625" style="13" customWidth="1"/>
    <col min="14594" max="14594" width="2.42578125" style="13" customWidth="1"/>
    <col min="14595" max="14595" width="3.42578125" style="13" customWidth="1"/>
    <col min="14596" max="14596" width="13.28515625" style="13" customWidth="1"/>
    <col min="14597" max="14597" width="3.140625" style="13" customWidth="1"/>
    <col min="14598" max="14598" width="5.140625" style="13" customWidth="1"/>
    <col min="14599" max="14599" width="16.42578125" style="13" customWidth="1"/>
    <col min="14600" max="14606" width="0" style="13" hidden="1" customWidth="1"/>
    <col min="14607" max="14607" width="4.140625" style="13" customWidth="1"/>
    <col min="14608" max="14608" width="5.7109375" style="13" customWidth="1"/>
    <col min="14609" max="14609" width="0" style="13" hidden="1" customWidth="1"/>
    <col min="14610" max="14610" width="15.7109375" style="13" customWidth="1"/>
    <col min="14611" max="14611" width="7.7109375" style="13" customWidth="1"/>
    <col min="14612" max="14612" width="9.140625" style="13"/>
    <col min="14613" max="14613" width="10.85546875" style="13" customWidth="1"/>
    <col min="14614" max="14614" width="9.7109375" style="13" customWidth="1"/>
    <col min="14615" max="14615" width="8.85546875" style="13" customWidth="1"/>
    <col min="14616" max="14616" width="10.7109375" style="13" customWidth="1"/>
    <col min="14617" max="14617" width="16" style="13" customWidth="1"/>
    <col min="14618" max="14618" width="8.7109375" style="13" customWidth="1"/>
    <col min="14619" max="14619" width="6.5703125" style="13" bestFit="1" customWidth="1"/>
    <col min="14620" max="14620" width="8.7109375" style="13" customWidth="1"/>
    <col min="14621" max="14621" width="16" style="13" customWidth="1"/>
    <col min="14622" max="14622" width="15" style="13" customWidth="1"/>
    <col min="14623" max="14623" width="9.42578125" style="13" customWidth="1"/>
    <col min="14624" max="14848" width="9.140625" style="13"/>
    <col min="14849" max="14849" width="12.28515625" style="13" customWidth="1"/>
    <col min="14850" max="14850" width="2.42578125" style="13" customWidth="1"/>
    <col min="14851" max="14851" width="3.42578125" style="13" customWidth="1"/>
    <col min="14852" max="14852" width="13.28515625" style="13" customWidth="1"/>
    <col min="14853" max="14853" width="3.140625" style="13" customWidth="1"/>
    <col min="14854" max="14854" width="5.140625" style="13" customWidth="1"/>
    <col min="14855" max="14855" width="16.42578125" style="13" customWidth="1"/>
    <col min="14856" max="14862" width="0" style="13" hidden="1" customWidth="1"/>
    <col min="14863" max="14863" width="4.140625" style="13" customWidth="1"/>
    <col min="14864" max="14864" width="5.7109375" style="13" customWidth="1"/>
    <col min="14865" max="14865" width="0" style="13" hidden="1" customWidth="1"/>
    <col min="14866" max="14866" width="15.7109375" style="13" customWidth="1"/>
    <col min="14867" max="14867" width="7.7109375" style="13" customWidth="1"/>
    <col min="14868" max="14868" width="9.140625" style="13"/>
    <col min="14869" max="14869" width="10.85546875" style="13" customWidth="1"/>
    <col min="14870" max="14870" width="9.7109375" style="13" customWidth="1"/>
    <col min="14871" max="14871" width="8.85546875" style="13" customWidth="1"/>
    <col min="14872" max="14872" width="10.7109375" style="13" customWidth="1"/>
    <col min="14873" max="14873" width="16" style="13" customWidth="1"/>
    <col min="14874" max="14874" width="8.7109375" style="13" customWidth="1"/>
    <col min="14875" max="14875" width="6.5703125" style="13" bestFit="1" customWidth="1"/>
    <col min="14876" max="14876" width="8.7109375" style="13" customWidth="1"/>
    <col min="14877" max="14877" width="16" style="13" customWidth="1"/>
    <col min="14878" max="14878" width="15" style="13" customWidth="1"/>
    <col min="14879" max="14879" width="9.42578125" style="13" customWidth="1"/>
    <col min="14880" max="15104" width="9.140625" style="13"/>
    <col min="15105" max="15105" width="12.28515625" style="13" customWidth="1"/>
    <col min="15106" max="15106" width="2.42578125" style="13" customWidth="1"/>
    <col min="15107" max="15107" width="3.42578125" style="13" customWidth="1"/>
    <col min="15108" max="15108" width="13.28515625" style="13" customWidth="1"/>
    <col min="15109" max="15109" width="3.140625" style="13" customWidth="1"/>
    <col min="15110" max="15110" width="5.140625" style="13" customWidth="1"/>
    <col min="15111" max="15111" width="16.42578125" style="13" customWidth="1"/>
    <col min="15112" max="15118" width="0" style="13" hidden="1" customWidth="1"/>
    <col min="15119" max="15119" width="4.140625" style="13" customWidth="1"/>
    <col min="15120" max="15120" width="5.7109375" style="13" customWidth="1"/>
    <col min="15121" max="15121" width="0" style="13" hidden="1" customWidth="1"/>
    <col min="15122" max="15122" width="15.7109375" style="13" customWidth="1"/>
    <col min="15123" max="15123" width="7.7109375" style="13" customWidth="1"/>
    <col min="15124" max="15124" width="9.140625" style="13"/>
    <col min="15125" max="15125" width="10.85546875" style="13" customWidth="1"/>
    <col min="15126" max="15126" width="9.7109375" style="13" customWidth="1"/>
    <col min="15127" max="15127" width="8.85546875" style="13" customWidth="1"/>
    <col min="15128" max="15128" width="10.7109375" style="13" customWidth="1"/>
    <col min="15129" max="15129" width="16" style="13" customWidth="1"/>
    <col min="15130" max="15130" width="8.7109375" style="13" customWidth="1"/>
    <col min="15131" max="15131" width="6.5703125" style="13" bestFit="1" customWidth="1"/>
    <col min="15132" max="15132" width="8.7109375" style="13" customWidth="1"/>
    <col min="15133" max="15133" width="16" style="13" customWidth="1"/>
    <col min="15134" max="15134" width="15" style="13" customWidth="1"/>
    <col min="15135" max="15135" width="9.42578125" style="13" customWidth="1"/>
    <col min="15136" max="15360" width="9.140625" style="13"/>
    <col min="15361" max="15361" width="12.28515625" style="13" customWidth="1"/>
    <col min="15362" max="15362" width="2.42578125" style="13" customWidth="1"/>
    <col min="15363" max="15363" width="3.42578125" style="13" customWidth="1"/>
    <col min="15364" max="15364" width="13.28515625" style="13" customWidth="1"/>
    <col min="15365" max="15365" width="3.140625" style="13" customWidth="1"/>
    <col min="15366" max="15366" width="5.140625" style="13" customWidth="1"/>
    <col min="15367" max="15367" width="16.42578125" style="13" customWidth="1"/>
    <col min="15368" max="15374" width="0" style="13" hidden="1" customWidth="1"/>
    <col min="15375" max="15375" width="4.140625" style="13" customWidth="1"/>
    <col min="15376" max="15376" width="5.7109375" style="13" customWidth="1"/>
    <col min="15377" max="15377" width="0" style="13" hidden="1" customWidth="1"/>
    <col min="15378" max="15378" width="15.7109375" style="13" customWidth="1"/>
    <col min="15379" max="15379" width="7.7109375" style="13" customWidth="1"/>
    <col min="15380" max="15380" width="9.140625" style="13"/>
    <col min="15381" max="15381" width="10.85546875" style="13" customWidth="1"/>
    <col min="15382" max="15382" width="9.7109375" style="13" customWidth="1"/>
    <col min="15383" max="15383" width="8.85546875" style="13" customWidth="1"/>
    <col min="15384" max="15384" width="10.7109375" style="13" customWidth="1"/>
    <col min="15385" max="15385" width="16" style="13" customWidth="1"/>
    <col min="15386" max="15386" width="8.7109375" style="13" customWidth="1"/>
    <col min="15387" max="15387" width="6.5703125" style="13" bestFit="1" customWidth="1"/>
    <col min="15388" max="15388" width="8.7109375" style="13" customWidth="1"/>
    <col min="15389" max="15389" width="16" style="13" customWidth="1"/>
    <col min="15390" max="15390" width="15" style="13" customWidth="1"/>
    <col min="15391" max="15391" width="9.42578125" style="13" customWidth="1"/>
    <col min="15392" max="15616" width="9.140625" style="13"/>
    <col min="15617" max="15617" width="12.28515625" style="13" customWidth="1"/>
    <col min="15618" max="15618" width="2.42578125" style="13" customWidth="1"/>
    <col min="15619" max="15619" width="3.42578125" style="13" customWidth="1"/>
    <col min="15620" max="15620" width="13.28515625" style="13" customWidth="1"/>
    <col min="15621" max="15621" width="3.140625" style="13" customWidth="1"/>
    <col min="15622" max="15622" width="5.140625" style="13" customWidth="1"/>
    <col min="15623" max="15623" width="16.42578125" style="13" customWidth="1"/>
    <col min="15624" max="15630" width="0" style="13" hidden="1" customWidth="1"/>
    <col min="15631" max="15631" width="4.140625" style="13" customWidth="1"/>
    <col min="15632" max="15632" width="5.7109375" style="13" customWidth="1"/>
    <col min="15633" max="15633" width="0" style="13" hidden="1" customWidth="1"/>
    <col min="15634" max="15634" width="15.7109375" style="13" customWidth="1"/>
    <col min="15635" max="15635" width="7.7109375" style="13" customWidth="1"/>
    <col min="15636" max="15636" width="9.140625" style="13"/>
    <col min="15637" max="15637" width="10.85546875" style="13" customWidth="1"/>
    <col min="15638" max="15638" width="9.7109375" style="13" customWidth="1"/>
    <col min="15639" max="15639" width="8.85546875" style="13" customWidth="1"/>
    <col min="15640" max="15640" width="10.7109375" style="13" customWidth="1"/>
    <col min="15641" max="15641" width="16" style="13" customWidth="1"/>
    <col min="15642" max="15642" width="8.7109375" style="13" customWidth="1"/>
    <col min="15643" max="15643" width="6.5703125" style="13" bestFit="1" customWidth="1"/>
    <col min="15644" max="15644" width="8.7109375" style="13" customWidth="1"/>
    <col min="15645" max="15645" width="16" style="13" customWidth="1"/>
    <col min="15646" max="15646" width="15" style="13" customWidth="1"/>
    <col min="15647" max="15647" width="9.42578125" style="13" customWidth="1"/>
    <col min="15648" max="15872" width="9.140625" style="13"/>
    <col min="15873" max="15873" width="12.28515625" style="13" customWidth="1"/>
    <col min="15874" max="15874" width="2.42578125" style="13" customWidth="1"/>
    <col min="15875" max="15875" width="3.42578125" style="13" customWidth="1"/>
    <col min="15876" max="15876" width="13.28515625" style="13" customWidth="1"/>
    <col min="15877" max="15877" width="3.140625" style="13" customWidth="1"/>
    <col min="15878" max="15878" width="5.140625" style="13" customWidth="1"/>
    <col min="15879" max="15879" width="16.42578125" style="13" customWidth="1"/>
    <col min="15880" max="15886" width="0" style="13" hidden="1" customWidth="1"/>
    <col min="15887" max="15887" width="4.140625" style="13" customWidth="1"/>
    <col min="15888" max="15888" width="5.7109375" style="13" customWidth="1"/>
    <col min="15889" max="15889" width="0" style="13" hidden="1" customWidth="1"/>
    <col min="15890" max="15890" width="15.7109375" style="13" customWidth="1"/>
    <col min="15891" max="15891" width="7.7109375" style="13" customWidth="1"/>
    <col min="15892" max="15892" width="9.140625" style="13"/>
    <col min="15893" max="15893" width="10.85546875" style="13" customWidth="1"/>
    <col min="15894" max="15894" width="9.7109375" style="13" customWidth="1"/>
    <col min="15895" max="15895" width="8.85546875" style="13" customWidth="1"/>
    <col min="15896" max="15896" width="10.7109375" style="13" customWidth="1"/>
    <col min="15897" max="15897" width="16" style="13" customWidth="1"/>
    <col min="15898" max="15898" width="8.7109375" style="13" customWidth="1"/>
    <col min="15899" max="15899" width="6.5703125" style="13" bestFit="1" customWidth="1"/>
    <col min="15900" max="15900" width="8.7109375" style="13" customWidth="1"/>
    <col min="15901" max="15901" width="16" style="13" customWidth="1"/>
    <col min="15902" max="15902" width="15" style="13" customWidth="1"/>
    <col min="15903" max="15903" width="9.42578125" style="13" customWidth="1"/>
    <col min="15904" max="16128" width="9.140625" style="13"/>
    <col min="16129" max="16129" width="12.28515625" style="13" customWidth="1"/>
    <col min="16130" max="16130" width="2.42578125" style="13" customWidth="1"/>
    <col min="16131" max="16131" width="3.42578125" style="13" customWidth="1"/>
    <col min="16132" max="16132" width="13.28515625" style="13" customWidth="1"/>
    <col min="16133" max="16133" width="3.140625" style="13" customWidth="1"/>
    <col min="16134" max="16134" width="5.140625" style="13" customWidth="1"/>
    <col min="16135" max="16135" width="16.42578125" style="13" customWidth="1"/>
    <col min="16136" max="16142" width="0" style="13" hidden="1" customWidth="1"/>
    <col min="16143" max="16143" width="4.140625" style="13" customWidth="1"/>
    <col min="16144" max="16144" width="5.7109375" style="13" customWidth="1"/>
    <col min="16145" max="16145" width="0" style="13" hidden="1" customWidth="1"/>
    <col min="16146" max="16146" width="15.7109375" style="13" customWidth="1"/>
    <col min="16147" max="16147" width="7.7109375" style="13" customWidth="1"/>
    <col min="16148" max="16148" width="9.140625" style="13"/>
    <col min="16149" max="16149" width="10.85546875" style="13" customWidth="1"/>
    <col min="16150" max="16150" width="9.7109375" style="13" customWidth="1"/>
    <col min="16151" max="16151" width="8.85546875" style="13" customWidth="1"/>
    <col min="16152" max="16152" width="10.7109375" style="13" customWidth="1"/>
    <col min="16153" max="16153" width="16" style="13" customWidth="1"/>
    <col min="16154" max="16154" width="8.7109375" style="13" customWidth="1"/>
    <col min="16155" max="16155" width="6.5703125" style="13" bestFit="1" customWidth="1"/>
    <col min="16156" max="16156" width="8.7109375" style="13" customWidth="1"/>
    <col min="16157" max="16157" width="16" style="13" customWidth="1"/>
    <col min="16158" max="16158" width="15" style="13" customWidth="1"/>
    <col min="16159" max="16159" width="9.42578125" style="13" customWidth="1"/>
    <col min="16160" max="16384" width="9.140625" style="13"/>
  </cols>
  <sheetData>
    <row r="1" spans="1:31" ht="12.95" customHeight="1" x14ac:dyDescent="0.35">
      <c r="A1" s="533"/>
      <c r="B1" s="533"/>
      <c r="C1" s="533"/>
      <c r="D1" s="533"/>
      <c r="E1" s="533"/>
      <c r="F1" s="533"/>
      <c r="G1" s="533"/>
      <c r="H1" s="533"/>
      <c r="I1" s="533"/>
      <c r="J1" s="533"/>
      <c r="K1" s="533"/>
      <c r="L1" s="533"/>
      <c r="M1" s="533"/>
      <c r="N1" s="533"/>
      <c r="O1" s="533"/>
      <c r="P1" s="533"/>
      <c r="Q1" s="533"/>
      <c r="R1" s="533"/>
      <c r="S1" s="533"/>
    </row>
    <row r="2" spans="1:31" s="14" customFormat="1" ht="15" customHeight="1" x14ac:dyDescent="0.35">
      <c r="A2" s="533" t="s">
        <v>31</v>
      </c>
      <c r="B2" s="533"/>
      <c r="C2" s="533"/>
      <c r="D2" s="533"/>
      <c r="E2" s="533"/>
      <c r="F2" s="533"/>
      <c r="G2" s="533"/>
      <c r="H2" s="533"/>
      <c r="I2" s="533"/>
      <c r="J2" s="533"/>
      <c r="K2" s="533"/>
      <c r="L2" s="533"/>
      <c r="M2" s="533"/>
      <c r="N2" s="533"/>
      <c r="O2" s="533"/>
      <c r="P2" s="533"/>
      <c r="Q2" s="533"/>
      <c r="R2" s="533"/>
      <c r="S2" s="533"/>
      <c r="T2" s="533"/>
      <c r="U2" s="533"/>
      <c r="V2" s="533"/>
      <c r="W2" s="533"/>
      <c r="X2" s="533"/>
      <c r="Y2" s="533"/>
      <c r="Z2" s="533"/>
      <c r="AA2" s="533"/>
      <c r="AB2" s="533"/>
      <c r="AC2" s="533"/>
      <c r="AD2" s="533"/>
      <c r="AE2" s="533"/>
    </row>
    <row r="3" spans="1:31" s="14" customFormat="1" ht="15" customHeight="1" x14ac:dyDescent="0.35">
      <c r="A3" s="534" t="s">
        <v>274</v>
      </c>
      <c r="B3" s="533"/>
      <c r="C3" s="533"/>
      <c r="D3" s="533"/>
      <c r="E3" s="533"/>
      <c r="F3" s="533"/>
      <c r="G3" s="533"/>
      <c r="H3" s="533"/>
      <c r="I3" s="533"/>
      <c r="J3" s="533"/>
      <c r="K3" s="533"/>
      <c r="L3" s="533"/>
      <c r="M3" s="533"/>
      <c r="N3" s="533"/>
      <c r="O3" s="533"/>
      <c r="P3" s="533"/>
      <c r="Q3" s="533"/>
      <c r="R3" s="533"/>
      <c r="S3" s="533"/>
      <c r="T3" s="533"/>
      <c r="U3" s="533"/>
      <c r="V3" s="533"/>
      <c r="W3" s="533"/>
      <c r="X3" s="533"/>
      <c r="Y3" s="533"/>
      <c r="Z3" s="533"/>
      <c r="AA3" s="533"/>
      <c r="AB3" s="533"/>
      <c r="AC3" s="533"/>
      <c r="AD3" s="533"/>
      <c r="AE3" s="533"/>
    </row>
    <row r="4" spans="1:31" s="14" customFormat="1" ht="12.95" customHeight="1" x14ac:dyDescent="0.35">
      <c r="A4" s="477"/>
      <c r="B4" s="477"/>
      <c r="C4" s="477"/>
      <c r="D4" s="477"/>
      <c r="E4" s="477"/>
      <c r="F4" s="477"/>
      <c r="G4" s="477"/>
      <c r="H4" s="477"/>
      <c r="I4" s="477"/>
      <c r="J4" s="477"/>
      <c r="K4" s="477"/>
      <c r="L4" s="477"/>
      <c r="M4" s="477"/>
      <c r="N4" s="477"/>
      <c r="O4" s="477"/>
      <c r="P4" s="477"/>
      <c r="Q4" s="477"/>
      <c r="R4" s="477"/>
      <c r="S4" s="477"/>
    </row>
    <row r="5" spans="1:31" s="14" customFormat="1" ht="12.95" customHeight="1" x14ac:dyDescent="0.35">
      <c r="A5" s="16" t="s">
        <v>32</v>
      </c>
      <c r="B5" s="477"/>
      <c r="C5" s="477"/>
      <c r="D5" s="477"/>
      <c r="E5" s="477" t="s">
        <v>33</v>
      </c>
      <c r="F5" s="16" t="s">
        <v>34</v>
      </c>
      <c r="G5" s="477"/>
      <c r="H5" s="477"/>
      <c r="I5" s="477"/>
      <c r="J5" s="477"/>
      <c r="K5" s="477"/>
      <c r="L5" s="477"/>
      <c r="M5" s="477"/>
      <c r="N5" s="477"/>
      <c r="O5" s="477"/>
      <c r="P5" s="477"/>
      <c r="Q5" s="477"/>
      <c r="R5" s="477"/>
      <c r="S5" s="477"/>
    </row>
    <row r="6" spans="1:31" s="14" customFormat="1" ht="12.95" customHeight="1" x14ac:dyDescent="0.35">
      <c r="A6" s="16" t="s">
        <v>35</v>
      </c>
      <c r="B6" s="477"/>
      <c r="C6" s="477"/>
      <c r="D6" s="477"/>
      <c r="E6" s="477" t="s">
        <v>33</v>
      </c>
      <c r="F6" s="16" t="s">
        <v>179</v>
      </c>
      <c r="G6" s="477"/>
      <c r="H6" s="477"/>
      <c r="I6" s="477"/>
      <c r="J6" s="477"/>
      <c r="K6" s="477"/>
      <c r="L6" s="477"/>
      <c r="M6" s="477"/>
      <c r="N6" s="477"/>
      <c r="O6" s="477"/>
      <c r="P6" s="477"/>
      <c r="Q6" s="477"/>
      <c r="R6" s="477"/>
      <c r="S6" s="477"/>
    </row>
    <row r="7" spans="1:31" s="14" customFormat="1" ht="12.95" customHeight="1" x14ac:dyDescent="0.35">
      <c r="A7" s="16" t="s">
        <v>36</v>
      </c>
      <c r="B7" s="477"/>
      <c r="C7" s="477"/>
      <c r="D7" s="477"/>
      <c r="E7" s="477" t="s">
        <v>33</v>
      </c>
      <c r="F7" s="535">
        <v>2239183000</v>
      </c>
      <c r="G7" s="535"/>
      <c r="H7" s="17"/>
      <c r="I7" s="17"/>
      <c r="J7" s="17"/>
      <c r="K7" s="17"/>
      <c r="L7" s="17"/>
      <c r="M7" s="17"/>
      <c r="N7" s="17"/>
      <c r="O7" s="17"/>
      <c r="P7" s="17"/>
      <c r="Q7" s="477"/>
      <c r="R7" s="477"/>
      <c r="S7" s="477"/>
    </row>
    <row r="8" spans="1:31" s="14" customFormat="1" ht="12.95" customHeight="1" x14ac:dyDescent="0.35">
      <c r="A8" s="16" t="s">
        <v>37</v>
      </c>
      <c r="B8" s="477"/>
      <c r="C8" s="477"/>
      <c r="D8" s="477"/>
      <c r="E8" s="477" t="s">
        <v>33</v>
      </c>
      <c r="F8" s="16" t="s">
        <v>38</v>
      </c>
      <c r="G8" s="477"/>
      <c r="H8" s="477"/>
      <c r="I8" s="477"/>
      <c r="J8" s="477"/>
      <c r="K8" s="477"/>
      <c r="L8" s="477"/>
      <c r="M8" s="477"/>
      <c r="N8" s="477"/>
      <c r="O8" s="477"/>
      <c r="P8" s="477"/>
      <c r="Q8" s="477"/>
      <c r="R8" s="477"/>
      <c r="S8" s="477"/>
    </row>
    <row r="9" spans="1:31" s="14" customFormat="1" ht="12.95" customHeight="1" x14ac:dyDescent="0.35">
      <c r="A9" s="16" t="s">
        <v>39</v>
      </c>
      <c r="B9" s="477"/>
      <c r="C9" s="477"/>
      <c r="D9" s="477"/>
      <c r="E9" s="477" t="s">
        <v>33</v>
      </c>
      <c r="F9" s="16" t="s">
        <v>40</v>
      </c>
      <c r="G9" s="477"/>
      <c r="H9" s="477"/>
      <c r="I9" s="477"/>
      <c r="J9" s="477"/>
      <c r="K9" s="477"/>
      <c r="L9" s="477"/>
      <c r="M9" s="477"/>
      <c r="N9" s="477"/>
      <c r="O9" s="477"/>
      <c r="P9" s="477"/>
      <c r="Q9" s="477"/>
      <c r="R9" s="477"/>
      <c r="S9" s="477"/>
    </row>
    <row r="10" spans="1:31" ht="12.95" customHeight="1" x14ac:dyDescent="0.35">
      <c r="A10" s="478"/>
      <c r="B10" s="478"/>
      <c r="C10" s="478"/>
      <c r="D10" s="478"/>
      <c r="E10" s="478"/>
      <c r="F10" s="478"/>
      <c r="G10" s="478"/>
      <c r="H10" s="478"/>
      <c r="I10" s="478"/>
      <c r="J10" s="478"/>
      <c r="K10" s="478"/>
      <c r="L10" s="478"/>
      <c r="M10" s="478"/>
      <c r="N10" s="478"/>
      <c r="O10" s="478"/>
      <c r="P10" s="478"/>
      <c r="Q10" s="478"/>
      <c r="R10" s="478"/>
      <c r="S10" s="47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</row>
    <row r="11" spans="1:31" ht="12.95" customHeight="1" x14ac:dyDescent="0.35">
      <c r="A11" s="19"/>
      <c r="B11" s="20"/>
      <c r="C11" s="21"/>
      <c r="D11" s="21"/>
      <c r="E11" s="21"/>
      <c r="F11" s="21"/>
      <c r="G11" s="22"/>
      <c r="H11" s="23"/>
      <c r="I11" s="23"/>
      <c r="J11" s="24"/>
      <c r="K11" s="25"/>
      <c r="L11" s="23"/>
      <c r="M11" s="23"/>
      <c r="N11" s="23"/>
      <c r="O11" s="20"/>
      <c r="P11" s="22"/>
      <c r="Q11" s="23"/>
      <c r="R11" s="23"/>
      <c r="S11" s="26"/>
      <c r="T11" s="21"/>
      <c r="U11" s="22"/>
      <c r="V11" s="22"/>
      <c r="W11" s="536" t="s">
        <v>41</v>
      </c>
      <c r="X11" s="537"/>
      <c r="Y11" s="540" t="s">
        <v>42</v>
      </c>
      <c r="Z11" s="541"/>
      <c r="AA11" s="542" t="s">
        <v>43</v>
      </c>
      <c r="AB11" s="543"/>
      <c r="AC11" s="536" t="s">
        <v>44</v>
      </c>
      <c r="AD11" s="544"/>
      <c r="AE11" s="546" t="s">
        <v>45</v>
      </c>
    </row>
    <row r="12" spans="1:31" s="28" customFormat="1" ht="12.95" customHeight="1" x14ac:dyDescent="0.35">
      <c r="A12" s="549" t="s">
        <v>46</v>
      </c>
      <c r="B12" s="551" t="s">
        <v>47</v>
      </c>
      <c r="C12" s="551"/>
      <c r="D12" s="551"/>
      <c r="E12" s="551"/>
      <c r="F12" s="551"/>
      <c r="G12" s="551"/>
      <c r="H12" s="518" t="s">
        <v>48</v>
      </c>
      <c r="I12" s="519"/>
      <c r="J12" s="519"/>
      <c r="K12" s="553"/>
      <c r="O12" s="554" t="s">
        <v>49</v>
      </c>
      <c r="P12" s="551"/>
      <c r="Q12" s="556" t="s">
        <v>50</v>
      </c>
      <c r="R12" s="558" t="s">
        <v>51</v>
      </c>
      <c r="S12" s="531" t="s">
        <v>52</v>
      </c>
      <c r="T12" s="518" t="s">
        <v>53</v>
      </c>
      <c r="U12" s="553"/>
      <c r="V12" s="29" t="s">
        <v>54</v>
      </c>
      <c r="W12" s="538"/>
      <c r="X12" s="539"/>
      <c r="Y12" s="518" t="s">
        <v>55</v>
      </c>
      <c r="Z12" s="519"/>
      <c r="AA12" s="520" t="s">
        <v>56</v>
      </c>
      <c r="AB12" s="521"/>
      <c r="AC12" s="538"/>
      <c r="AD12" s="545"/>
      <c r="AE12" s="547"/>
    </row>
    <row r="13" spans="1:31" s="30" customFormat="1" ht="12.95" customHeight="1" x14ac:dyDescent="0.35">
      <c r="A13" s="549"/>
      <c r="B13" s="551"/>
      <c r="C13" s="551"/>
      <c r="D13" s="551"/>
      <c r="E13" s="551"/>
      <c r="F13" s="551"/>
      <c r="G13" s="551"/>
      <c r="H13" s="522" t="s">
        <v>49</v>
      </c>
      <c r="I13" s="522"/>
      <c r="J13" s="525" t="s">
        <v>50</v>
      </c>
      <c r="K13" s="528" t="s">
        <v>57</v>
      </c>
      <c r="O13" s="554"/>
      <c r="P13" s="551"/>
      <c r="Q13" s="556"/>
      <c r="R13" s="558"/>
      <c r="S13" s="531"/>
      <c r="T13" s="31" t="s">
        <v>58</v>
      </c>
      <c r="U13" s="31" t="s">
        <v>59</v>
      </c>
      <c r="V13" s="32"/>
      <c r="W13" s="32"/>
      <c r="X13" s="32" t="s">
        <v>60</v>
      </c>
      <c r="Y13" s="32"/>
      <c r="Z13" s="32" t="s">
        <v>61</v>
      </c>
      <c r="AA13" s="32" t="s">
        <v>62</v>
      </c>
      <c r="AB13" s="32" t="s">
        <v>63</v>
      </c>
      <c r="AC13" s="32" t="s">
        <v>64</v>
      </c>
      <c r="AD13" s="33" t="s">
        <v>65</v>
      </c>
      <c r="AE13" s="547"/>
    </row>
    <row r="14" spans="1:31" s="30" customFormat="1" ht="12.95" customHeight="1" x14ac:dyDescent="0.35">
      <c r="A14" s="549"/>
      <c r="B14" s="551"/>
      <c r="C14" s="551"/>
      <c r="D14" s="551"/>
      <c r="E14" s="551"/>
      <c r="F14" s="551"/>
      <c r="G14" s="551"/>
      <c r="H14" s="523"/>
      <c r="I14" s="523"/>
      <c r="J14" s="526"/>
      <c r="K14" s="529"/>
      <c r="O14" s="554"/>
      <c r="P14" s="551"/>
      <c r="Q14" s="556"/>
      <c r="R14" s="558"/>
      <c r="S14" s="531"/>
      <c r="T14" s="31" t="s">
        <v>66</v>
      </c>
      <c r="U14" s="31" t="s">
        <v>67</v>
      </c>
      <c r="V14" s="31" t="s">
        <v>68</v>
      </c>
      <c r="W14" s="32" t="s">
        <v>69</v>
      </c>
      <c r="X14" s="32" t="s">
        <v>60</v>
      </c>
      <c r="Y14" s="32" t="s">
        <v>70</v>
      </c>
      <c r="Z14" s="32" t="s">
        <v>71</v>
      </c>
      <c r="AA14" s="32" t="s">
        <v>72</v>
      </c>
      <c r="AB14" s="32" t="s">
        <v>73</v>
      </c>
      <c r="AC14" s="32" t="s">
        <v>74</v>
      </c>
      <c r="AD14" s="33" t="s">
        <v>75</v>
      </c>
      <c r="AE14" s="547"/>
    </row>
    <row r="15" spans="1:31" s="30" customFormat="1" ht="12.95" customHeight="1" thickBot="1" x14ac:dyDescent="0.4">
      <c r="A15" s="550"/>
      <c r="B15" s="552"/>
      <c r="C15" s="552"/>
      <c r="D15" s="552"/>
      <c r="E15" s="552"/>
      <c r="F15" s="552"/>
      <c r="G15" s="552"/>
      <c r="H15" s="524"/>
      <c r="I15" s="524"/>
      <c r="J15" s="527"/>
      <c r="K15" s="530"/>
      <c r="O15" s="555"/>
      <c r="P15" s="552"/>
      <c r="Q15" s="557"/>
      <c r="R15" s="559"/>
      <c r="S15" s="532"/>
      <c r="T15" s="34" t="s">
        <v>76</v>
      </c>
      <c r="U15" s="34"/>
      <c r="V15" s="35"/>
      <c r="W15" s="35"/>
      <c r="X15" s="35"/>
      <c r="Y15" s="35"/>
      <c r="Z15" s="35"/>
      <c r="AA15" s="35"/>
      <c r="AB15" s="35"/>
      <c r="AC15" s="35" t="s">
        <v>77</v>
      </c>
      <c r="AD15" s="36" t="s">
        <v>78</v>
      </c>
      <c r="AE15" s="548"/>
    </row>
    <row r="16" spans="1:31" s="40" customFormat="1" ht="12.95" customHeight="1" thickTop="1" x14ac:dyDescent="0.35">
      <c r="A16" s="37">
        <v>1</v>
      </c>
      <c r="B16" s="503">
        <v>2</v>
      </c>
      <c r="C16" s="504"/>
      <c r="D16" s="504"/>
      <c r="E16" s="504"/>
      <c r="F16" s="504"/>
      <c r="G16" s="505"/>
      <c r="H16" s="503">
        <v>3</v>
      </c>
      <c r="I16" s="505"/>
      <c r="J16" s="480">
        <v>4</v>
      </c>
      <c r="K16" s="39">
        <v>5</v>
      </c>
      <c r="O16" s="503">
        <v>3</v>
      </c>
      <c r="P16" s="505"/>
      <c r="Q16" s="480">
        <v>4</v>
      </c>
      <c r="R16" s="41">
        <v>4</v>
      </c>
      <c r="S16" s="42">
        <v>5</v>
      </c>
      <c r="T16" s="43">
        <v>6</v>
      </c>
      <c r="U16" s="43">
        <v>7</v>
      </c>
      <c r="V16" s="43">
        <v>8</v>
      </c>
      <c r="W16" s="43">
        <v>9</v>
      </c>
      <c r="X16" s="43">
        <v>10</v>
      </c>
      <c r="Y16" s="43">
        <v>11</v>
      </c>
      <c r="Z16" s="43">
        <v>12</v>
      </c>
      <c r="AA16" s="43">
        <v>13</v>
      </c>
      <c r="AB16" s="43">
        <v>14</v>
      </c>
      <c r="AC16" s="43">
        <v>15</v>
      </c>
      <c r="AD16" s="43">
        <v>16</v>
      </c>
      <c r="AE16" s="43">
        <v>17</v>
      </c>
    </row>
    <row r="17" spans="1:37" ht="12" customHeight="1" x14ac:dyDescent="0.35">
      <c r="A17" s="44"/>
      <c r="B17" s="45"/>
      <c r="C17" s="45"/>
      <c r="D17" s="45"/>
      <c r="E17" s="45"/>
      <c r="F17" s="45"/>
      <c r="G17" s="46"/>
      <c r="H17" s="47"/>
      <c r="I17" s="46"/>
      <c r="J17" s="48"/>
      <c r="K17" s="49"/>
      <c r="L17" s="50"/>
      <c r="M17" s="50"/>
      <c r="N17" s="50"/>
      <c r="O17" s="51"/>
      <c r="P17" s="52"/>
      <c r="Q17" s="53"/>
      <c r="R17" s="54"/>
      <c r="S17" s="55"/>
      <c r="T17" s="56"/>
      <c r="U17" s="57"/>
      <c r="V17" s="57"/>
      <c r="W17" s="57"/>
      <c r="X17" s="57"/>
      <c r="Y17" s="58"/>
      <c r="Z17" s="56"/>
      <c r="AA17" s="56"/>
      <c r="AB17" s="56"/>
      <c r="AC17" s="58"/>
      <c r="AD17" s="58"/>
      <c r="AE17" s="56"/>
    </row>
    <row r="18" spans="1:37" ht="12" customHeight="1" x14ac:dyDescent="0.35">
      <c r="A18" s="59" t="s">
        <v>79</v>
      </c>
      <c r="B18" s="60" t="s">
        <v>80</v>
      </c>
      <c r="C18" s="60"/>
      <c r="D18" s="60"/>
      <c r="E18" s="60"/>
      <c r="F18" s="60"/>
      <c r="G18" s="61"/>
      <c r="H18" s="62"/>
      <c r="I18" s="63"/>
      <c r="J18" s="64"/>
      <c r="K18" s="65"/>
      <c r="L18" s="66"/>
      <c r="M18" s="66"/>
      <c r="N18" s="66"/>
      <c r="O18" s="67"/>
      <c r="P18" s="60"/>
      <c r="Q18" s="68"/>
      <c r="R18" s="69"/>
      <c r="S18" s="70"/>
      <c r="T18" s="71"/>
      <c r="U18" s="72"/>
      <c r="V18" s="72"/>
      <c r="W18" s="72"/>
      <c r="X18" s="72"/>
      <c r="Y18" s="73"/>
      <c r="Z18" s="71"/>
      <c r="AA18" s="71"/>
      <c r="AB18" s="71"/>
      <c r="AC18" s="73"/>
      <c r="AD18" s="73"/>
      <c r="AE18" s="71"/>
    </row>
    <row r="19" spans="1:37" ht="12" customHeight="1" x14ac:dyDescent="0.35">
      <c r="A19" s="74"/>
      <c r="B19" s="75"/>
      <c r="C19" s="75"/>
      <c r="D19" s="75"/>
      <c r="E19" s="75"/>
      <c r="F19" s="75"/>
      <c r="G19" s="76"/>
      <c r="H19" s="77"/>
      <c r="I19" s="78"/>
      <c r="J19" s="79"/>
      <c r="K19" s="80"/>
      <c r="L19" s="81"/>
      <c r="M19" s="81"/>
      <c r="N19" s="81"/>
      <c r="O19" s="82"/>
      <c r="P19" s="75"/>
      <c r="Q19" s="83"/>
      <c r="R19" s="84"/>
      <c r="S19" s="85"/>
      <c r="T19" s="86"/>
      <c r="U19" s="87"/>
      <c r="V19" s="87"/>
      <c r="W19" s="87"/>
      <c r="X19" s="87"/>
      <c r="Y19" s="88"/>
      <c r="Z19" s="86"/>
      <c r="AA19" s="86"/>
      <c r="AB19" s="86"/>
      <c r="AC19" s="88"/>
      <c r="AD19" s="88"/>
      <c r="AE19" s="86"/>
    </row>
    <row r="20" spans="1:37" ht="12" customHeight="1" x14ac:dyDescent="0.35">
      <c r="A20" s="89" t="s">
        <v>180</v>
      </c>
      <c r="B20" s="60" t="s">
        <v>181</v>
      </c>
      <c r="C20" s="60"/>
      <c r="D20" s="60"/>
      <c r="E20" s="60"/>
      <c r="F20" s="60"/>
      <c r="G20" s="61"/>
      <c r="H20" s="62"/>
      <c r="I20" s="63"/>
      <c r="J20" s="64"/>
      <c r="K20" s="65"/>
      <c r="L20" s="66"/>
      <c r="M20" s="66"/>
      <c r="N20" s="66"/>
      <c r="O20" s="67"/>
      <c r="P20" s="60"/>
      <c r="Q20" s="68"/>
      <c r="R20" s="69"/>
      <c r="S20" s="70"/>
      <c r="T20" s="71"/>
      <c r="U20" s="72"/>
      <c r="V20" s="72"/>
      <c r="W20" s="72"/>
      <c r="X20" s="72"/>
      <c r="Y20" s="73"/>
      <c r="Z20" s="71"/>
      <c r="AA20" s="71"/>
      <c r="AB20" s="71"/>
      <c r="AC20" s="73"/>
      <c r="AD20" s="73"/>
      <c r="AE20" s="71"/>
      <c r="AF20" s="90"/>
      <c r="AG20" s="90"/>
      <c r="AH20" s="90"/>
      <c r="AI20" s="90"/>
      <c r="AJ20" s="90"/>
      <c r="AK20" s="90"/>
    </row>
    <row r="21" spans="1:37" ht="12" customHeight="1" x14ac:dyDescent="0.35">
      <c r="A21" s="74"/>
      <c r="B21" s="75"/>
      <c r="C21" s="75"/>
      <c r="D21" s="75"/>
      <c r="E21" s="75"/>
      <c r="F21" s="75"/>
      <c r="G21" s="76"/>
      <c r="H21" s="77"/>
      <c r="I21" s="78"/>
      <c r="J21" s="79"/>
      <c r="K21" s="80"/>
      <c r="L21" s="81"/>
      <c r="M21" s="81"/>
      <c r="N21" s="81"/>
      <c r="O21" s="82"/>
      <c r="P21" s="75"/>
      <c r="Q21" s="83"/>
      <c r="R21" s="84"/>
      <c r="S21" s="85"/>
      <c r="T21" s="86"/>
      <c r="U21" s="87"/>
      <c r="V21" s="87"/>
      <c r="W21" s="87"/>
      <c r="X21" s="87"/>
      <c r="Y21" s="88"/>
      <c r="Z21" s="86"/>
      <c r="AA21" s="86"/>
      <c r="AB21" s="86"/>
      <c r="AC21" s="88"/>
      <c r="AD21" s="88"/>
      <c r="AE21" s="86"/>
    </row>
    <row r="22" spans="1:37" ht="12" customHeight="1" x14ac:dyDescent="0.35">
      <c r="A22" s="91" t="s">
        <v>182</v>
      </c>
      <c r="B22" s="75" t="s">
        <v>183</v>
      </c>
      <c r="C22" s="75"/>
      <c r="D22" s="75"/>
      <c r="E22" s="75"/>
      <c r="F22" s="75"/>
      <c r="G22" s="76"/>
      <c r="H22" s="77"/>
      <c r="I22" s="78"/>
      <c r="J22" s="79"/>
      <c r="K22" s="80"/>
      <c r="L22" s="81"/>
      <c r="M22" s="81"/>
      <c r="N22" s="81"/>
      <c r="O22" s="82"/>
      <c r="P22" s="75"/>
      <c r="Q22" s="83"/>
      <c r="R22" s="84"/>
      <c r="S22" s="85"/>
      <c r="T22" s="86"/>
      <c r="U22" s="87"/>
      <c r="V22" s="87"/>
      <c r="W22" s="87"/>
      <c r="X22" s="87"/>
      <c r="Y22" s="88"/>
      <c r="Z22" s="86"/>
      <c r="AA22" s="86"/>
      <c r="AB22" s="86"/>
      <c r="AC22" s="88"/>
      <c r="AD22" s="88"/>
      <c r="AE22" s="86"/>
    </row>
    <row r="23" spans="1:37" ht="12" customHeight="1" x14ac:dyDescent="0.35">
      <c r="A23" s="74"/>
      <c r="B23" s="75"/>
      <c r="C23" s="75"/>
      <c r="D23" s="75"/>
      <c r="E23" s="75"/>
      <c r="F23" s="75"/>
      <c r="G23" s="76"/>
      <c r="H23" s="77"/>
      <c r="I23" s="78"/>
      <c r="J23" s="79"/>
      <c r="K23" s="80"/>
      <c r="L23" s="81"/>
      <c r="M23" s="81"/>
      <c r="N23" s="81"/>
      <c r="O23" s="82"/>
      <c r="P23" s="75"/>
      <c r="Q23" s="83"/>
      <c r="R23" s="84"/>
      <c r="S23" s="85"/>
      <c r="T23" s="86"/>
      <c r="U23" s="87"/>
      <c r="V23" s="87"/>
      <c r="W23" s="87"/>
      <c r="X23" s="87"/>
      <c r="Y23" s="88"/>
      <c r="Z23" s="86"/>
      <c r="AA23" s="86"/>
      <c r="AB23" s="86"/>
      <c r="AC23" s="88"/>
      <c r="AD23" s="88"/>
      <c r="AE23" s="86"/>
    </row>
    <row r="24" spans="1:37" ht="12" customHeight="1" x14ac:dyDescent="0.35">
      <c r="A24" s="92" t="s">
        <v>184</v>
      </c>
      <c r="B24" s="75" t="s">
        <v>185</v>
      </c>
      <c r="C24" s="75"/>
      <c r="D24" s="75"/>
      <c r="E24" s="75"/>
      <c r="F24" s="75"/>
      <c r="G24" s="76"/>
      <c r="H24" s="77"/>
      <c r="I24" s="78"/>
      <c r="J24" s="79"/>
      <c r="K24" s="80"/>
      <c r="L24" s="81"/>
      <c r="M24" s="81"/>
      <c r="N24" s="81"/>
      <c r="O24" s="82"/>
      <c r="P24" s="75"/>
      <c r="Q24" s="83"/>
      <c r="R24" s="84"/>
      <c r="S24" s="85"/>
      <c r="T24" s="86"/>
      <c r="U24" s="87"/>
      <c r="V24" s="87"/>
      <c r="W24" s="87"/>
      <c r="X24" s="87"/>
      <c r="Y24" s="88"/>
      <c r="Z24" s="86"/>
      <c r="AA24" s="86"/>
      <c r="AB24" s="86"/>
      <c r="AC24" s="88"/>
      <c r="AD24" s="88"/>
      <c r="AE24" s="86"/>
    </row>
    <row r="25" spans="1:37" ht="12" customHeight="1" x14ac:dyDescent="0.35">
      <c r="A25" s="284">
        <v>521211</v>
      </c>
      <c r="B25" s="285" t="s">
        <v>186</v>
      </c>
      <c r="C25" s="94"/>
      <c r="D25" s="94"/>
      <c r="E25" s="94"/>
      <c r="F25" s="94"/>
      <c r="G25" s="95"/>
      <c r="H25" s="77"/>
      <c r="I25" s="78"/>
      <c r="J25" s="79"/>
      <c r="K25" s="80"/>
      <c r="L25" s="81"/>
      <c r="M25" s="81"/>
      <c r="N25" s="81"/>
      <c r="O25" s="82"/>
      <c r="P25" s="75"/>
      <c r="Q25" s="83"/>
      <c r="R25" s="84"/>
      <c r="S25" s="85"/>
      <c r="T25" s="86"/>
      <c r="U25" s="87"/>
      <c r="V25" s="87"/>
      <c r="W25" s="87"/>
      <c r="X25" s="87"/>
      <c r="Y25" s="88"/>
      <c r="Z25" s="86"/>
      <c r="AA25" s="86"/>
      <c r="AB25" s="86"/>
      <c r="AC25" s="88"/>
      <c r="AD25" s="88"/>
      <c r="AE25" s="86"/>
    </row>
    <row r="26" spans="1:37" ht="12" customHeight="1" x14ac:dyDescent="0.35">
      <c r="A26" s="93"/>
      <c r="B26" s="102" t="s">
        <v>82</v>
      </c>
      <c r="C26" s="94" t="s">
        <v>189</v>
      </c>
      <c r="D26" s="94"/>
      <c r="E26" s="94"/>
      <c r="F26" s="94"/>
      <c r="G26" s="95"/>
      <c r="H26" s="77"/>
      <c r="I26" s="78"/>
      <c r="J26" s="79"/>
      <c r="K26" s="80"/>
      <c r="L26" s="81"/>
      <c r="M26" s="81"/>
      <c r="N26" s="81"/>
      <c r="O26" s="96">
        <v>1</v>
      </c>
      <c r="P26" s="94" t="s">
        <v>83</v>
      </c>
      <c r="Q26" s="97"/>
      <c r="R26" s="98">
        <f>O26*2730000</f>
        <v>2730000</v>
      </c>
      <c r="S26" s="85">
        <f>+R26/$R$184*100</f>
        <v>0.12191946794880097</v>
      </c>
      <c r="T26" s="99">
        <v>0</v>
      </c>
      <c r="U26" s="87"/>
      <c r="V26" s="87"/>
      <c r="W26" s="87"/>
      <c r="X26" s="87"/>
      <c r="Y26" s="88">
        <v>2730000</v>
      </c>
      <c r="Z26" s="99">
        <f>+Y26/R26*100</f>
        <v>100</v>
      </c>
      <c r="AA26" s="100">
        <f>Z26</f>
        <v>100</v>
      </c>
      <c r="AB26" s="99">
        <f>AA26*S26/100</f>
        <v>0.12191946794880097</v>
      </c>
      <c r="AC26" s="88"/>
      <c r="AD26" s="88">
        <f>+R26-Y26</f>
        <v>0</v>
      </c>
      <c r="AE26" s="86"/>
    </row>
    <row r="27" spans="1:37" ht="12" customHeight="1" x14ac:dyDescent="0.35">
      <c r="A27" s="93"/>
      <c r="B27" s="102" t="s">
        <v>82</v>
      </c>
      <c r="C27" s="94" t="s">
        <v>187</v>
      </c>
      <c r="D27" s="94"/>
      <c r="E27" s="94"/>
      <c r="F27" s="94"/>
      <c r="G27" s="95"/>
      <c r="H27" s="77"/>
      <c r="I27" s="78"/>
      <c r="J27" s="79"/>
      <c r="K27" s="80"/>
      <c r="L27" s="81"/>
      <c r="M27" s="81"/>
      <c r="N27" s="81"/>
      <c r="O27" s="96">
        <v>1</v>
      </c>
      <c r="P27" s="94" t="s">
        <v>83</v>
      </c>
      <c r="Q27" s="97"/>
      <c r="R27" s="98">
        <f>O27*2810000</f>
        <v>2810000</v>
      </c>
      <c r="S27" s="85">
        <f>+R27/$R$184*100</f>
        <v>0.12549219961030428</v>
      </c>
      <c r="T27" s="99"/>
      <c r="U27" s="87"/>
      <c r="V27" s="87"/>
      <c r="W27" s="87"/>
      <c r="X27" s="87"/>
      <c r="Y27" s="88">
        <v>0</v>
      </c>
      <c r="Z27" s="99">
        <f t="shared" ref="Z27:Z30" si="0">+Y27/R27*100</f>
        <v>0</v>
      </c>
      <c r="AA27" s="100">
        <f t="shared" ref="AA27:AA61" si="1">Z27</f>
        <v>0</v>
      </c>
      <c r="AB27" s="99">
        <f t="shared" ref="AB27:AB30" si="2">AA27*S27/100</f>
        <v>0</v>
      </c>
      <c r="AC27" s="88"/>
      <c r="AD27" s="88">
        <f t="shared" ref="AD27:AD34" si="3">+R27-Y27</f>
        <v>2810000</v>
      </c>
      <c r="AE27" s="86"/>
    </row>
    <row r="28" spans="1:37" ht="12" customHeight="1" x14ac:dyDescent="0.35">
      <c r="A28" s="93"/>
      <c r="B28" s="102" t="s">
        <v>82</v>
      </c>
      <c r="C28" s="94" t="s">
        <v>190</v>
      </c>
      <c r="D28" s="94"/>
      <c r="E28" s="94"/>
      <c r="F28" s="94"/>
      <c r="G28" s="95"/>
      <c r="H28" s="77"/>
      <c r="I28" s="78"/>
      <c r="J28" s="79"/>
      <c r="K28" s="80"/>
      <c r="L28" s="81"/>
      <c r="M28" s="81"/>
      <c r="N28" s="81"/>
      <c r="O28" s="96">
        <v>1</v>
      </c>
      <c r="P28" s="94" t="s">
        <v>83</v>
      </c>
      <c r="Q28" s="97"/>
      <c r="R28" s="98">
        <f>O28*8490000</f>
        <v>8490000</v>
      </c>
      <c r="S28" s="85">
        <f>+R28/$R$184*100</f>
        <v>0.37915614757704036</v>
      </c>
      <c r="T28" s="99"/>
      <c r="U28" s="87"/>
      <c r="V28" s="87"/>
      <c r="W28" s="87"/>
      <c r="X28" s="87"/>
      <c r="Y28" s="88">
        <v>8490000</v>
      </c>
      <c r="Z28" s="99">
        <f t="shared" si="0"/>
        <v>100</v>
      </c>
      <c r="AA28" s="100">
        <f t="shared" si="1"/>
        <v>100</v>
      </c>
      <c r="AB28" s="99">
        <f t="shared" si="2"/>
        <v>0.37915614757704036</v>
      </c>
      <c r="AC28" s="88"/>
      <c r="AD28" s="88">
        <f t="shared" si="3"/>
        <v>0</v>
      </c>
      <c r="AE28" s="86"/>
    </row>
    <row r="29" spans="1:37" ht="12" customHeight="1" x14ac:dyDescent="0.35">
      <c r="A29" s="93"/>
      <c r="B29" s="102" t="s">
        <v>82</v>
      </c>
      <c r="C29" s="94" t="s">
        <v>188</v>
      </c>
      <c r="D29" s="94"/>
      <c r="E29" s="94"/>
      <c r="F29" s="94"/>
      <c r="G29" s="95"/>
      <c r="H29" s="77"/>
      <c r="I29" s="78"/>
      <c r="J29" s="79"/>
      <c r="K29" s="80"/>
      <c r="L29" s="81"/>
      <c r="M29" s="81"/>
      <c r="N29" s="81"/>
      <c r="O29" s="96">
        <v>1</v>
      </c>
      <c r="P29" s="94" t="s">
        <v>83</v>
      </c>
      <c r="Q29" s="97"/>
      <c r="R29" s="98">
        <f>O29*9990000</f>
        <v>9990000</v>
      </c>
      <c r="S29" s="85">
        <f>+R29/$R$184*100</f>
        <v>0.4461448662302277</v>
      </c>
      <c r="T29" s="99"/>
      <c r="U29" s="87"/>
      <c r="V29" s="87"/>
      <c r="W29" s="87"/>
      <c r="X29" s="87"/>
      <c r="Y29" s="88">
        <v>0</v>
      </c>
      <c r="Z29" s="99">
        <f t="shared" si="0"/>
        <v>0</v>
      </c>
      <c r="AA29" s="100">
        <f t="shared" si="1"/>
        <v>0</v>
      </c>
      <c r="AB29" s="99">
        <f t="shared" si="2"/>
        <v>0</v>
      </c>
      <c r="AC29" s="88"/>
      <c r="AD29" s="88">
        <f t="shared" si="3"/>
        <v>9990000</v>
      </c>
      <c r="AE29" s="86"/>
    </row>
    <row r="30" spans="1:37" ht="12" customHeight="1" x14ac:dyDescent="0.35">
      <c r="A30" s="93"/>
      <c r="B30" s="102" t="s">
        <v>191</v>
      </c>
      <c r="C30" s="94" t="s">
        <v>192</v>
      </c>
      <c r="D30" s="94"/>
      <c r="E30" s="94"/>
      <c r="F30" s="94"/>
      <c r="G30" s="95"/>
      <c r="H30" s="77"/>
      <c r="I30" s="78"/>
      <c r="J30" s="79"/>
      <c r="K30" s="80"/>
      <c r="L30" s="81"/>
      <c r="M30" s="81"/>
      <c r="N30" s="81"/>
      <c r="O30" s="96">
        <v>1</v>
      </c>
      <c r="P30" s="94" t="s">
        <v>83</v>
      </c>
      <c r="Q30" s="97"/>
      <c r="R30" s="98">
        <f>O30*2480000</f>
        <v>2480000</v>
      </c>
      <c r="S30" s="85">
        <f>+R30/$R$184*100</f>
        <v>0.11075468150660307</v>
      </c>
      <c r="T30" s="99"/>
      <c r="U30" s="87"/>
      <c r="V30" s="87"/>
      <c r="W30" s="87"/>
      <c r="X30" s="87"/>
      <c r="Y30" s="88">
        <f>210000+240000+240000+272000</f>
        <v>962000</v>
      </c>
      <c r="Z30" s="99">
        <f t="shared" si="0"/>
        <v>38.79032258064516</v>
      </c>
      <c r="AA30" s="100">
        <f t="shared" si="1"/>
        <v>38.79032258064516</v>
      </c>
      <c r="AB30" s="99">
        <f t="shared" si="2"/>
        <v>4.2962098229577486E-2</v>
      </c>
      <c r="AC30" s="88"/>
      <c r="AD30" s="88">
        <f t="shared" si="3"/>
        <v>1518000</v>
      </c>
      <c r="AE30" s="86"/>
    </row>
    <row r="31" spans="1:37" ht="12" customHeight="1" x14ac:dyDescent="0.35">
      <c r="A31" s="284">
        <v>521213</v>
      </c>
      <c r="B31" s="285" t="s">
        <v>193</v>
      </c>
      <c r="C31" s="94"/>
      <c r="D31" s="94"/>
      <c r="E31" s="94"/>
      <c r="F31" s="94"/>
      <c r="G31" s="95"/>
      <c r="H31" s="77"/>
      <c r="I31" s="78"/>
      <c r="J31" s="79"/>
      <c r="K31" s="80"/>
      <c r="L31" s="81"/>
      <c r="M31" s="81"/>
      <c r="N31" s="81"/>
      <c r="O31" s="96"/>
      <c r="P31" s="94"/>
      <c r="Q31" s="97"/>
      <c r="R31" s="98"/>
      <c r="S31" s="85"/>
      <c r="T31" s="99"/>
      <c r="U31" s="87"/>
      <c r="V31" s="87"/>
      <c r="W31" s="87"/>
      <c r="X31" s="87"/>
      <c r="Y31" s="88"/>
      <c r="Z31" s="99"/>
      <c r="AA31" s="100"/>
      <c r="AB31" s="99"/>
      <c r="AC31" s="88"/>
      <c r="AD31" s="88"/>
      <c r="AE31" s="86"/>
    </row>
    <row r="32" spans="1:37" ht="12" customHeight="1" x14ac:dyDescent="0.35">
      <c r="A32" s="93"/>
      <c r="B32" s="102" t="s">
        <v>82</v>
      </c>
      <c r="C32" s="94" t="s">
        <v>194</v>
      </c>
      <c r="D32" s="94"/>
      <c r="E32" s="94"/>
      <c r="F32" s="94"/>
      <c r="G32" s="95"/>
      <c r="H32" s="77"/>
      <c r="I32" s="78"/>
      <c r="J32" s="79"/>
      <c r="K32" s="80"/>
      <c r="L32" s="81"/>
      <c r="M32" s="81"/>
      <c r="N32" s="81"/>
      <c r="O32" s="96">
        <v>6</v>
      </c>
      <c r="P32" s="94" t="s">
        <v>147</v>
      </c>
      <c r="Q32" s="97"/>
      <c r="R32" s="98">
        <f>O32*300000</f>
        <v>1800000</v>
      </c>
      <c r="S32" s="85">
        <f>+R32/$R$184*100</f>
        <v>8.0386462383824811E-2</v>
      </c>
      <c r="T32" s="99"/>
      <c r="U32" s="87"/>
      <c r="V32" s="87"/>
      <c r="W32" s="87"/>
      <c r="X32" s="87"/>
      <c r="Y32" s="88">
        <v>0</v>
      </c>
      <c r="Z32" s="99">
        <f t="shared" ref="Z32:Z34" si="4">+Y32/R32*100</f>
        <v>0</v>
      </c>
      <c r="AA32" s="100">
        <f t="shared" si="1"/>
        <v>0</v>
      </c>
      <c r="AB32" s="99">
        <f t="shared" ref="AB32:AB34" si="5">AA32*S32/100</f>
        <v>0</v>
      </c>
      <c r="AC32" s="88"/>
      <c r="AD32" s="88">
        <f t="shared" si="3"/>
        <v>1800000</v>
      </c>
      <c r="AE32" s="86"/>
    </row>
    <row r="33" spans="1:32" ht="12" customHeight="1" x14ac:dyDescent="0.35">
      <c r="A33" s="93"/>
      <c r="B33" s="102" t="s">
        <v>82</v>
      </c>
      <c r="C33" s="94" t="s">
        <v>195</v>
      </c>
      <c r="D33" s="94"/>
      <c r="E33" s="94"/>
      <c r="F33" s="94"/>
      <c r="G33" s="95"/>
      <c r="H33" s="77"/>
      <c r="I33" s="78"/>
      <c r="J33" s="79"/>
      <c r="K33" s="80"/>
      <c r="L33" s="81"/>
      <c r="M33" s="81"/>
      <c r="N33" s="81"/>
      <c r="O33" s="96">
        <v>6</v>
      </c>
      <c r="P33" s="94" t="s">
        <v>147</v>
      </c>
      <c r="Q33" s="97"/>
      <c r="R33" s="98">
        <f>O33*250000</f>
        <v>1500000</v>
      </c>
      <c r="S33" s="85">
        <f>+R33/$R$184*100</f>
        <v>6.6988718653187354E-2</v>
      </c>
      <c r="T33" s="99"/>
      <c r="U33" s="87"/>
      <c r="V33" s="87"/>
      <c r="W33" s="87"/>
      <c r="X33" s="87"/>
      <c r="Y33" s="88">
        <v>0</v>
      </c>
      <c r="Z33" s="99">
        <f t="shared" si="4"/>
        <v>0</v>
      </c>
      <c r="AA33" s="100">
        <f t="shared" si="1"/>
        <v>0</v>
      </c>
      <c r="AB33" s="99">
        <f t="shared" si="5"/>
        <v>0</v>
      </c>
      <c r="AC33" s="88"/>
      <c r="AD33" s="88">
        <f t="shared" si="3"/>
        <v>1500000</v>
      </c>
      <c r="AE33" s="86"/>
    </row>
    <row r="34" spans="1:32" ht="12" customHeight="1" x14ac:dyDescent="0.35">
      <c r="A34" s="93"/>
      <c r="B34" s="102" t="s">
        <v>82</v>
      </c>
      <c r="C34" s="94" t="s">
        <v>196</v>
      </c>
      <c r="D34" s="94"/>
      <c r="E34" s="94"/>
      <c r="F34" s="94"/>
      <c r="G34" s="95"/>
      <c r="H34" s="77"/>
      <c r="I34" s="78"/>
      <c r="J34" s="79"/>
      <c r="K34" s="80"/>
      <c r="L34" s="81"/>
      <c r="M34" s="81"/>
      <c r="N34" s="81"/>
      <c r="O34" s="96">
        <v>30</v>
      </c>
      <c r="P34" s="94" t="s">
        <v>147</v>
      </c>
      <c r="Q34" s="97"/>
      <c r="R34" s="98">
        <f>O34*200000</f>
        <v>6000000</v>
      </c>
      <c r="S34" s="85">
        <f>+R34/$R$184*100</f>
        <v>0.26795487461274942</v>
      </c>
      <c r="T34" s="99"/>
      <c r="U34" s="87"/>
      <c r="V34" s="87"/>
      <c r="W34" s="87"/>
      <c r="X34" s="87"/>
      <c r="Y34" s="88">
        <v>0</v>
      </c>
      <c r="Z34" s="99">
        <f t="shared" si="4"/>
        <v>0</v>
      </c>
      <c r="AA34" s="100">
        <f t="shared" si="1"/>
        <v>0</v>
      </c>
      <c r="AB34" s="99">
        <f t="shared" si="5"/>
        <v>0</v>
      </c>
      <c r="AC34" s="88"/>
      <c r="AD34" s="88">
        <f t="shared" si="3"/>
        <v>6000000</v>
      </c>
      <c r="AE34" s="86"/>
    </row>
    <row r="35" spans="1:32" ht="12" customHeight="1" x14ac:dyDescent="0.35">
      <c r="A35" s="284">
        <v>521219</v>
      </c>
      <c r="B35" s="285" t="s">
        <v>197</v>
      </c>
      <c r="C35" s="94"/>
      <c r="D35" s="94"/>
      <c r="E35" s="94"/>
      <c r="F35" s="94"/>
      <c r="G35" s="95"/>
      <c r="H35" s="77"/>
      <c r="I35" s="78"/>
      <c r="J35" s="79"/>
      <c r="K35" s="80"/>
      <c r="L35" s="81"/>
      <c r="M35" s="81"/>
      <c r="N35" s="81"/>
      <c r="O35" s="96"/>
      <c r="P35" s="94"/>
      <c r="Q35" s="97"/>
      <c r="R35" s="98"/>
      <c r="S35" s="85"/>
      <c r="T35" s="99"/>
      <c r="U35" s="87"/>
      <c r="V35" s="87"/>
      <c r="W35" s="87"/>
      <c r="X35" s="87"/>
      <c r="Y35" s="88"/>
      <c r="Z35" s="99"/>
      <c r="AA35" s="100"/>
      <c r="AB35" s="99"/>
      <c r="AC35" s="88"/>
      <c r="AD35" s="88"/>
      <c r="AE35" s="86"/>
    </row>
    <row r="36" spans="1:32" ht="12" customHeight="1" x14ac:dyDescent="0.35">
      <c r="A36" s="93"/>
      <c r="B36" s="102" t="s">
        <v>82</v>
      </c>
      <c r="C36" s="94" t="s">
        <v>198</v>
      </c>
      <c r="D36" s="94"/>
      <c r="E36" s="94"/>
      <c r="F36" s="94"/>
      <c r="G36" s="95"/>
      <c r="H36" s="77"/>
      <c r="I36" s="78"/>
      <c r="J36" s="79"/>
      <c r="K36" s="80"/>
      <c r="L36" s="81"/>
      <c r="M36" s="81"/>
      <c r="N36" s="81"/>
      <c r="O36" s="96">
        <v>25</v>
      </c>
      <c r="P36" s="94" t="s">
        <v>200</v>
      </c>
      <c r="Q36" s="83"/>
      <c r="R36" s="98">
        <f>O36*50000</f>
        <v>1250000</v>
      </c>
      <c r="S36" s="85">
        <f>+R36/$R$184*100</f>
        <v>5.5823932210989448E-2</v>
      </c>
      <c r="T36" s="99"/>
      <c r="U36" s="87"/>
      <c r="V36" s="87"/>
      <c r="W36" s="87"/>
      <c r="X36" s="87"/>
      <c r="Y36" s="88">
        <v>1250000</v>
      </c>
      <c r="Z36" s="99">
        <f t="shared" ref="Z36:Z37" si="6">+Y36/R36*100</f>
        <v>100</v>
      </c>
      <c r="AA36" s="100">
        <f t="shared" si="1"/>
        <v>100</v>
      </c>
      <c r="AB36" s="99">
        <f t="shared" ref="AB36:AB37" si="7">AA36*S36/100</f>
        <v>5.5823932210989448E-2</v>
      </c>
      <c r="AC36" s="88"/>
      <c r="AD36" s="88">
        <f t="shared" ref="AD36:AD37" si="8">+R36-Y36</f>
        <v>0</v>
      </c>
      <c r="AE36" s="86"/>
    </row>
    <row r="37" spans="1:32" ht="12" customHeight="1" x14ac:dyDescent="0.35">
      <c r="A37" s="93"/>
      <c r="B37" s="102" t="s">
        <v>82</v>
      </c>
      <c r="C37" s="94" t="s">
        <v>199</v>
      </c>
      <c r="D37" s="94"/>
      <c r="E37" s="94"/>
      <c r="F37" s="94"/>
      <c r="G37" s="95"/>
      <c r="H37" s="77"/>
      <c r="I37" s="78"/>
      <c r="J37" s="79"/>
      <c r="K37" s="80"/>
      <c r="L37" s="81"/>
      <c r="M37" s="81"/>
      <c r="N37" s="81"/>
      <c r="O37" s="96">
        <v>30</v>
      </c>
      <c r="P37" s="94" t="s">
        <v>200</v>
      </c>
      <c r="Q37" s="97"/>
      <c r="R37" s="98">
        <f>O37*50000</f>
        <v>1500000</v>
      </c>
      <c r="S37" s="85">
        <f>+R37/$R$184*100</f>
        <v>6.6988718653187354E-2</v>
      </c>
      <c r="T37" s="99"/>
      <c r="U37" s="87"/>
      <c r="V37" s="87"/>
      <c r="W37" s="87"/>
      <c r="X37" s="87"/>
      <c r="Y37" s="88">
        <v>0</v>
      </c>
      <c r="Z37" s="99">
        <f t="shared" si="6"/>
        <v>0</v>
      </c>
      <c r="AA37" s="100">
        <f t="shared" si="1"/>
        <v>0</v>
      </c>
      <c r="AB37" s="99">
        <f t="shared" si="7"/>
        <v>0</v>
      </c>
      <c r="AC37" s="88"/>
      <c r="AD37" s="88">
        <f t="shared" si="8"/>
        <v>1500000</v>
      </c>
      <c r="AE37" s="86"/>
    </row>
    <row r="38" spans="1:32" ht="12" customHeight="1" x14ac:dyDescent="0.35">
      <c r="A38" s="284">
        <v>522141</v>
      </c>
      <c r="B38" s="285" t="s">
        <v>168</v>
      </c>
      <c r="C38" s="94"/>
      <c r="D38" s="94"/>
      <c r="E38" s="94"/>
      <c r="F38" s="94"/>
      <c r="G38" s="95"/>
      <c r="H38" s="77"/>
      <c r="I38" s="78"/>
      <c r="J38" s="79"/>
      <c r="K38" s="80"/>
      <c r="L38" s="81"/>
      <c r="M38" s="81"/>
      <c r="N38" s="81"/>
      <c r="O38" s="82"/>
      <c r="P38" s="75"/>
      <c r="Q38" s="83"/>
      <c r="R38" s="84"/>
      <c r="S38" s="85"/>
      <c r="T38" s="86"/>
      <c r="U38" s="87"/>
      <c r="V38" s="87"/>
      <c r="W38" s="87"/>
      <c r="X38" s="87"/>
      <c r="Y38" s="88"/>
      <c r="Z38" s="86"/>
      <c r="AA38" s="86"/>
      <c r="AB38" s="86"/>
      <c r="AC38" s="88"/>
      <c r="AD38" s="88"/>
      <c r="AE38" s="86"/>
    </row>
    <row r="39" spans="1:32" ht="12" customHeight="1" x14ac:dyDescent="0.35">
      <c r="A39" s="93"/>
      <c r="B39" s="102" t="s">
        <v>82</v>
      </c>
      <c r="C39" s="94" t="s">
        <v>201</v>
      </c>
      <c r="D39" s="94"/>
      <c r="E39" s="94"/>
      <c r="F39" s="94"/>
      <c r="G39" s="95"/>
      <c r="H39" s="77"/>
      <c r="I39" s="78"/>
      <c r="J39" s="79"/>
      <c r="K39" s="80"/>
      <c r="L39" s="81"/>
      <c r="M39" s="81"/>
      <c r="N39" s="81"/>
      <c r="O39" s="96">
        <v>1</v>
      </c>
      <c r="P39" s="94" t="s">
        <v>205</v>
      </c>
      <c r="Q39" s="97"/>
      <c r="R39" s="98">
        <f>O39*2000000</f>
        <v>2000000</v>
      </c>
      <c r="S39" s="85">
        <f>+R39/$R$184*100</f>
        <v>8.9318291537583125E-2</v>
      </c>
      <c r="T39" s="99"/>
      <c r="U39" s="87"/>
      <c r="V39" s="87"/>
      <c r="W39" s="87"/>
      <c r="X39" s="87"/>
      <c r="Y39" s="88">
        <v>2000000</v>
      </c>
      <c r="Z39" s="99">
        <f t="shared" ref="Z39:Z42" si="9">+Y39/R39*100</f>
        <v>100</v>
      </c>
      <c r="AA39" s="100">
        <f t="shared" si="1"/>
        <v>100</v>
      </c>
      <c r="AB39" s="99">
        <f t="shared" ref="AB39:AB42" si="10">AA39*S39/100</f>
        <v>8.9318291537583139E-2</v>
      </c>
      <c r="AC39" s="88"/>
      <c r="AD39" s="88">
        <f t="shared" ref="AD39:AD42" si="11">+R39-Y39</f>
        <v>0</v>
      </c>
      <c r="AE39" s="86"/>
    </row>
    <row r="40" spans="1:32" ht="12" customHeight="1" x14ac:dyDescent="0.35">
      <c r="A40" s="93"/>
      <c r="B40" s="102" t="s">
        <v>82</v>
      </c>
      <c r="C40" s="94" t="s">
        <v>202</v>
      </c>
      <c r="D40" s="94"/>
      <c r="E40" s="94"/>
      <c r="F40" s="94"/>
      <c r="G40" s="95"/>
      <c r="H40" s="77"/>
      <c r="I40" s="78"/>
      <c r="J40" s="79"/>
      <c r="K40" s="80"/>
      <c r="L40" s="81"/>
      <c r="M40" s="81"/>
      <c r="N40" s="81"/>
      <c r="O40" s="96">
        <v>6</v>
      </c>
      <c r="P40" s="94" t="s">
        <v>205</v>
      </c>
      <c r="Q40" s="97"/>
      <c r="R40" s="98">
        <f>O40*700000</f>
        <v>4200000</v>
      </c>
      <c r="S40" s="85">
        <f>+R40/$R$184*100</f>
        <v>0.18756841222892456</v>
      </c>
      <c r="T40" s="99"/>
      <c r="U40" s="87"/>
      <c r="V40" s="87"/>
      <c r="W40" s="87"/>
      <c r="X40" s="87"/>
      <c r="Y40" s="88">
        <v>4200000</v>
      </c>
      <c r="Z40" s="99">
        <f t="shared" si="9"/>
        <v>100</v>
      </c>
      <c r="AA40" s="100">
        <f t="shared" si="1"/>
        <v>100</v>
      </c>
      <c r="AB40" s="99">
        <f t="shared" si="10"/>
        <v>0.18756841222892459</v>
      </c>
      <c r="AC40" s="88"/>
      <c r="AD40" s="88">
        <f t="shared" si="11"/>
        <v>0</v>
      </c>
      <c r="AE40" s="86"/>
      <c r="AF40" s="90"/>
    </row>
    <row r="41" spans="1:32" ht="12" customHeight="1" x14ac:dyDescent="0.35">
      <c r="A41" s="93"/>
      <c r="B41" s="102" t="s">
        <v>82</v>
      </c>
      <c r="C41" s="94" t="s">
        <v>203</v>
      </c>
      <c r="D41" s="94"/>
      <c r="E41" s="94"/>
      <c r="F41" s="94"/>
      <c r="G41" s="95"/>
      <c r="H41" s="77"/>
      <c r="I41" s="78"/>
      <c r="J41" s="79"/>
      <c r="K41" s="80"/>
      <c r="L41" s="81"/>
      <c r="M41" s="81"/>
      <c r="N41" s="81"/>
      <c r="O41" s="96">
        <v>1</v>
      </c>
      <c r="P41" s="94" t="s">
        <v>205</v>
      </c>
      <c r="Q41" s="97"/>
      <c r="R41" s="98">
        <f>O41*2000000</f>
        <v>2000000</v>
      </c>
      <c r="S41" s="85">
        <f>+R41/$R$184*100</f>
        <v>8.9318291537583125E-2</v>
      </c>
      <c r="T41" s="99"/>
      <c r="U41" s="87"/>
      <c r="V41" s="87"/>
      <c r="W41" s="87"/>
      <c r="X41" s="87"/>
      <c r="Y41" s="88">
        <v>0</v>
      </c>
      <c r="Z41" s="99">
        <f t="shared" si="9"/>
        <v>0</v>
      </c>
      <c r="AA41" s="100">
        <f t="shared" si="1"/>
        <v>0</v>
      </c>
      <c r="AB41" s="99">
        <f t="shared" si="10"/>
        <v>0</v>
      </c>
      <c r="AC41" s="88"/>
      <c r="AD41" s="88">
        <f t="shared" si="11"/>
        <v>2000000</v>
      </c>
      <c r="AE41" s="86"/>
      <c r="AF41" s="90"/>
    </row>
    <row r="42" spans="1:32" ht="12" customHeight="1" x14ac:dyDescent="0.35">
      <c r="A42" s="93"/>
      <c r="B42" s="102" t="s">
        <v>82</v>
      </c>
      <c r="C42" s="94" t="s">
        <v>204</v>
      </c>
      <c r="D42" s="94"/>
      <c r="E42" s="94"/>
      <c r="F42" s="94"/>
      <c r="G42" s="95"/>
      <c r="H42" s="77"/>
      <c r="I42" s="78"/>
      <c r="J42" s="79"/>
      <c r="K42" s="80"/>
      <c r="L42" s="81"/>
      <c r="M42" s="81"/>
      <c r="N42" s="81"/>
      <c r="O42" s="96">
        <v>6</v>
      </c>
      <c r="P42" s="94" t="s">
        <v>205</v>
      </c>
      <c r="Q42" s="97"/>
      <c r="R42" s="98">
        <f>O42*700000</f>
        <v>4200000</v>
      </c>
      <c r="S42" s="85">
        <f>+R42/$R$184*100</f>
        <v>0.18756841222892456</v>
      </c>
      <c r="T42" s="99"/>
      <c r="U42" s="87"/>
      <c r="V42" s="87"/>
      <c r="W42" s="87"/>
      <c r="X42" s="87"/>
      <c r="Y42" s="88">
        <v>0</v>
      </c>
      <c r="Z42" s="99">
        <f t="shared" si="9"/>
        <v>0</v>
      </c>
      <c r="AA42" s="100">
        <f t="shared" si="1"/>
        <v>0</v>
      </c>
      <c r="AB42" s="99">
        <f t="shared" si="10"/>
        <v>0</v>
      </c>
      <c r="AC42" s="88"/>
      <c r="AD42" s="88">
        <f t="shared" si="11"/>
        <v>4200000</v>
      </c>
      <c r="AE42" s="86"/>
      <c r="AF42" s="90"/>
    </row>
    <row r="43" spans="1:32" ht="12" customHeight="1" x14ac:dyDescent="0.35">
      <c r="A43" s="284">
        <v>522151</v>
      </c>
      <c r="B43" s="286" t="s">
        <v>84</v>
      </c>
      <c r="C43" s="94"/>
      <c r="D43" s="94"/>
      <c r="E43" s="94"/>
      <c r="F43" s="94"/>
      <c r="G43" s="95"/>
      <c r="H43" s="77"/>
      <c r="I43" s="78"/>
      <c r="J43" s="79"/>
      <c r="K43" s="80"/>
      <c r="L43" s="81"/>
      <c r="M43" s="81"/>
      <c r="N43" s="81"/>
      <c r="O43" s="96"/>
      <c r="P43" s="94"/>
      <c r="Q43" s="97"/>
      <c r="R43" s="98"/>
      <c r="S43" s="85"/>
      <c r="T43" s="86"/>
      <c r="U43" s="87"/>
      <c r="V43" s="87"/>
      <c r="W43" s="87"/>
      <c r="X43" s="87"/>
      <c r="Y43" s="88"/>
      <c r="Z43" s="86"/>
      <c r="AA43" s="86"/>
      <c r="AB43" s="86"/>
      <c r="AC43" s="88"/>
      <c r="AD43" s="88"/>
      <c r="AE43" s="86"/>
      <c r="AF43" s="90"/>
    </row>
    <row r="44" spans="1:32" ht="12" customHeight="1" x14ac:dyDescent="0.35">
      <c r="A44" s="93"/>
      <c r="B44" s="102" t="s">
        <v>82</v>
      </c>
      <c r="C44" s="94" t="s">
        <v>206</v>
      </c>
      <c r="D44" s="94"/>
      <c r="E44" s="94"/>
      <c r="F44" s="94"/>
      <c r="G44" s="95"/>
      <c r="H44" s="77"/>
      <c r="I44" s="78"/>
      <c r="J44" s="79"/>
      <c r="K44" s="80"/>
      <c r="L44" s="81"/>
      <c r="M44" s="81"/>
      <c r="N44" s="81"/>
      <c r="O44" s="96">
        <v>2</v>
      </c>
      <c r="P44" s="94" t="s">
        <v>210</v>
      </c>
      <c r="Q44" s="97"/>
      <c r="R44" s="98">
        <f>O44*1300000</f>
        <v>2600000</v>
      </c>
      <c r="S44" s="85">
        <f>+R44/$R$184*100</f>
        <v>0.11611377899885807</v>
      </c>
      <c r="T44" s="99"/>
      <c r="U44" s="87"/>
      <c r="V44" s="87"/>
      <c r="W44" s="87"/>
      <c r="X44" s="87"/>
      <c r="Y44" s="88">
        <v>2600000</v>
      </c>
      <c r="Z44" s="99">
        <f t="shared" ref="Z44:Z47" si="12">+Y44/R44*100</f>
        <v>100</v>
      </c>
      <c r="AA44" s="100">
        <f t="shared" si="1"/>
        <v>100</v>
      </c>
      <c r="AB44" s="99">
        <f t="shared" ref="AB44:AB47" si="13">AA44*S44/100</f>
        <v>0.11611377899885805</v>
      </c>
      <c r="AC44" s="88"/>
      <c r="AD44" s="88">
        <f t="shared" ref="AD44:AD47" si="14">+R44-Y44</f>
        <v>0</v>
      </c>
      <c r="AE44" s="86"/>
      <c r="AF44" s="90"/>
    </row>
    <row r="45" spans="1:32" ht="12" customHeight="1" x14ac:dyDescent="0.35">
      <c r="A45" s="93"/>
      <c r="B45" s="102" t="s">
        <v>82</v>
      </c>
      <c r="C45" s="94" t="s">
        <v>207</v>
      </c>
      <c r="D45" s="94"/>
      <c r="E45" s="94"/>
      <c r="F45" s="94"/>
      <c r="G45" s="95"/>
      <c r="H45" s="77"/>
      <c r="I45" s="78"/>
      <c r="J45" s="79"/>
      <c r="K45" s="80"/>
      <c r="L45" s="81"/>
      <c r="M45" s="81"/>
      <c r="N45" s="81"/>
      <c r="O45" s="96">
        <v>10</v>
      </c>
      <c r="P45" s="94" t="s">
        <v>210</v>
      </c>
      <c r="Q45" s="97"/>
      <c r="R45" s="98">
        <f>O45*900000</f>
        <v>9000000</v>
      </c>
      <c r="S45" s="85">
        <f>+R45/$R$184*100</f>
        <v>0.4019323119191241</v>
      </c>
      <c r="T45" s="99"/>
      <c r="U45" s="87"/>
      <c r="V45" s="87"/>
      <c r="W45" s="87"/>
      <c r="X45" s="87"/>
      <c r="Y45" s="88">
        <v>9000000</v>
      </c>
      <c r="Z45" s="99">
        <f t="shared" si="12"/>
        <v>100</v>
      </c>
      <c r="AA45" s="100">
        <f t="shared" si="1"/>
        <v>100</v>
      </c>
      <c r="AB45" s="99">
        <f t="shared" si="13"/>
        <v>0.4019323119191241</v>
      </c>
      <c r="AC45" s="88"/>
      <c r="AD45" s="88">
        <f t="shared" si="14"/>
        <v>0</v>
      </c>
      <c r="AE45" s="86"/>
      <c r="AF45" s="90"/>
    </row>
    <row r="46" spans="1:32" ht="12" customHeight="1" x14ac:dyDescent="0.35">
      <c r="A46" s="93"/>
      <c r="B46" s="102" t="s">
        <v>82</v>
      </c>
      <c r="C46" s="94" t="s">
        <v>208</v>
      </c>
      <c r="D46" s="94"/>
      <c r="E46" s="94"/>
      <c r="F46" s="94"/>
      <c r="G46" s="95"/>
      <c r="H46" s="77"/>
      <c r="I46" s="78"/>
      <c r="J46" s="79"/>
      <c r="K46" s="80"/>
      <c r="L46" s="81"/>
      <c r="M46" s="81"/>
      <c r="N46" s="81"/>
      <c r="O46" s="96">
        <v>2</v>
      </c>
      <c r="P46" s="94" t="s">
        <v>210</v>
      </c>
      <c r="Q46" s="97"/>
      <c r="R46" s="98">
        <f>O46*1300000</f>
        <v>2600000</v>
      </c>
      <c r="S46" s="85">
        <f>+R46/$R$184*100</f>
        <v>0.11611377899885807</v>
      </c>
      <c r="T46" s="99"/>
      <c r="U46" s="87"/>
      <c r="V46" s="87"/>
      <c r="W46" s="87"/>
      <c r="X46" s="87"/>
      <c r="Y46" s="88">
        <v>0</v>
      </c>
      <c r="Z46" s="99">
        <f t="shared" si="12"/>
        <v>0</v>
      </c>
      <c r="AA46" s="100">
        <f t="shared" si="1"/>
        <v>0</v>
      </c>
      <c r="AB46" s="99">
        <f t="shared" si="13"/>
        <v>0</v>
      </c>
      <c r="AC46" s="88"/>
      <c r="AD46" s="88">
        <f t="shared" si="14"/>
        <v>2600000</v>
      </c>
      <c r="AE46" s="86"/>
      <c r="AF46" s="90"/>
    </row>
    <row r="47" spans="1:32" ht="12" customHeight="1" x14ac:dyDescent="0.35">
      <c r="A47" s="93"/>
      <c r="B47" s="102" t="s">
        <v>82</v>
      </c>
      <c r="C47" s="94" t="s">
        <v>209</v>
      </c>
      <c r="D47" s="94"/>
      <c r="E47" s="94"/>
      <c r="F47" s="94"/>
      <c r="G47" s="95"/>
      <c r="H47" s="77"/>
      <c r="I47" s="78"/>
      <c r="J47" s="79"/>
      <c r="K47" s="80"/>
      <c r="L47" s="81"/>
      <c r="M47" s="81"/>
      <c r="N47" s="81"/>
      <c r="O47" s="96">
        <v>10</v>
      </c>
      <c r="P47" s="94" t="s">
        <v>210</v>
      </c>
      <c r="Q47" s="97"/>
      <c r="R47" s="98">
        <f>O47*900000</f>
        <v>9000000</v>
      </c>
      <c r="S47" s="85">
        <f>+R47/$R$184*100</f>
        <v>0.4019323119191241</v>
      </c>
      <c r="T47" s="99"/>
      <c r="U47" s="87"/>
      <c r="V47" s="87"/>
      <c r="W47" s="87"/>
      <c r="X47" s="87"/>
      <c r="Y47" s="88">
        <v>0</v>
      </c>
      <c r="Z47" s="99">
        <f t="shared" si="12"/>
        <v>0</v>
      </c>
      <c r="AA47" s="100">
        <f t="shared" si="1"/>
        <v>0</v>
      </c>
      <c r="AB47" s="99">
        <f t="shared" si="13"/>
        <v>0</v>
      </c>
      <c r="AC47" s="88"/>
      <c r="AD47" s="88">
        <f t="shared" si="14"/>
        <v>9000000</v>
      </c>
      <c r="AE47" s="86"/>
      <c r="AF47" s="90"/>
    </row>
    <row r="48" spans="1:32" ht="12" customHeight="1" x14ac:dyDescent="0.35">
      <c r="A48" s="284">
        <v>524111</v>
      </c>
      <c r="B48" s="286" t="s">
        <v>85</v>
      </c>
      <c r="C48" s="94"/>
      <c r="D48" s="94"/>
      <c r="E48" s="94"/>
      <c r="F48" s="94"/>
      <c r="G48" s="95"/>
      <c r="H48" s="77"/>
      <c r="I48" s="78"/>
      <c r="J48" s="79"/>
      <c r="K48" s="80"/>
      <c r="L48" s="81"/>
      <c r="M48" s="81"/>
      <c r="N48" s="81"/>
      <c r="O48" s="96"/>
      <c r="P48" s="94"/>
      <c r="Q48" s="97"/>
      <c r="R48" s="98"/>
      <c r="S48" s="85"/>
      <c r="T48" s="99"/>
      <c r="U48" s="87"/>
      <c r="V48" s="87"/>
      <c r="W48" s="87"/>
      <c r="X48" s="87"/>
      <c r="Y48" s="88"/>
      <c r="Z48" s="99"/>
      <c r="AA48" s="100"/>
      <c r="AB48" s="99"/>
      <c r="AC48" s="88"/>
      <c r="AD48" s="88"/>
      <c r="AE48" s="86"/>
      <c r="AF48" s="90"/>
    </row>
    <row r="49" spans="1:32" ht="12" customHeight="1" x14ac:dyDescent="0.35">
      <c r="A49" s="93"/>
      <c r="B49" s="102" t="s">
        <v>82</v>
      </c>
      <c r="C49" s="94" t="s">
        <v>211</v>
      </c>
      <c r="D49" s="94"/>
      <c r="E49" s="94"/>
      <c r="F49" s="94"/>
      <c r="G49" s="95"/>
      <c r="H49" s="77"/>
      <c r="I49" s="78"/>
      <c r="J49" s="79"/>
      <c r="K49" s="80"/>
      <c r="L49" s="81"/>
      <c r="M49" s="81"/>
      <c r="N49" s="81"/>
      <c r="O49" s="96">
        <v>6</v>
      </c>
      <c r="P49" s="94" t="s">
        <v>217</v>
      </c>
      <c r="Q49" s="97"/>
      <c r="R49" s="98">
        <f>O49*430000</f>
        <v>2580000</v>
      </c>
      <c r="S49" s="85">
        <f t="shared" ref="S49:S54" si="15">+R49/$R$184*100</f>
        <v>0.11522059608348224</v>
      </c>
      <c r="T49" s="99"/>
      <c r="U49" s="87"/>
      <c r="V49" s="87"/>
      <c r="W49" s="87"/>
      <c r="X49" s="87"/>
      <c r="Y49" s="88">
        <v>2580000</v>
      </c>
      <c r="Z49" s="99">
        <f t="shared" ref="Z49:Z54" si="16">+Y49/R49*100</f>
        <v>100</v>
      </c>
      <c r="AA49" s="100">
        <f t="shared" si="1"/>
        <v>100</v>
      </c>
      <c r="AB49" s="99">
        <f t="shared" ref="AB49:AB54" si="17">AA49*S49/100</f>
        <v>0.11522059608348224</v>
      </c>
      <c r="AC49" s="88"/>
      <c r="AD49" s="88">
        <f t="shared" ref="AD49:AD54" si="18">+R49-Y49</f>
        <v>0</v>
      </c>
      <c r="AE49" s="86"/>
      <c r="AF49" s="90"/>
    </row>
    <row r="50" spans="1:32" ht="12" customHeight="1" x14ac:dyDescent="0.35">
      <c r="A50" s="93"/>
      <c r="B50" s="102" t="s">
        <v>82</v>
      </c>
      <c r="C50" s="94" t="s">
        <v>212</v>
      </c>
      <c r="D50" s="94"/>
      <c r="E50" s="94"/>
      <c r="F50" s="94"/>
      <c r="G50" s="95"/>
      <c r="H50" s="77"/>
      <c r="I50" s="78"/>
      <c r="J50" s="79"/>
      <c r="K50" s="80"/>
      <c r="L50" s="81"/>
      <c r="M50" s="81"/>
      <c r="N50" s="81"/>
      <c r="O50" s="96">
        <v>4</v>
      </c>
      <c r="P50" s="94" t="s">
        <v>217</v>
      </c>
      <c r="Q50" s="97"/>
      <c r="R50" s="98">
        <f>O50*580000</f>
        <v>2320000</v>
      </c>
      <c r="S50" s="85">
        <f t="shared" si="15"/>
        <v>0.10360921818359642</v>
      </c>
      <c r="T50" s="99"/>
      <c r="U50" s="87"/>
      <c r="V50" s="87"/>
      <c r="W50" s="87"/>
      <c r="X50" s="87"/>
      <c r="Y50" s="88">
        <v>2320000</v>
      </c>
      <c r="Z50" s="99">
        <f t="shared" si="16"/>
        <v>100</v>
      </c>
      <c r="AA50" s="100">
        <f t="shared" si="1"/>
        <v>100</v>
      </c>
      <c r="AB50" s="99">
        <f t="shared" si="17"/>
        <v>0.10360921818359642</v>
      </c>
      <c r="AC50" s="88"/>
      <c r="AD50" s="88">
        <f t="shared" si="18"/>
        <v>0</v>
      </c>
      <c r="AE50" s="86"/>
      <c r="AF50" s="90"/>
    </row>
    <row r="51" spans="1:32" ht="12" customHeight="1" x14ac:dyDescent="0.35">
      <c r="A51" s="93"/>
      <c r="B51" s="102" t="s">
        <v>82</v>
      </c>
      <c r="C51" s="94" t="s">
        <v>213</v>
      </c>
      <c r="D51" s="94"/>
      <c r="E51" s="94"/>
      <c r="F51" s="94"/>
      <c r="G51" s="95"/>
      <c r="H51" s="77"/>
      <c r="I51" s="78"/>
      <c r="J51" s="79"/>
      <c r="K51" s="80"/>
      <c r="L51" s="81"/>
      <c r="M51" s="81"/>
      <c r="N51" s="81"/>
      <c r="O51" s="96">
        <v>2</v>
      </c>
      <c r="P51" s="94" t="s">
        <v>147</v>
      </c>
      <c r="Q51" s="97"/>
      <c r="R51" s="98">
        <f>O51*400000</f>
        <v>800000</v>
      </c>
      <c r="S51" s="85">
        <f t="shared" si="15"/>
        <v>3.5727316615033249E-2</v>
      </c>
      <c r="T51" s="99"/>
      <c r="U51" s="87"/>
      <c r="V51" s="87"/>
      <c r="W51" s="87"/>
      <c r="X51" s="87"/>
      <c r="Y51" s="88">
        <v>800000</v>
      </c>
      <c r="Z51" s="99">
        <f t="shared" si="16"/>
        <v>100</v>
      </c>
      <c r="AA51" s="100">
        <f t="shared" si="1"/>
        <v>100</v>
      </c>
      <c r="AB51" s="99">
        <f t="shared" si="17"/>
        <v>3.5727316615033249E-2</v>
      </c>
      <c r="AC51" s="88"/>
      <c r="AD51" s="88">
        <f t="shared" si="18"/>
        <v>0</v>
      </c>
      <c r="AE51" s="86"/>
      <c r="AF51" s="90"/>
    </row>
    <row r="52" spans="1:32" ht="12" customHeight="1" x14ac:dyDescent="0.35">
      <c r="A52" s="93"/>
      <c r="B52" s="102" t="s">
        <v>82</v>
      </c>
      <c r="C52" s="94" t="s">
        <v>214</v>
      </c>
      <c r="D52" s="94"/>
      <c r="E52" s="94"/>
      <c r="F52" s="94"/>
      <c r="G52" s="95"/>
      <c r="H52" s="77"/>
      <c r="I52" s="78"/>
      <c r="J52" s="79"/>
      <c r="K52" s="80"/>
      <c r="L52" s="81"/>
      <c r="M52" s="81"/>
      <c r="N52" s="81"/>
      <c r="O52" s="96">
        <v>5</v>
      </c>
      <c r="P52" s="94" t="s">
        <v>217</v>
      </c>
      <c r="Q52" s="97"/>
      <c r="R52" s="98">
        <f>O52*430000</f>
        <v>2150000</v>
      </c>
      <c r="S52" s="85">
        <f t="shared" si="15"/>
        <v>9.6017163402901867E-2</v>
      </c>
      <c r="T52" s="99"/>
      <c r="U52" s="87"/>
      <c r="V52" s="87"/>
      <c r="W52" s="87"/>
      <c r="X52" s="87"/>
      <c r="Y52" s="88">
        <v>2150000</v>
      </c>
      <c r="Z52" s="99">
        <f t="shared" si="16"/>
        <v>100</v>
      </c>
      <c r="AA52" s="100">
        <f t="shared" si="1"/>
        <v>100</v>
      </c>
      <c r="AB52" s="99">
        <f t="shared" si="17"/>
        <v>9.6017163402901867E-2</v>
      </c>
      <c r="AC52" s="88"/>
      <c r="AD52" s="88">
        <f t="shared" si="18"/>
        <v>0</v>
      </c>
      <c r="AE52" s="86"/>
      <c r="AF52" s="90"/>
    </row>
    <row r="53" spans="1:32" ht="12" customHeight="1" x14ac:dyDescent="0.35">
      <c r="A53" s="93"/>
      <c r="B53" s="102" t="s">
        <v>82</v>
      </c>
      <c r="C53" s="94" t="s">
        <v>215</v>
      </c>
      <c r="D53" s="94"/>
      <c r="E53" s="94"/>
      <c r="F53" s="94"/>
      <c r="G53" s="95"/>
      <c r="H53" s="77"/>
      <c r="I53" s="78"/>
      <c r="J53" s="79"/>
      <c r="K53" s="80"/>
      <c r="L53" s="81"/>
      <c r="M53" s="81"/>
      <c r="N53" s="81"/>
      <c r="O53" s="96">
        <v>2</v>
      </c>
      <c r="P53" s="94" t="s">
        <v>218</v>
      </c>
      <c r="Q53" s="97"/>
      <c r="R53" s="98">
        <f>O53*3000000</f>
        <v>6000000</v>
      </c>
      <c r="S53" s="85">
        <f t="shared" si="15"/>
        <v>0.26795487461274942</v>
      </c>
      <c r="T53" s="99"/>
      <c r="U53" s="87"/>
      <c r="V53" s="87"/>
      <c r="W53" s="87"/>
      <c r="X53" s="87"/>
      <c r="Y53" s="88">
        <f>2339000+1767700</f>
        <v>4106700</v>
      </c>
      <c r="Z53" s="99">
        <f t="shared" si="16"/>
        <v>68.444999999999993</v>
      </c>
      <c r="AA53" s="100">
        <f t="shared" si="1"/>
        <v>68.444999999999993</v>
      </c>
      <c r="AB53" s="99">
        <f t="shared" si="17"/>
        <v>0.18340171392869631</v>
      </c>
      <c r="AC53" s="88"/>
      <c r="AD53" s="88">
        <f t="shared" si="18"/>
        <v>1893300</v>
      </c>
      <c r="AE53" s="86"/>
      <c r="AF53" s="90"/>
    </row>
    <row r="54" spans="1:32" ht="12" customHeight="1" x14ac:dyDescent="0.35">
      <c r="A54" s="93"/>
      <c r="B54" s="102" t="s">
        <v>82</v>
      </c>
      <c r="C54" s="94" t="s">
        <v>216</v>
      </c>
      <c r="D54" s="94"/>
      <c r="E54" s="94"/>
      <c r="F54" s="94"/>
      <c r="G54" s="95"/>
      <c r="H54" s="77"/>
      <c r="I54" s="78"/>
      <c r="J54" s="79"/>
      <c r="K54" s="80"/>
      <c r="L54" s="81"/>
      <c r="M54" s="81"/>
      <c r="N54" s="81"/>
      <c r="O54" s="96">
        <v>5</v>
      </c>
      <c r="P54" s="94" t="s">
        <v>147</v>
      </c>
      <c r="Q54" s="97"/>
      <c r="R54" s="98">
        <f>O54*200000</f>
        <v>1000000</v>
      </c>
      <c r="S54" s="85">
        <f t="shared" si="15"/>
        <v>4.4659145768791562E-2</v>
      </c>
      <c r="T54" s="99"/>
      <c r="U54" s="87"/>
      <c r="V54" s="87"/>
      <c r="W54" s="87"/>
      <c r="X54" s="87"/>
      <c r="Y54" s="88">
        <v>1000000</v>
      </c>
      <c r="Z54" s="99">
        <f t="shared" si="16"/>
        <v>100</v>
      </c>
      <c r="AA54" s="100">
        <f t="shared" si="1"/>
        <v>100</v>
      </c>
      <c r="AB54" s="99">
        <f t="shared" si="17"/>
        <v>4.4659145768791569E-2</v>
      </c>
      <c r="AC54" s="88"/>
      <c r="AD54" s="88">
        <f t="shared" si="18"/>
        <v>0</v>
      </c>
      <c r="AE54" s="86"/>
      <c r="AF54" s="90"/>
    </row>
    <row r="55" spans="1:32" ht="12" customHeight="1" x14ac:dyDescent="0.35">
      <c r="A55" s="284">
        <v>524119</v>
      </c>
      <c r="B55" s="286" t="s">
        <v>219</v>
      </c>
      <c r="C55" s="94"/>
      <c r="D55" s="94"/>
      <c r="E55" s="94"/>
      <c r="F55" s="94"/>
      <c r="G55" s="95"/>
      <c r="H55" s="77"/>
      <c r="I55" s="78"/>
      <c r="J55" s="79"/>
      <c r="K55" s="80"/>
      <c r="L55" s="81"/>
      <c r="M55" s="81"/>
      <c r="N55" s="81"/>
      <c r="O55" s="96"/>
      <c r="P55" s="94"/>
      <c r="Q55" s="97"/>
      <c r="R55" s="98"/>
      <c r="S55" s="85"/>
      <c r="T55" s="99"/>
      <c r="U55" s="87"/>
      <c r="V55" s="87"/>
      <c r="W55" s="87"/>
      <c r="X55" s="87"/>
      <c r="Y55" s="88"/>
      <c r="Z55" s="99"/>
      <c r="AA55" s="100"/>
      <c r="AB55" s="99"/>
      <c r="AC55" s="88"/>
      <c r="AD55" s="88"/>
      <c r="AE55" s="86"/>
      <c r="AF55" s="90"/>
    </row>
    <row r="56" spans="1:32" ht="12" customHeight="1" x14ac:dyDescent="0.35">
      <c r="A56" s="93"/>
      <c r="B56" s="102" t="s">
        <v>82</v>
      </c>
      <c r="C56" s="94" t="s">
        <v>220</v>
      </c>
      <c r="D56" s="94"/>
      <c r="E56" s="94"/>
      <c r="F56" s="94"/>
      <c r="G56" s="95"/>
      <c r="H56" s="77"/>
      <c r="I56" s="78"/>
      <c r="J56" s="79"/>
      <c r="K56" s="80"/>
      <c r="L56" s="81"/>
      <c r="M56" s="81"/>
      <c r="N56" s="81"/>
      <c r="O56" s="96">
        <v>100</v>
      </c>
      <c r="P56" s="94" t="s">
        <v>217</v>
      </c>
      <c r="Q56" s="97"/>
      <c r="R56" s="98">
        <f>O56*700000</f>
        <v>70000000</v>
      </c>
      <c r="S56" s="85">
        <f t="shared" ref="S56:S61" si="19">+R56/$R$184*100</f>
        <v>3.1261402038154094</v>
      </c>
      <c r="T56" s="99"/>
      <c r="U56" s="94"/>
      <c r="V56" s="87"/>
      <c r="W56" s="87"/>
      <c r="X56" s="87"/>
      <c r="Y56" s="88">
        <v>69500000</v>
      </c>
      <c r="Z56" s="99">
        <f t="shared" ref="Z56:Z61" si="20">+Y56/R56*100</f>
        <v>99.285714285714292</v>
      </c>
      <c r="AA56" s="100">
        <f t="shared" si="1"/>
        <v>99.285714285714292</v>
      </c>
      <c r="AB56" s="99">
        <f t="shared" ref="AB56:AB61" si="21">AA56*S56/100</f>
        <v>3.1038106309310138</v>
      </c>
      <c r="AC56" s="88"/>
      <c r="AD56" s="88">
        <f t="shared" ref="AD56:AD61" si="22">+R56-Y56</f>
        <v>500000</v>
      </c>
      <c r="AE56" s="86"/>
      <c r="AF56" s="90"/>
    </row>
    <row r="57" spans="1:32" ht="12" customHeight="1" x14ac:dyDescent="0.35">
      <c r="A57" s="93"/>
      <c r="B57" s="102" t="s">
        <v>82</v>
      </c>
      <c r="C57" s="94" t="s">
        <v>221</v>
      </c>
      <c r="D57" s="94"/>
      <c r="E57" s="94"/>
      <c r="F57" s="94"/>
      <c r="G57" s="95"/>
      <c r="H57" s="77"/>
      <c r="I57" s="78"/>
      <c r="J57" s="79"/>
      <c r="K57" s="80"/>
      <c r="L57" s="81"/>
      <c r="M57" s="81"/>
      <c r="N57" s="81"/>
      <c r="O57" s="96">
        <v>80</v>
      </c>
      <c r="P57" s="94" t="s">
        <v>217</v>
      </c>
      <c r="Q57" s="97"/>
      <c r="R57" s="98">
        <f>O57*150000</f>
        <v>12000000</v>
      </c>
      <c r="S57" s="85">
        <f t="shared" si="19"/>
        <v>0.53590974922549883</v>
      </c>
      <c r="T57" s="99"/>
      <c r="U57" s="87"/>
      <c r="V57" s="87"/>
      <c r="W57" s="87"/>
      <c r="X57" s="87"/>
      <c r="Y57" s="88">
        <v>12000000</v>
      </c>
      <c r="Z57" s="99">
        <f t="shared" si="20"/>
        <v>100</v>
      </c>
      <c r="AA57" s="100">
        <f t="shared" si="1"/>
        <v>100</v>
      </c>
      <c r="AB57" s="99">
        <f t="shared" si="21"/>
        <v>0.53590974922549883</v>
      </c>
      <c r="AC57" s="88"/>
      <c r="AD57" s="88">
        <f t="shared" si="22"/>
        <v>0</v>
      </c>
      <c r="AE57" s="86"/>
      <c r="AF57" s="90"/>
    </row>
    <row r="58" spans="1:32" ht="12" customHeight="1" x14ac:dyDescent="0.35">
      <c r="A58" s="93"/>
      <c r="B58" s="102" t="s">
        <v>82</v>
      </c>
      <c r="C58" s="94" t="s">
        <v>222</v>
      </c>
      <c r="D58" s="94"/>
      <c r="E58" s="94"/>
      <c r="F58" s="94"/>
      <c r="G58" s="95"/>
      <c r="H58" s="77"/>
      <c r="I58" s="78"/>
      <c r="J58" s="79"/>
      <c r="K58" s="80"/>
      <c r="L58" s="81"/>
      <c r="M58" s="81"/>
      <c r="N58" s="81"/>
      <c r="O58" s="96">
        <v>50</v>
      </c>
      <c r="P58" s="94" t="s">
        <v>147</v>
      </c>
      <c r="Q58" s="97"/>
      <c r="R58" s="98">
        <f>O58*500000</f>
        <v>25000000</v>
      </c>
      <c r="S58" s="85">
        <f t="shared" si="19"/>
        <v>1.1164786442197892</v>
      </c>
      <c r="T58" s="99"/>
      <c r="U58" s="87"/>
      <c r="V58" s="87"/>
      <c r="W58" s="87"/>
      <c r="X58" s="87"/>
      <c r="Y58" s="88">
        <v>25000000</v>
      </c>
      <c r="Z58" s="99">
        <f t="shared" si="20"/>
        <v>100</v>
      </c>
      <c r="AA58" s="100">
        <f t="shared" si="1"/>
        <v>100</v>
      </c>
      <c r="AB58" s="99">
        <f t="shared" si="21"/>
        <v>1.1164786442197892</v>
      </c>
      <c r="AC58" s="88"/>
      <c r="AD58" s="88">
        <f t="shared" si="22"/>
        <v>0</v>
      </c>
      <c r="AE58" s="86"/>
      <c r="AF58" s="90"/>
    </row>
    <row r="59" spans="1:32" ht="12" customHeight="1" x14ac:dyDescent="0.35">
      <c r="A59" s="93"/>
      <c r="B59" s="102" t="s">
        <v>82</v>
      </c>
      <c r="C59" s="94" t="s">
        <v>224</v>
      </c>
      <c r="D59" s="94"/>
      <c r="E59" s="94"/>
      <c r="F59" s="94"/>
      <c r="G59" s="95"/>
      <c r="H59" s="77"/>
      <c r="I59" s="78"/>
      <c r="J59" s="79"/>
      <c r="K59" s="80"/>
      <c r="L59" s="81"/>
      <c r="M59" s="81"/>
      <c r="N59" s="81"/>
      <c r="O59" s="96">
        <v>100</v>
      </c>
      <c r="P59" s="94" t="s">
        <v>217</v>
      </c>
      <c r="Q59" s="97"/>
      <c r="R59" s="98">
        <f>O59*150000</f>
        <v>15000000</v>
      </c>
      <c r="S59" s="85">
        <f t="shared" si="19"/>
        <v>0.6698871865318734</v>
      </c>
      <c r="T59" s="99"/>
      <c r="U59" s="87"/>
      <c r="V59" s="87"/>
      <c r="W59" s="87"/>
      <c r="X59" s="87"/>
      <c r="Y59" s="88">
        <v>0</v>
      </c>
      <c r="Z59" s="99">
        <f t="shared" si="20"/>
        <v>0</v>
      </c>
      <c r="AA59" s="100">
        <f t="shared" si="1"/>
        <v>0</v>
      </c>
      <c r="AB59" s="99">
        <f t="shared" si="21"/>
        <v>0</v>
      </c>
      <c r="AC59" s="88"/>
      <c r="AD59" s="88">
        <f t="shared" si="22"/>
        <v>15000000</v>
      </c>
      <c r="AE59" s="86"/>
      <c r="AF59" s="90"/>
    </row>
    <row r="60" spans="1:32" ht="12" customHeight="1" x14ac:dyDescent="0.35">
      <c r="A60" s="93"/>
      <c r="B60" s="102" t="s">
        <v>82</v>
      </c>
      <c r="C60" s="94" t="s">
        <v>223</v>
      </c>
      <c r="D60" s="94"/>
      <c r="E60" s="94"/>
      <c r="F60" s="94"/>
      <c r="G60" s="95"/>
      <c r="H60" s="77"/>
      <c r="I60" s="78"/>
      <c r="J60" s="79"/>
      <c r="K60" s="80"/>
      <c r="L60" s="81"/>
      <c r="M60" s="81"/>
      <c r="N60" s="81"/>
      <c r="O60" s="96">
        <v>120</v>
      </c>
      <c r="P60" s="94" t="s">
        <v>217</v>
      </c>
      <c r="Q60" s="97"/>
      <c r="R60" s="98">
        <f>O60*700000</f>
        <v>84000000</v>
      </c>
      <c r="S60" s="85">
        <f t="shared" si="19"/>
        <v>3.7513682445784915</v>
      </c>
      <c r="T60" s="99"/>
      <c r="U60" s="87"/>
      <c r="V60" s="87"/>
      <c r="W60" s="87"/>
      <c r="X60" s="87"/>
      <c r="Y60" s="88">
        <v>0</v>
      </c>
      <c r="Z60" s="99">
        <f t="shared" si="20"/>
        <v>0</v>
      </c>
      <c r="AA60" s="100">
        <f t="shared" si="1"/>
        <v>0</v>
      </c>
      <c r="AB60" s="99">
        <f t="shared" si="21"/>
        <v>0</v>
      </c>
      <c r="AC60" s="88"/>
      <c r="AD60" s="88">
        <f t="shared" si="22"/>
        <v>84000000</v>
      </c>
      <c r="AE60" s="86"/>
      <c r="AF60" s="90"/>
    </row>
    <row r="61" spans="1:32" ht="12" customHeight="1" x14ac:dyDescent="0.35">
      <c r="A61" s="93"/>
      <c r="B61" s="102" t="s">
        <v>82</v>
      </c>
      <c r="C61" s="94" t="s">
        <v>225</v>
      </c>
      <c r="D61" s="94"/>
      <c r="E61" s="94"/>
      <c r="F61" s="94"/>
      <c r="G61" s="95"/>
      <c r="H61" s="77"/>
      <c r="I61" s="78"/>
      <c r="J61" s="79"/>
      <c r="K61" s="80"/>
      <c r="L61" s="81"/>
      <c r="M61" s="81"/>
      <c r="N61" s="81"/>
      <c r="O61" s="96">
        <v>60</v>
      </c>
      <c r="P61" s="94" t="s">
        <v>147</v>
      </c>
      <c r="Q61" s="97"/>
      <c r="R61" s="98">
        <f>O61*500000</f>
        <v>30000000</v>
      </c>
      <c r="S61" s="85">
        <f t="shared" si="19"/>
        <v>1.3397743730637468</v>
      </c>
      <c r="T61" s="99"/>
      <c r="U61" s="87"/>
      <c r="V61" s="87"/>
      <c r="W61" s="87"/>
      <c r="X61" s="87"/>
      <c r="Y61" s="88">
        <v>0</v>
      </c>
      <c r="Z61" s="99">
        <f t="shared" si="20"/>
        <v>0</v>
      </c>
      <c r="AA61" s="100">
        <f t="shared" si="1"/>
        <v>0</v>
      </c>
      <c r="AB61" s="99">
        <f t="shared" si="21"/>
        <v>0</v>
      </c>
      <c r="AC61" s="88"/>
      <c r="AD61" s="88">
        <f t="shared" si="22"/>
        <v>30000000</v>
      </c>
      <c r="AE61" s="86"/>
      <c r="AF61" s="90"/>
    </row>
    <row r="62" spans="1:32" ht="12" customHeight="1" x14ac:dyDescent="0.35">
      <c r="A62" s="93"/>
      <c r="B62" s="102"/>
      <c r="C62" s="94"/>
      <c r="D62" s="94"/>
      <c r="E62" s="94"/>
      <c r="F62" s="94"/>
      <c r="G62" s="95"/>
      <c r="H62" s="77"/>
      <c r="I62" s="78"/>
      <c r="J62" s="79"/>
      <c r="K62" s="80"/>
      <c r="L62" s="81"/>
      <c r="M62" s="81"/>
      <c r="N62" s="81"/>
      <c r="O62" s="96"/>
      <c r="P62" s="94"/>
      <c r="Q62" s="97"/>
      <c r="R62" s="98"/>
      <c r="S62" s="85"/>
      <c r="T62" s="86"/>
      <c r="U62" s="87"/>
      <c r="V62" s="87"/>
      <c r="W62" s="87"/>
      <c r="X62" s="87"/>
      <c r="Y62" s="88"/>
      <c r="Z62" s="86"/>
      <c r="AA62" s="86"/>
      <c r="AB62" s="86"/>
      <c r="AC62" s="88"/>
      <c r="AD62" s="88"/>
      <c r="AE62" s="86"/>
      <c r="AF62" s="90"/>
    </row>
    <row r="63" spans="1:32" ht="12.95" customHeight="1" x14ac:dyDescent="0.35">
      <c r="A63" s="117" t="s">
        <v>226</v>
      </c>
      <c r="B63" s="118" t="s">
        <v>227</v>
      </c>
      <c r="C63" s="119"/>
      <c r="D63" s="119"/>
      <c r="E63" s="119"/>
      <c r="F63" s="119"/>
      <c r="G63" s="119"/>
      <c r="H63" s="120"/>
      <c r="I63" s="121"/>
      <c r="J63" s="122"/>
      <c r="K63" s="123"/>
      <c r="L63" s="124"/>
      <c r="M63" s="124"/>
      <c r="N63" s="124"/>
      <c r="O63" s="125"/>
      <c r="P63" s="119"/>
      <c r="Q63" s="126"/>
      <c r="R63" s="127"/>
      <c r="S63" s="128"/>
      <c r="T63" s="129"/>
      <c r="U63" s="130"/>
      <c r="V63" s="130"/>
      <c r="W63" s="130"/>
      <c r="X63" s="130"/>
      <c r="Y63" s="131"/>
      <c r="Z63" s="129"/>
      <c r="AA63" s="129"/>
      <c r="AB63" s="129"/>
      <c r="AC63" s="131"/>
      <c r="AD63" s="131"/>
      <c r="AE63" s="129"/>
    </row>
    <row r="64" spans="1:32" ht="12.95" customHeight="1" x14ac:dyDescent="0.35">
      <c r="A64" s="132"/>
      <c r="B64" s="104"/>
      <c r="C64" s="105"/>
      <c r="D64" s="105"/>
      <c r="E64" s="111"/>
      <c r="F64" s="111"/>
      <c r="G64" s="111"/>
      <c r="H64" s="107"/>
      <c r="I64" s="108"/>
      <c r="J64" s="109"/>
      <c r="K64" s="110"/>
      <c r="L64" s="111"/>
      <c r="M64" s="111"/>
      <c r="N64" s="111"/>
      <c r="O64" s="133"/>
      <c r="P64" s="108"/>
      <c r="Q64" s="114"/>
      <c r="R64" s="133"/>
      <c r="S64" s="113"/>
      <c r="T64" s="114"/>
      <c r="U64" s="115"/>
      <c r="V64" s="115"/>
      <c r="W64" s="115"/>
      <c r="X64" s="115"/>
      <c r="Y64" s="116"/>
      <c r="Z64" s="114"/>
      <c r="AA64" s="114"/>
      <c r="AB64" s="114"/>
      <c r="AC64" s="116"/>
      <c r="AD64" s="116"/>
      <c r="AE64" s="114"/>
    </row>
    <row r="65" spans="1:41" ht="12.95" customHeight="1" x14ac:dyDescent="0.35">
      <c r="A65" s="132" t="s">
        <v>228</v>
      </c>
      <c r="B65" s="104" t="s">
        <v>229</v>
      </c>
      <c r="C65" s="105"/>
      <c r="D65" s="105"/>
      <c r="E65" s="105"/>
      <c r="F65" s="105"/>
      <c r="G65" s="106"/>
      <c r="H65" s="107"/>
      <c r="I65" s="108"/>
      <c r="J65" s="109"/>
      <c r="K65" s="110"/>
      <c r="L65" s="111"/>
      <c r="M65" s="111"/>
      <c r="N65" s="111"/>
      <c r="O65" s="134"/>
      <c r="P65" s="111"/>
      <c r="Q65" s="135"/>
      <c r="R65" s="136"/>
      <c r="S65" s="113"/>
      <c r="T65" s="114"/>
      <c r="U65" s="115"/>
      <c r="V65" s="115"/>
      <c r="W65" s="115"/>
      <c r="X65" s="115"/>
      <c r="Y65" s="116"/>
      <c r="Z65" s="114"/>
      <c r="AA65" s="114"/>
      <c r="AB65" s="114"/>
      <c r="AC65" s="116"/>
      <c r="AD65" s="116"/>
      <c r="AE65" s="114"/>
    </row>
    <row r="66" spans="1:41" s="164" customFormat="1" ht="12.95" hidden="1" customHeight="1" x14ac:dyDescent="0.35">
      <c r="A66" s="146"/>
      <c r="B66" s="147"/>
      <c r="C66" s="148" t="s">
        <v>89</v>
      </c>
      <c r="D66" s="149" t="s">
        <v>90</v>
      </c>
      <c r="E66" s="140"/>
      <c r="F66" s="140"/>
      <c r="G66" s="150"/>
      <c r="H66" s="151"/>
      <c r="I66" s="152"/>
      <c r="J66" s="153"/>
      <c r="K66" s="153"/>
      <c r="L66" s="154"/>
      <c r="M66" s="140"/>
      <c r="N66" s="140"/>
      <c r="O66" s="98"/>
      <c r="P66" s="155"/>
      <c r="Q66" s="156"/>
      <c r="R66" s="157"/>
      <c r="S66" s="158"/>
      <c r="T66" s="159"/>
      <c r="U66" s="160"/>
      <c r="V66" s="160"/>
      <c r="W66" s="160"/>
      <c r="X66" s="160"/>
      <c r="Y66" s="161"/>
      <c r="Z66" s="159"/>
      <c r="AA66" s="162"/>
      <c r="AB66" s="159"/>
      <c r="AC66" s="88"/>
      <c r="AD66" s="161"/>
      <c r="AE66" s="163"/>
    </row>
    <row r="67" spans="1:41" s="164" customFormat="1" ht="12.95" hidden="1" customHeight="1" x14ac:dyDescent="0.35">
      <c r="A67" s="146"/>
      <c r="B67" s="147"/>
      <c r="C67" s="148" t="s">
        <v>89</v>
      </c>
      <c r="D67" s="149" t="s">
        <v>91</v>
      </c>
      <c r="E67" s="140"/>
      <c r="F67" s="140"/>
      <c r="G67" s="150"/>
      <c r="H67" s="151"/>
      <c r="I67" s="152"/>
      <c r="J67" s="153"/>
      <c r="K67" s="153"/>
      <c r="L67" s="154"/>
      <c r="M67" s="140"/>
      <c r="N67" s="140"/>
      <c r="O67" s="98"/>
      <c r="P67" s="155"/>
      <c r="Q67" s="156"/>
      <c r="R67" s="157"/>
      <c r="S67" s="158"/>
      <c r="T67" s="159"/>
      <c r="U67" s="160"/>
      <c r="V67" s="160"/>
      <c r="W67" s="160"/>
      <c r="X67" s="160"/>
      <c r="Y67" s="161"/>
      <c r="Z67" s="159"/>
      <c r="AA67" s="162"/>
      <c r="AB67" s="159"/>
      <c r="AC67" s="88"/>
      <c r="AD67" s="161"/>
      <c r="AE67" s="163"/>
    </row>
    <row r="68" spans="1:41" s="169" customFormat="1" ht="12.95" hidden="1" customHeight="1" x14ac:dyDescent="0.35">
      <c r="A68" s="146"/>
      <c r="B68" s="147"/>
      <c r="C68" s="165" t="s">
        <v>89</v>
      </c>
      <c r="D68" s="506" t="s">
        <v>92</v>
      </c>
      <c r="E68" s="506"/>
      <c r="F68" s="506"/>
      <c r="G68" s="507"/>
      <c r="H68" s="151"/>
      <c r="I68" s="152"/>
      <c r="J68" s="153"/>
      <c r="K68" s="153"/>
      <c r="L68" s="154"/>
      <c r="M68" s="140"/>
      <c r="N68" s="140"/>
      <c r="O68" s="98"/>
      <c r="P68" s="155"/>
      <c r="Q68" s="156"/>
      <c r="R68" s="157"/>
      <c r="S68" s="158"/>
      <c r="T68" s="159"/>
      <c r="U68" s="160"/>
      <c r="V68" s="160"/>
      <c r="W68" s="160"/>
      <c r="X68" s="160"/>
      <c r="Y68" s="161"/>
      <c r="Z68" s="159"/>
      <c r="AA68" s="162"/>
      <c r="AB68" s="159"/>
      <c r="AC68" s="88"/>
      <c r="AD68" s="161"/>
      <c r="AE68" s="163"/>
      <c r="AF68" s="168"/>
      <c r="AG68" s="168"/>
      <c r="AH68" s="168"/>
      <c r="AI68" s="168"/>
      <c r="AJ68" s="168"/>
      <c r="AK68" s="168"/>
      <c r="AL68" s="168"/>
      <c r="AM68" s="168"/>
      <c r="AN68" s="168"/>
      <c r="AO68" s="168"/>
    </row>
    <row r="69" spans="1:41" s="169" customFormat="1" ht="12.95" customHeight="1" x14ac:dyDescent="0.35">
      <c r="A69" s="282">
        <v>521211</v>
      </c>
      <c r="B69" s="283" t="s">
        <v>186</v>
      </c>
      <c r="C69" s="165"/>
      <c r="D69" s="481"/>
      <c r="E69" s="481"/>
      <c r="F69" s="481"/>
      <c r="G69" s="482"/>
      <c r="H69" s="151"/>
      <c r="I69" s="152"/>
      <c r="J69" s="280"/>
      <c r="K69" s="153"/>
      <c r="L69" s="140"/>
      <c r="M69" s="140"/>
      <c r="N69" s="140"/>
      <c r="O69" s="98"/>
      <c r="P69" s="281"/>
      <c r="Q69" s="156"/>
      <c r="R69" s="157"/>
      <c r="S69" s="158"/>
      <c r="T69" s="159"/>
      <c r="U69" s="160"/>
      <c r="V69" s="160"/>
      <c r="W69" s="160"/>
      <c r="X69" s="160"/>
      <c r="Y69" s="161"/>
      <c r="Z69" s="159"/>
      <c r="AA69" s="162"/>
      <c r="AB69" s="159"/>
      <c r="AC69" s="88"/>
      <c r="AD69" s="161"/>
      <c r="AE69" s="163"/>
      <c r="AF69" s="168"/>
      <c r="AG69" s="168"/>
      <c r="AH69" s="168"/>
      <c r="AI69" s="168"/>
      <c r="AJ69" s="168"/>
      <c r="AK69" s="168"/>
      <c r="AL69" s="168"/>
      <c r="AM69" s="168"/>
      <c r="AN69" s="168"/>
      <c r="AO69" s="168"/>
    </row>
    <row r="70" spans="1:41" s="169" customFormat="1" ht="12.95" customHeight="1" x14ac:dyDescent="0.35">
      <c r="A70" s="138"/>
      <c r="B70" s="139" t="s">
        <v>82</v>
      </c>
      <c r="C70" s="140" t="s">
        <v>87</v>
      </c>
      <c r="D70" s="141"/>
      <c r="E70" s="141"/>
      <c r="F70" s="141"/>
      <c r="G70" s="142"/>
      <c r="H70" s="107"/>
      <c r="I70" s="108"/>
      <c r="J70" s="109"/>
      <c r="K70" s="110"/>
      <c r="L70" s="111"/>
      <c r="M70" s="111"/>
      <c r="N70" s="111"/>
      <c r="O70" s="143">
        <v>12</v>
      </c>
      <c r="P70" s="94" t="s">
        <v>88</v>
      </c>
      <c r="Q70" s="144">
        <v>1500000</v>
      </c>
      <c r="R70" s="77">
        <f>O70*6750000</f>
        <v>81000000</v>
      </c>
      <c r="S70" s="85">
        <f t="shared" ref="S70" si="23">+R70/$R$184*100</f>
        <v>3.6173908072721166</v>
      </c>
      <c r="T70" s="99"/>
      <c r="U70" s="87"/>
      <c r="V70" s="87"/>
      <c r="W70" s="87"/>
      <c r="X70" s="87"/>
      <c r="Y70" s="88">
        <f>21394000+24000000</f>
        <v>45394000</v>
      </c>
      <c r="Z70" s="99">
        <f t="shared" ref="Z70" si="24">+Y70/R70*100</f>
        <v>56.04197530864198</v>
      </c>
      <c r="AA70" s="100">
        <f>4/12*100</f>
        <v>33.333333333333329</v>
      </c>
      <c r="AB70" s="99">
        <f t="shared" ref="AB70" si="25">AA70*S70/100</f>
        <v>1.2057969357573721</v>
      </c>
      <c r="AC70" s="88"/>
      <c r="AD70" s="88">
        <f t="shared" ref="AD70" si="26">+R70-Y70</f>
        <v>35606000</v>
      </c>
      <c r="AE70" s="86"/>
      <c r="AF70" s="168"/>
      <c r="AG70" s="168"/>
      <c r="AH70" s="168"/>
      <c r="AI70" s="168"/>
      <c r="AJ70" s="168"/>
      <c r="AK70" s="168"/>
      <c r="AL70" s="168"/>
      <c r="AM70" s="168"/>
      <c r="AN70" s="168"/>
      <c r="AO70" s="168"/>
    </row>
    <row r="71" spans="1:41" s="181" customFormat="1" ht="12.95" customHeight="1" x14ac:dyDescent="0.35">
      <c r="A71" s="210">
        <v>521219</v>
      </c>
      <c r="B71" s="211" t="s">
        <v>93</v>
      </c>
      <c r="C71" s="105"/>
      <c r="D71" s="105"/>
      <c r="E71" s="105"/>
      <c r="F71" s="105"/>
      <c r="G71" s="106"/>
      <c r="H71" s="170"/>
      <c r="I71" s="171"/>
      <c r="J71" s="170"/>
      <c r="K71" s="172"/>
      <c r="L71" s="112"/>
      <c r="M71" s="105"/>
      <c r="N71" s="103"/>
      <c r="O71" s="173"/>
      <c r="P71" s="101"/>
      <c r="Q71" s="174"/>
      <c r="R71" s="173"/>
      <c r="S71" s="85"/>
      <c r="T71" s="175"/>
      <c r="U71" s="176"/>
      <c r="V71" s="176"/>
      <c r="W71" s="176"/>
      <c r="X71" s="176"/>
      <c r="Y71" s="177"/>
      <c r="Z71" s="175"/>
      <c r="AA71" s="178"/>
      <c r="AB71" s="175"/>
      <c r="AC71" s="88"/>
      <c r="AD71" s="177"/>
      <c r="AE71" s="179"/>
      <c r="AF71" s="180"/>
      <c r="AG71" s="28"/>
      <c r="AH71" s="28"/>
      <c r="AI71" s="28"/>
      <c r="AJ71" s="28"/>
      <c r="AK71" s="28"/>
      <c r="AL71" s="28"/>
      <c r="AM71" s="28"/>
      <c r="AN71" s="28"/>
      <c r="AO71" s="28"/>
    </row>
    <row r="72" spans="1:41" ht="12.95" customHeight="1" x14ac:dyDescent="0.35">
      <c r="A72" s="135"/>
      <c r="B72" s="139" t="s">
        <v>82</v>
      </c>
      <c r="C72" s="111" t="s">
        <v>94</v>
      </c>
      <c r="D72" s="105"/>
      <c r="E72" s="111"/>
      <c r="F72" s="111"/>
      <c r="G72" s="137"/>
      <c r="H72" s="109"/>
      <c r="I72" s="108"/>
      <c r="J72" s="109"/>
      <c r="K72" s="172"/>
      <c r="L72" s="182">
        <v>1095</v>
      </c>
      <c r="M72" s="140" t="s">
        <v>95</v>
      </c>
      <c r="N72" s="183">
        <v>53000</v>
      </c>
      <c r="O72" s="143">
        <v>12</v>
      </c>
      <c r="P72" s="94" t="s">
        <v>96</v>
      </c>
      <c r="Q72" s="144">
        <v>100000</v>
      </c>
      <c r="R72" s="77">
        <f>O72*3500000</f>
        <v>42000000</v>
      </c>
      <c r="S72" s="85">
        <f t="shared" ref="S72:S74" si="27">+R72/$R$184*100</f>
        <v>1.8756841222892457</v>
      </c>
      <c r="T72" s="99"/>
      <c r="U72" s="87"/>
      <c r="V72" s="87"/>
      <c r="W72" s="87"/>
      <c r="X72" s="87"/>
      <c r="Y72" s="88">
        <f>5820000+13876000</f>
        <v>19696000</v>
      </c>
      <c r="Z72" s="99">
        <f t="shared" ref="Z72:Z74" si="28">+Y72/R72*100</f>
        <v>46.895238095238092</v>
      </c>
      <c r="AA72" s="100">
        <f t="shared" ref="AA72:AA74" si="29">Z72</f>
        <v>46.895238095238092</v>
      </c>
      <c r="AB72" s="99">
        <f t="shared" ref="AB72:AB74" si="30">AA72*S72/100</f>
        <v>0.8796065350621185</v>
      </c>
      <c r="AC72" s="88"/>
      <c r="AD72" s="88">
        <f t="shared" ref="AD72:AD74" si="31">+R72-Y72</f>
        <v>22304000</v>
      </c>
      <c r="AE72" s="86"/>
    </row>
    <row r="73" spans="1:41" ht="12.95" customHeight="1" x14ac:dyDescent="0.35">
      <c r="A73" s="135"/>
      <c r="B73" s="139" t="s">
        <v>82</v>
      </c>
      <c r="C73" s="111" t="s">
        <v>97</v>
      </c>
      <c r="D73" s="105"/>
      <c r="E73" s="111"/>
      <c r="F73" s="111"/>
      <c r="G73" s="137"/>
      <c r="H73" s="109"/>
      <c r="I73" s="108"/>
      <c r="J73" s="109"/>
      <c r="K73" s="172"/>
      <c r="L73" s="182"/>
      <c r="M73" s="140"/>
      <c r="N73" s="183"/>
      <c r="O73" s="143">
        <v>12</v>
      </c>
      <c r="P73" s="94" t="s">
        <v>96</v>
      </c>
      <c r="Q73" s="144"/>
      <c r="R73" s="77">
        <f>O73*600000</f>
        <v>7200000</v>
      </c>
      <c r="S73" s="85">
        <f t="shared" si="27"/>
        <v>0.32154584953529924</v>
      </c>
      <c r="T73" s="99"/>
      <c r="U73" s="87"/>
      <c r="V73" s="87"/>
      <c r="W73" s="87"/>
      <c r="X73" s="87"/>
      <c r="Y73" s="88">
        <v>0</v>
      </c>
      <c r="Z73" s="99">
        <f t="shared" si="28"/>
        <v>0</v>
      </c>
      <c r="AA73" s="100">
        <f t="shared" si="29"/>
        <v>0</v>
      </c>
      <c r="AB73" s="99">
        <f t="shared" si="30"/>
        <v>0</v>
      </c>
      <c r="AC73" s="88"/>
      <c r="AD73" s="88">
        <f t="shared" si="31"/>
        <v>7200000</v>
      </c>
      <c r="AE73" s="114"/>
    </row>
    <row r="74" spans="1:41" ht="12.95" customHeight="1" x14ac:dyDescent="0.35">
      <c r="A74" s="400"/>
      <c r="B74" s="401" t="s">
        <v>82</v>
      </c>
      <c r="C74" s="403" t="s">
        <v>230</v>
      </c>
      <c r="D74" s="403"/>
      <c r="E74" s="403"/>
      <c r="F74" s="403"/>
      <c r="G74" s="431"/>
      <c r="H74" s="432"/>
      <c r="I74" s="433"/>
      <c r="J74" s="432"/>
      <c r="K74" s="406"/>
      <c r="L74" s="434"/>
      <c r="M74" s="416"/>
      <c r="N74" s="435"/>
      <c r="O74" s="434">
        <v>1</v>
      </c>
      <c r="P74" s="416" t="s">
        <v>231</v>
      </c>
      <c r="Q74" s="436"/>
      <c r="R74" s="437">
        <f>O74*50000000</f>
        <v>50000000</v>
      </c>
      <c r="S74" s="438">
        <f t="shared" si="27"/>
        <v>2.2329572884395783</v>
      </c>
      <c r="T74" s="439"/>
      <c r="U74" s="440"/>
      <c r="V74" s="440"/>
      <c r="W74" s="440"/>
      <c r="X74" s="440"/>
      <c r="Y74" s="441">
        <f>5000000*3</f>
        <v>15000000</v>
      </c>
      <c r="Z74" s="439">
        <f t="shared" si="28"/>
        <v>30</v>
      </c>
      <c r="AA74" s="442">
        <f t="shared" si="29"/>
        <v>30</v>
      </c>
      <c r="AB74" s="439">
        <f t="shared" si="30"/>
        <v>0.66988718653187351</v>
      </c>
      <c r="AC74" s="441"/>
      <c r="AD74" s="441">
        <f t="shared" si="31"/>
        <v>35000000</v>
      </c>
      <c r="AE74" s="443"/>
      <c r="AF74" s="28"/>
      <c r="AG74" s="28"/>
      <c r="AH74" s="28"/>
      <c r="AI74" s="28"/>
    </row>
    <row r="75" spans="1:41" ht="12.95" customHeight="1" x14ac:dyDescent="0.35">
      <c r="A75" s="210">
        <v>523121</v>
      </c>
      <c r="B75" s="211" t="s">
        <v>98</v>
      </c>
      <c r="C75" s="105"/>
      <c r="D75" s="105"/>
      <c r="E75" s="105"/>
      <c r="F75" s="105"/>
      <c r="G75" s="106"/>
      <c r="H75" s="170"/>
      <c r="I75" s="171"/>
      <c r="J75" s="170"/>
      <c r="K75" s="172"/>
      <c r="L75" s="112"/>
      <c r="M75" s="105"/>
      <c r="N75" s="103"/>
      <c r="O75" s="173"/>
      <c r="P75" s="101"/>
      <c r="Q75" s="174"/>
      <c r="R75" s="173"/>
      <c r="S75" s="85"/>
      <c r="T75" s="175"/>
      <c r="U75" s="176"/>
      <c r="V75" s="176"/>
      <c r="W75" s="176"/>
      <c r="X75" s="176"/>
      <c r="Y75" s="177"/>
      <c r="Z75" s="175"/>
      <c r="AA75" s="178"/>
      <c r="AB75" s="175"/>
      <c r="AC75" s="88"/>
      <c r="AD75" s="177"/>
      <c r="AE75" s="179"/>
    </row>
    <row r="76" spans="1:41" ht="12.95" customHeight="1" x14ac:dyDescent="0.35">
      <c r="A76" s="135"/>
      <c r="B76" s="139" t="s">
        <v>82</v>
      </c>
      <c r="C76" s="111" t="s">
        <v>99</v>
      </c>
      <c r="D76" s="105"/>
      <c r="E76" s="111"/>
      <c r="F76" s="111"/>
      <c r="G76" s="137"/>
      <c r="H76" s="109"/>
      <c r="I76" s="108"/>
      <c r="J76" s="109"/>
      <c r="K76" s="172"/>
      <c r="L76" s="182">
        <v>1095</v>
      </c>
      <c r="M76" s="140" t="s">
        <v>95</v>
      </c>
      <c r="N76" s="183">
        <v>53000</v>
      </c>
      <c r="O76" s="143">
        <v>1</v>
      </c>
      <c r="P76" s="94" t="s">
        <v>86</v>
      </c>
      <c r="Q76" s="144">
        <v>100000</v>
      </c>
      <c r="R76" s="77">
        <f>O76*600000</f>
        <v>600000</v>
      </c>
      <c r="S76" s="85">
        <f t="shared" ref="S76" si="32">+R76/$R$184*100</f>
        <v>2.6795487461274942E-2</v>
      </c>
      <c r="T76" s="99"/>
      <c r="U76" s="87"/>
      <c r="V76" s="87"/>
      <c r="W76" s="87"/>
      <c r="X76" s="87"/>
      <c r="Y76" s="88">
        <v>0</v>
      </c>
      <c r="Z76" s="99">
        <f t="shared" ref="Z76" si="33">+Y76/R76*100</f>
        <v>0</v>
      </c>
      <c r="AA76" s="100">
        <f t="shared" ref="AA76" si="34">Z76</f>
        <v>0</v>
      </c>
      <c r="AB76" s="99">
        <f t="shared" ref="AB76" si="35">AA76*S76/100</f>
        <v>0</v>
      </c>
      <c r="AC76" s="88"/>
      <c r="AD76" s="88">
        <f t="shared" ref="AD76" si="36">+R76-Y76</f>
        <v>600000</v>
      </c>
      <c r="AE76" s="86"/>
    </row>
    <row r="77" spans="1:41" ht="12.95" customHeight="1" x14ac:dyDescent="0.35">
      <c r="A77" s="132" t="s">
        <v>232</v>
      </c>
      <c r="B77" s="104" t="s">
        <v>233</v>
      </c>
      <c r="C77" s="105"/>
      <c r="D77" s="105"/>
      <c r="E77" s="111"/>
      <c r="F77" s="111"/>
      <c r="G77" s="137"/>
      <c r="H77" s="107"/>
      <c r="I77" s="108"/>
      <c r="J77" s="109"/>
      <c r="K77" s="110"/>
      <c r="L77" s="111"/>
      <c r="M77" s="111"/>
      <c r="N77" s="111"/>
      <c r="O77" s="185"/>
      <c r="P77" s="81"/>
      <c r="Q77" s="186"/>
      <c r="R77" s="187"/>
      <c r="S77" s="85"/>
      <c r="T77" s="99"/>
      <c r="U77" s="145"/>
      <c r="V77" s="145"/>
      <c r="W77" s="145"/>
      <c r="X77" s="145"/>
      <c r="Y77" s="88"/>
      <c r="Z77" s="99"/>
      <c r="AA77" s="100"/>
      <c r="AB77" s="184"/>
      <c r="AC77" s="88"/>
      <c r="AD77" s="88"/>
      <c r="AE77" s="114"/>
    </row>
    <row r="78" spans="1:41" s="28" customFormat="1" ht="12.95" customHeight="1" x14ac:dyDescent="0.35">
      <c r="A78" s="279">
        <v>521119</v>
      </c>
      <c r="B78" s="211" t="s">
        <v>100</v>
      </c>
      <c r="C78" s="105"/>
      <c r="D78" s="105"/>
      <c r="E78" s="105"/>
      <c r="F78" s="105"/>
      <c r="G78" s="106"/>
      <c r="H78" s="188"/>
      <c r="I78" s="171"/>
      <c r="J78" s="170"/>
      <c r="K78" s="189"/>
      <c r="L78" s="105"/>
      <c r="M78" s="105"/>
      <c r="N78" s="105"/>
      <c r="O78" s="112"/>
      <c r="P78" s="105"/>
      <c r="Q78" s="103"/>
      <c r="R78" s="188"/>
      <c r="S78" s="113"/>
      <c r="T78" s="190"/>
      <c r="U78" s="191"/>
      <c r="V78" s="191"/>
      <c r="W78" s="191"/>
      <c r="X78" s="191"/>
      <c r="Y78" s="192"/>
      <c r="Z78" s="190"/>
      <c r="AA78" s="178"/>
      <c r="AB78" s="193"/>
      <c r="AC78" s="192"/>
      <c r="AD78" s="192"/>
      <c r="AE78" s="179"/>
    </row>
    <row r="79" spans="1:41" s="28" customFormat="1" ht="12.95" customHeight="1" x14ac:dyDescent="0.35">
      <c r="A79" s="114"/>
      <c r="B79" s="194" t="s">
        <v>82</v>
      </c>
      <c r="C79" s="111" t="s">
        <v>101</v>
      </c>
      <c r="D79" s="105"/>
      <c r="E79" s="111"/>
      <c r="F79" s="111"/>
      <c r="G79" s="137"/>
      <c r="H79" s="107"/>
      <c r="I79" s="108"/>
      <c r="J79" s="109"/>
      <c r="K79" s="110"/>
      <c r="L79" s="111"/>
      <c r="M79" s="111"/>
      <c r="N79" s="111"/>
      <c r="O79" s="182">
        <v>12</v>
      </c>
      <c r="P79" s="140" t="s">
        <v>96</v>
      </c>
      <c r="Q79" s="183">
        <v>125000</v>
      </c>
      <c r="R79" s="151">
        <f>O79*600000</f>
        <v>7200000</v>
      </c>
      <c r="S79" s="85">
        <f t="shared" ref="S79" si="37">+R79/$R$184*100</f>
        <v>0.32154584953529924</v>
      </c>
      <c r="T79" s="99"/>
      <c r="U79" s="87"/>
      <c r="V79" s="87"/>
      <c r="W79" s="87"/>
      <c r="X79" s="87"/>
      <c r="Y79" s="88">
        <v>0</v>
      </c>
      <c r="Z79" s="99">
        <f t="shared" ref="Z79" si="38">+Y79/R79*100</f>
        <v>0</v>
      </c>
      <c r="AA79" s="100">
        <f t="shared" ref="AA79" si="39">Z79</f>
        <v>0</v>
      </c>
      <c r="AB79" s="99">
        <f t="shared" ref="AB79" si="40">AA79*S79/100</f>
        <v>0</v>
      </c>
      <c r="AC79" s="88"/>
      <c r="AD79" s="88">
        <f t="shared" ref="AD79" si="41">+R79-Y79</f>
        <v>7200000</v>
      </c>
      <c r="AE79" s="86"/>
    </row>
    <row r="80" spans="1:41" ht="12.95" customHeight="1" x14ac:dyDescent="0.35">
      <c r="A80" s="132" t="s">
        <v>184</v>
      </c>
      <c r="B80" s="104" t="s">
        <v>234</v>
      </c>
      <c r="C80" s="105"/>
      <c r="D80" s="105"/>
      <c r="E80" s="111"/>
      <c r="F80" s="111"/>
      <c r="G80" s="137"/>
      <c r="H80" s="107"/>
      <c r="I80" s="108"/>
      <c r="J80" s="109"/>
      <c r="K80" s="110"/>
      <c r="L80" s="111"/>
      <c r="M80" s="111"/>
      <c r="N80" s="111"/>
      <c r="O80" s="134"/>
      <c r="P80" s="111"/>
      <c r="Q80" s="135"/>
      <c r="R80" s="136"/>
      <c r="S80" s="113"/>
      <c r="T80" s="195"/>
      <c r="U80" s="198"/>
      <c r="V80" s="198"/>
      <c r="W80" s="198"/>
      <c r="X80" s="198"/>
      <c r="Y80" s="116"/>
      <c r="Z80" s="195"/>
      <c r="AA80" s="100"/>
      <c r="AB80" s="197"/>
      <c r="AC80" s="116"/>
      <c r="AD80" s="116"/>
      <c r="AE80" s="114"/>
    </row>
    <row r="81" spans="1:32" ht="12.95" customHeight="1" x14ac:dyDescent="0.35">
      <c r="A81" s="219">
        <v>523119</v>
      </c>
      <c r="B81" s="211" t="s">
        <v>103</v>
      </c>
      <c r="C81" s="105"/>
      <c r="D81" s="105"/>
      <c r="E81" s="111"/>
      <c r="F81" s="111"/>
      <c r="G81" s="137"/>
      <c r="H81" s="107"/>
      <c r="I81" s="108"/>
      <c r="J81" s="109"/>
      <c r="K81" s="110"/>
      <c r="L81" s="111"/>
      <c r="M81" s="111"/>
      <c r="N81" s="111"/>
      <c r="O81" s="111"/>
      <c r="P81" s="111"/>
      <c r="Q81" s="135"/>
      <c r="R81" s="188"/>
      <c r="S81" s="113"/>
      <c r="T81" s="195"/>
      <c r="U81" s="198"/>
      <c r="V81" s="198"/>
      <c r="W81" s="198"/>
      <c r="X81" s="198"/>
      <c r="Y81" s="116"/>
      <c r="Z81" s="195"/>
      <c r="AA81" s="100"/>
      <c r="AB81" s="197"/>
      <c r="AC81" s="116"/>
      <c r="AD81" s="116"/>
      <c r="AE81" s="114"/>
    </row>
    <row r="82" spans="1:32" ht="12.95" customHeight="1" x14ac:dyDescent="0.35">
      <c r="A82" s="132"/>
      <c r="B82" s="194" t="s">
        <v>82</v>
      </c>
      <c r="C82" s="111" t="s">
        <v>104</v>
      </c>
      <c r="D82" s="105"/>
      <c r="E82" s="111"/>
      <c r="F82" s="111"/>
      <c r="G82" s="137"/>
      <c r="H82" s="107"/>
      <c r="I82" s="108"/>
      <c r="J82" s="109"/>
      <c r="K82" s="110"/>
      <c r="L82" s="111"/>
      <c r="M82" s="111"/>
      <c r="N82" s="111"/>
      <c r="O82" s="134">
        <v>70</v>
      </c>
      <c r="P82" s="111" t="s">
        <v>105</v>
      </c>
      <c r="Q82" s="200">
        <v>10000</v>
      </c>
      <c r="R82" s="151">
        <f>O82*15000</f>
        <v>1050000</v>
      </c>
      <c r="S82" s="85">
        <f t="shared" ref="S82" si="42">+R82/$R$184*100</f>
        <v>4.6892103057231141E-2</v>
      </c>
      <c r="T82" s="99"/>
      <c r="U82" s="87"/>
      <c r="V82" s="87"/>
      <c r="W82" s="87"/>
      <c r="X82" s="87"/>
      <c r="Y82" s="88">
        <v>0</v>
      </c>
      <c r="Z82" s="99">
        <f t="shared" ref="Z82" si="43">+Y82/R82*100</f>
        <v>0</v>
      </c>
      <c r="AA82" s="100">
        <f t="shared" ref="AA82" si="44">Z82</f>
        <v>0</v>
      </c>
      <c r="AB82" s="99">
        <f t="shared" ref="AB82" si="45">AA82*S82/100</f>
        <v>0</v>
      </c>
      <c r="AC82" s="88"/>
      <c r="AD82" s="88">
        <f t="shared" ref="AD82" si="46">+R82-Y82</f>
        <v>1050000</v>
      </c>
      <c r="AE82" s="86"/>
    </row>
    <row r="83" spans="1:32" ht="12.95" customHeight="1" x14ac:dyDescent="0.35">
      <c r="A83" s="219">
        <v>523121</v>
      </c>
      <c r="B83" s="211" t="s">
        <v>106</v>
      </c>
      <c r="C83" s="105"/>
      <c r="D83" s="105"/>
      <c r="E83" s="111"/>
      <c r="F83" s="111"/>
      <c r="G83" s="137"/>
      <c r="H83" s="107"/>
      <c r="I83" s="108"/>
      <c r="J83" s="109"/>
      <c r="K83" s="110"/>
      <c r="L83" s="111"/>
      <c r="M83" s="111"/>
      <c r="N83" s="111"/>
      <c r="O83" s="182"/>
      <c r="P83" s="140"/>
      <c r="Q83" s="183"/>
      <c r="R83" s="201"/>
      <c r="S83" s="113"/>
      <c r="T83" s="195"/>
      <c r="U83" s="198"/>
      <c r="V83" s="198"/>
      <c r="W83" s="198"/>
      <c r="X83" s="198"/>
      <c r="Y83" s="116"/>
      <c r="Z83" s="195"/>
      <c r="AA83" s="100"/>
      <c r="AB83" s="197"/>
      <c r="AC83" s="116"/>
      <c r="AD83" s="116"/>
      <c r="AE83" s="114"/>
    </row>
    <row r="84" spans="1:32" ht="12.95" customHeight="1" x14ac:dyDescent="0.35">
      <c r="A84" s="132"/>
      <c r="B84" s="194" t="s">
        <v>82</v>
      </c>
      <c r="C84" s="111" t="s">
        <v>107</v>
      </c>
      <c r="D84" s="105"/>
      <c r="E84" s="111"/>
      <c r="F84" s="111"/>
      <c r="G84" s="137"/>
      <c r="H84" s="107"/>
      <c r="I84" s="108"/>
      <c r="J84" s="109"/>
      <c r="K84" s="110"/>
      <c r="L84" s="111"/>
      <c r="M84" s="111"/>
      <c r="N84" s="111"/>
      <c r="O84" s="182">
        <v>12</v>
      </c>
      <c r="P84" s="111" t="s">
        <v>88</v>
      </c>
      <c r="Q84" s="183">
        <v>600000</v>
      </c>
      <c r="R84" s="151">
        <f>O84*1500000</f>
        <v>18000000</v>
      </c>
      <c r="S84" s="85">
        <f t="shared" ref="S84:S85" si="47">+R84/$R$184*100</f>
        <v>0.80386462383824819</v>
      </c>
      <c r="T84" s="99"/>
      <c r="U84" s="87"/>
      <c r="V84" s="87"/>
      <c r="W84" s="87"/>
      <c r="X84" s="87"/>
      <c r="Y84" s="88">
        <v>0</v>
      </c>
      <c r="Z84" s="99">
        <f t="shared" ref="Z84:Z85" si="48">+Y84/R84*100</f>
        <v>0</v>
      </c>
      <c r="AA84" s="100">
        <f t="shared" ref="AA84:AA85" si="49">Z84</f>
        <v>0</v>
      </c>
      <c r="AB84" s="99">
        <f t="shared" ref="AB84:AB85" si="50">AA84*S84/100</f>
        <v>0</v>
      </c>
      <c r="AC84" s="88"/>
      <c r="AD84" s="88">
        <f t="shared" ref="AD84:AD85" si="51">+R84-Y84</f>
        <v>18000000</v>
      </c>
      <c r="AE84" s="86"/>
    </row>
    <row r="85" spans="1:32" ht="12.95" customHeight="1" x14ac:dyDescent="0.35">
      <c r="A85" s="132"/>
      <c r="B85" s="194" t="s">
        <v>82</v>
      </c>
      <c r="C85" s="111" t="s">
        <v>108</v>
      </c>
      <c r="D85" s="105"/>
      <c r="E85" s="111"/>
      <c r="F85" s="111"/>
      <c r="G85" s="137"/>
      <c r="H85" s="107"/>
      <c r="I85" s="108"/>
      <c r="J85" s="109"/>
      <c r="K85" s="110"/>
      <c r="L85" s="111"/>
      <c r="M85" s="111"/>
      <c r="N85" s="111"/>
      <c r="O85" s="182">
        <v>12</v>
      </c>
      <c r="P85" s="111" t="s">
        <v>88</v>
      </c>
      <c r="Q85" s="183">
        <v>1000000</v>
      </c>
      <c r="R85" s="151">
        <f>O85*500000</f>
        <v>6000000</v>
      </c>
      <c r="S85" s="85">
        <f t="shared" si="47"/>
        <v>0.26795487461274942</v>
      </c>
      <c r="T85" s="99"/>
      <c r="U85" s="87"/>
      <c r="V85" s="87"/>
      <c r="W85" s="87"/>
      <c r="X85" s="87"/>
      <c r="Y85" s="88">
        <v>0</v>
      </c>
      <c r="Z85" s="99">
        <f t="shared" si="48"/>
        <v>0</v>
      </c>
      <c r="AA85" s="100">
        <f t="shared" si="49"/>
        <v>0</v>
      </c>
      <c r="AB85" s="99">
        <f t="shared" si="50"/>
        <v>0</v>
      </c>
      <c r="AC85" s="88"/>
      <c r="AD85" s="88">
        <f t="shared" si="51"/>
        <v>6000000</v>
      </c>
      <c r="AE85" s="114"/>
    </row>
    <row r="86" spans="1:32" ht="12.95" customHeight="1" x14ac:dyDescent="0.35">
      <c r="A86" s="333">
        <v>532111</v>
      </c>
      <c r="B86" s="334" t="s">
        <v>170</v>
      </c>
      <c r="C86" s="335"/>
      <c r="D86" s="336"/>
      <c r="E86" s="337"/>
      <c r="F86" s="337"/>
      <c r="G86" s="338"/>
      <c r="H86" s="339"/>
      <c r="I86" s="340"/>
      <c r="J86" s="341"/>
      <c r="K86" s="342"/>
      <c r="L86" s="337"/>
      <c r="M86" s="337"/>
      <c r="N86" s="337"/>
      <c r="O86" s="343"/>
      <c r="P86" s="337"/>
      <c r="Q86" s="344"/>
      <c r="R86" s="345"/>
      <c r="S86" s="346"/>
      <c r="T86" s="347"/>
      <c r="U86" s="348"/>
      <c r="V86" s="348"/>
      <c r="W86" s="348"/>
      <c r="X86" s="348"/>
      <c r="Y86" s="349"/>
      <c r="Z86" s="347"/>
      <c r="AA86" s="350"/>
      <c r="AB86" s="351"/>
      <c r="AC86" s="349"/>
      <c r="AD86" s="349"/>
      <c r="AE86" s="352"/>
    </row>
    <row r="87" spans="1:32" ht="12.95" customHeight="1" x14ac:dyDescent="0.35">
      <c r="A87" s="333"/>
      <c r="B87" s="353" t="s">
        <v>82</v>
      </c>
      <c r="C87" s="335" t="s">
        <v>235</v>
      </c>
      <c r="D87" s="336"/>
      <c r="E87" s="337"/>
      <c r="F87" s="337"/>
      <c r="G87" s="338"/>
      <c r="H87" s="339"/>
      <c r="I87" s="340"/>
      <c r="J87" s="341"/>
      <c r="K87" s="342"/>
      <c r="L87" s="337"/>
      <c r="M87" s="337"/>
      <c r="N87" s="337"/>
      <c r="O87" s="343">
        <v>1</v>
      </c>
      <c r="P87" s="337" t="s">
        <v>127</v>
      </c>
      <c r="Q87" s="344"/>
      <c r="R87" s="345">
        <f>O87*12000000</f>
        <v>12000000</v>
      </c>
      <c r="S87" s="346">
        <f t="shared" ref="S87:S91" si="52">+R87/$R$184*100</f>
        <v>0.53590974922549883</v>
      </c>
      <c r="T87" s="347"/>
      <c r="U87" s="354"/>
      <c r="V87" s="354"/>
      <c r="W87" s="354"/>
      <c r="X87" s="354"/>
      <c r="Y87" s="349">
        <v>0</v>
      </c>
      <c r="Z87" s="347">
        <f t="shared" ref="Z87:Z91" si="53">+Y87/R87*100</f>
        <v>0</v>
      </c>
      <c r="AA87" s="350">
        <f t="shared" ref="AA87:AA91" si="54">Z87</f>
        <v>0</v>
      </c>
      <c r="AB87" s="347">
        <f t="shared" ref="AB87:AB91" si="55">AA87*S87/100</f>
        <v>0</v>
      </c>
      <c r="AC87" s="349"/>
      <c r="AD87" s="349">
        <f t="shared" ref="AD87:AD91" si="56">+R87-Y87</f>
        <v>12000000</v>
      </c>
      <c r="AE87" s="352"/>
    </row>
    <row r="88" spans="1:32" ht="12.95" customHeight="1" x14ac:dyDescent="0.35">
      <c r="A88" s="333"/>
      <c r="B88" s="353" t="s">
        <v>82</v>
      </c>
      <c r="C88" s="335" t="s">
        <v>236</v>
      </c>
      <c r="D88" s="336"/>
      <c r="E88" s="337"/>
      <c r="F88" s="337"/>
      <c r="G88" s="338"/>
      <c r="H88" s="339"/>
      <c r="I88" s="340"/>
      <c r="J88" s="341"/>
      <c r="K88" s="342"/>
      <c r="L88" s="337"/>
      <c r="M88" s="337"/>
      <c r="N88" s="337"/>
      <c r="O88" s="343">
        <v>1</v>
      </c>
      <c r="P88" s="337" t="s">
        <v>127</v>
      </c>
      <c r="Q88" s="344"/>
      <c r="R88" s="345">
        <f>O88*3300000</f>
        <v>3300000</v>
      </c>
      <c r="S88" s="346">
        <f t="shared" si="52"/>
        <v>0.14737518103701217</v>
      </c>
      <c r="T88" s="347"/>
      <c r="U88" s="354"/>
      <c r="V88" s="354"/>
      <c r="W88" s="354"/>
      <c r="X88" s="354"/>
      <c r="Y88" s="349">
        <v>0</v>
      </c>
      <c r="Z88" s="347">
        <f t="shared" si="53"/>
        <v>0</v>
      </c>
      <c r="AA88" s="350">
        <f t="shared" si="54"/>
        <v>0</v>
      </c>
      <c r="AB88" s="347">
        <f t="shared" si="55"/>
        <v>0</v>
      </c>
      <c r="AC88" s="349"/>
      <c r="AD88" s="349">
        <f t="shared" si="56"/>
        <v>3300000</v>
      </c>
      <c r="AE88" s="352"/>
    </row>
    <row r="89" spans="1:32" ht="12.95" customHeight="1" x14ac:dyDescent="0.35">
      <c r="A89" s="333"/>
      <c r="B89" s="353" t="s">
        <v>82</v>
      </c>
      <c r="C89" s="335" t="s">
        <v>237</v>
      </c>
      <c r="D89" s="336"/>
      <c r="E89" s="337"/>
      <c r="F89" s="337"/>
      <c r="G89" s="338"/>
      <c r="H89" s="339"/>
      <c r="I89" s="340"/>
      <c r="J89" s="341"/>
      <c r="K89" s="342"/>
      <c r="L89" s="337"/>
      <c r="M89" s="337"/>
      <c r="N89" s="337"/>
      <c r="O89" s="343">
        <v>1</v>
      </c>
      <c r="P89" s="337" t="s">
        <v>127</v>
      </c>
      <c r="Q89" s="344"/>
      <c r="R89" s="345">
        <f>O89*8700000</f>
        <v>8700000</v>
      </c>
      <c r="S89" s="346">
        <f t="shared" si="52"/>
        <v>0.38853456818848658</v>
      </c>
      <c r="T89" s="347"/>
      <c r="U89" s="354"/>
      <c r="V89" s="354"/>
      <c r="W89" s="354"/>
      <c r="X89" s="354"/>
      <c r="Y89" s="349">
        <v>0</v>
      </c>
      <c r="Z89" s="347">
        <f t="shared" si="53"/>
        <v>0</v>
      </c>
      <c r="AA89" s="350">
        <f t="shared" si="54"/>
        <v>0</v>
      </c>
      <c r="AB89" s="347">
        <f t="shared" si="55"/>
        <v>0</v>
      </c>
      <c r="AC89" s="349"/>
      <c r="AD89" s="349">
        <f t="shared" si="56"/>
        <v>8700000</v>
      </c>
      <c r="AE89" s="352"/>
    </row>
    <row r="90" spans="1:32" ht="12.95" customHeight="1" x14ac:dyDescent="0.35">
      <c r="A90" s="333"/>
      <c r="B90" s="353" t="s">
        <v>82</v>
      </c>
      <c r="C90" s="335" t="s">
        <v>238</v>
      </c>
      <c r="D90" s="336"/>
      <c r="E90" s="337"/>
      <c r="F90" s="337"/>
      <c r="G90" s="338"/>
      <c r="H90" s="339"/>
      <c r="I90" s="340"/>
      <c r="J90" s="341"/>
      <c r="K90" s="342"/>
      <c r="L90" s="337"/>
      <c r="M90" s="337"/>
      <c r="N90" s="337"/>
      <c r="O90" s="343">
        <v>10</v>
      </c>
      <c r="P90" s="337" t="s">
        <v>127</v>
      </c>
      <c r="Q90" s="344"/>
      <c r="R90" s="345">
        <f>O90*600000</f>
        <v>6000000</v>
      </c>
      <c r="S90" s="346">
        <f t="shared" si="52"/>
        <v>0.26795487461274942</v>
      </c>
      <c r="T90" s="347"/>
      <c r="U90" s="354"/>
      <c r="V90" s="354"/>
      <c r="W90" s="354"/>
      <c r="X90" s="354"/>
      <c r="Y90" s="349">
        <v>0</v>
      </c>
      <c r="Z90" s="347">
        <f t="shared" si="53"/>
        <v>0</v>
      </c>
      <c r="AA90" s="350">
        <f t="shared" si="54"/>
        <v>0</v>
      </c>
      <c r="AB90" s="347">
        <f t="shared" si="55"/>
        <v>0</v>
      </c>
      <c r="AC90" s="349"/>
      <c r="AD90" s="349">
        <f t="shared" si="56"/>
        <v>6000000</v>
      </c>
      <c r="AE90" s="352"/>
    </row>
    <row r="91" spans="1:32" ht="12.95" customHeight="1" x14ac:dyDescent="0.35">
      <c r="A91" s="333"/>
      <c r="B91" s="353" t="s">
        <v>82</v>
      </c>
      <c r="C91" s="335" t="s">
        <v>239</v>
      </c>
      <c r="D91" s="336"/>
      <c r="E91" s="337"/>
      <c r="F91" s="337"/>
      <c r="G91" s="338"/>
      <c r="H91" s="339"/>
      <c r="I91" s="340"/>
      <c r="J91" s="341"/>
      <c r="K91" s="342"/>
      <c r="L91" s="337"/>
      <c r="M91" s="337"/>
      <c r="N91" s="337"/>
      <c r="O91" s="343">
        <v>1</v>
      </c>
      <c r="P91" s="337" t="s">
        <v>127</v>
      </c>
      <c r="Q91" s="344"/>
      <c r="R91" s="345">
        <f>O91*2000000</f>
        <v>2000000</v>
      </c>
      <c r="S91" s="346">
        <f t="shared" si="52"/>
        <v>8.9318291537583125E-2</v>
      </c>
      <c r="T91" s="347"/>
      <c r="U91" s="354"/>
      <c r="V91" s="354"/>
      <c r="W91" s="354"/>
      <c r="X91" s="354"/>
      <c r="Y91" s="349">
        <v>0</v>
      </c>
      <c r="Z91" s="347">
        <f t="shared" si="53"/>
        <v>0</v>
      </c>
      <c r="AA91" s="350">
        <f t="shared" si="54"/>
        <v>0</v>
      </c>
      <c r="AB91" s="347">
        <f t="shared" si="55"/>
        <v>0</v>
      </c>
      <c r="AC91" s="349"/>
      <c r="AD91" s="349">
        <f t="shared" si="56"/>
        <v>2000000</v>
      </c>
      <c r="AE91" s="352"/>
    </row>
    <row r="92" spans="1:32" ht="12.95" customHeight="1" x14ac:dyDescent="0.35">
      <c r="A92" s="132"/>
      <c r="B92" s="194"/>
      <c r="C92" s="111"/>
      <c r="D92" s="105"/>
      <c r="E92" s="111"/>
      <c r="F92" s="111"/>
      <c r="G92" s="137"/>
      <c r="H92" s="107"/>
      <c r="I92" s="108"/>
      <c r="J92" s="109"/>
      <c r="K92" s="110"/>
      <c r="L92" s="111"/>
      <c r="M92" s="111"/>
      <c r="N92" s="111"/>
      <c r="O92" s="182"/>
      <c r="P92" s="111"/>
      <c r="Q92" s="183"/>
      <c r="R92" s="151"/>
      <c r="S92" s="113"/>
      <c r="T92" s="195"/>
      <c r="U92" s="196"/>
      <c r="V92" s="196"/>
      <c r="W92" s="196"/>
      <c r="X92" s="196"/>
      <c r="Y92" s="116"/>
      <c r="Z92" s="195"/>
      <c r="AA92" s="202"/>
      <c r="AB92" s="197"/>
      <c r="AC92" s="116"/>
      <c r="AD92" s="116"/>
      <c r="AE92" s="114"/>
    </row>
    <row r="93" spans="1:32" ht="12.95" customHeight="1" x14ac:dyDescent="0.35">
      <c r="A93" s="287" t="s">
        <v>240</v>
      </c>
      <c r="B93" s="288" t="s">
        <v>109</v>
      </c>
      <c r="C93" s="278"/>
      <c r="D93" s="278"/>
      <c r="E93" s="81"/>
      <c r="F93" s="81"/>
      <c r="G93" s="289"/>
      <c r="H93" s="77"/>
      <c r="I93" s="78"/>
      <c r="J93" s="79"/>
      <c r="K93" s="80"/>
      <c r="L93" s="81"/>
      <c r="M93" s="81"/>
      <c r="N93" s="81"/>
      <c r="O93" s="185"/>
      <c r="P93" s="81"/>
      <c r="Q93" s="186"/>
      <c r="R93" s="173"/>
      <c r="S93" s="85"/>
      <c r="T93" s="99"/>
      <c r="U93" s="145"/>
      <c r="V93" s="145"/>
      <c r="W93" s="145"/>
      <c r="X93" s="145"/>
      <c r="Y93" s="88"/>
      <c r="Z93" s="99"/>
      <c r="AA93" s="100"/>
      <c r="AB93" s="184">
        <f t="shared" ref="AB93:AB112" si="57">AA93*S93/100</f>
        <v>0</v>
      </c>
      <c r="AC93" s="88"/>
      <c r="AD93" s="88"/>
      <c r="AE93" s="86"/>
      <c r="AF93" s="90"/>
    </row>
    <row r="94" spans="1:32" ht="12.95" customHeight="1" x14ac:dyDescent="0.35">
      <c r="A94" s="132"/>
      <c r="B94" s="104"/>
      <c r="C94" s="105"/>
      <c r="D94" s="105"/>
      <c r="E94" s="111"/>
      <c r="F94" s="111"/>
      <c r="G94" s="137"/>
      <c r="H94" s="107"/>
      <c r="I94" s="108"/>
      <c r="J94" s="109"/>
      <c r="K94" s="110"/>
      <c r="L94" s="111"/>
      <c r="M94" s="111"/>
      <c r="N94" s="111"/>
      <c r="O94" s="134"/>
      <c r="P94" s="111"/>
      <c r="Q94" s="135"/>
      <c r="R94" s="133"/>
      <c r="S94" s="113"/>
      <c r="T94" s="195"/>
      <c r="U94" s="198"/>
      <c r="V94" s="198"/>
      <c r="W94" s="198"/>
      <c r="X94" s="198"/>
      <c r="Y94" s="116"/>
      <c r="Z94" s="195"/>
      <c r="AA94" s="202"/>
      <c r="AB94" s="197">
        <f t="shared" si="57"/>
        <v>0</v>
      </c>
      <c r="AC94" s="116"/>
      <c r="AD94" s="116"/>
      <c r="AE94" s="114"/>
    </row>
    <row r="95" spans="1:32" ht="12.95" customHeight="1" x14ac:dyDescent="0.35">
      <c r="A95" s="132" t="s">
        <v>110</v>
      </c>
      <c r="B95" s="104" t="s">
        <v>241</v>
      </c>
      <c r="C95" s="105"/>
      <c r="D95" s="105"/>
      <c r="E95" s="111"/>
      <c r="F95" s="111"/>
      <c r="G95" s="137"/>
      <c r="H95" s="107"/>
      <c r="I95" s="108"/>
      <c r="J95" s="109"/>
      <c r="K95" s="110"/>
      <c r="L95" s="111"/>
      <c r="M95" s="111"/>
      <c r="N95" s="111"/>
      <c r="O95" s="134"/>
      <c r="P95" s="111"/>
      <c r="Q95" s="135"/>
      <c r="R95" s="203"/>
      <c r="S95" s="113"/>
      <c r="T95" s="195"/>
      <c r="U95" s="196"/>
      <c r="V95" s="196"/>
      <c r="W95" s="196"/>
      <c r="X95" s="196"/>
      <c r="Y95" s="116"/>
      <c r="Z95" s="195"/>
      <c r="AA95" s="202"/>
      <c r="AB95" s="197"/>
      <c r="AC95" s="88"/>
      <c r="AD95" s="116"/>
      <c r="AE95" s="114"/>
    </row>
    <row r="96" spans="1:32" ht="12.95" customHeight="1" x14ac:dyDescent="0.35">
      <c r="A96" s="219">
        <v>511111</v>
      </c>
      <c r="B96" s="211" t="s">
        <v>242</v>
      </c>
      <c r="C96" s="232"/>
      <c r="D96" s="105"/>
      <c r="E96" s="111"/>
      <c r="F96" s="111"/>
      <c r="G96" s="111"/>
      <c r="H96" s="107"/>
      <c r="I96" s="108"/>
      <c r="J96" s="109"/>
      <c r="K96" s="110"/>
      <c r="L96" s="111"/>
      <c r="M96" s="111"/>
      <c r="N96" s="111"/>
      <c r="O96" s="134">
        <v>1</v>
      </c>
      <c r="P96" s="111" t="s">
        <v>111</v>
      </c>
      <c r="Q96" s="135"/>
      <c r="R96" s="203">
        <f>O96*806705000</f>
        <v>806705000</v>
      </c>
      <c r="S96" s="85">
        <f t="shared" ref="S96:S106" si="58">+R96/$R$184*100</f>
        <v>36.026756187413</v>
      </c>
      <c r="T96" s="99"/>
      <c r="U96" s="87"/>
      <c r="V96" s="87"/>
      <c r="W96" s="87"/>
      <c r="X96" s="87"/>
      <c r="Y96" s="88">
        <v>452633720</v>
      </c>
      <c r="Z96" s="99">
        <f t="shared" ref="Z96:Z106" si="59">+Y96/R96*100</f>
        <v>56.108951847329571</v>
      </c>
      <c r="AA96" s="100">
        <f>4/14*100</f>
        <v>28.571428571428569</v>
      </c>
      <c r="AB96" s="99">
        <f t="shared" ref="AB96:AB106" si="60">AA96*S96/100</f>
        <v>10.293358910689427</v>
      </c>
      <c r="AC96" s="88"/>
      <c r="AD96" s="88">
        <f t="shared" ref="AD96:AD106" si="61">+R96-Y96</f>
        <v>354071280</v>
      </c>
      <c r="AE96" s="86"/>
    </row>
    <row r="97" spans="1:31" ht="12.95" customHeight="1" x14ac:dyDescent="0.35">
      <c r="A97" s="219">
        <v>511121</v>
      </c>
      <c r="B97" s="211" t="s">
        <v>243</v>
      </c>
      <c r="C97" s="232"/>
      <c r="D97" s="105"/>
      <c r="E97" s="111"/>
      <c r="F97" s="111"/>
      <c r="G97" s="111"/>
      <c r="H97" s="107"/>
      <c r="I97" s="108"/>
      <c r="J97" s="109"/>
      <c r="K97" s="110"/>
      <c r="L97" s="111"/>
      <c r="M97" s="111"/>
      <c r="N97" s="111"/>
      <c r="O97" s="134">
        <v>1</v>
      </c>
      <c r="P97" s="111" t="s">
        <v>111</v>
      </c>
      <c r="Q97" s="135"/>
      <c r="R97" s="107">
        <f>O97*47273000</f>
        <v>47273000</v>
      </c>
      <c r="S97" s="85">
        <f t="shared" si="58"/>
        <v>2.1111717979280837</v>
      </c>
      <c r="T97" s="99"/>
      <c r="U97" s="87"/>
      <c r="V97" s="87"/>
      <c r="W97" s="87"/>
      <c r="X97" s="87"/>
      <c r="Y97" s="88">
        <v>25527090</v>
      </c>
      <c r="Z97" s="99">
        <f t="shared" si="59"/>
        <v>53.99930192710427</v>
      </c>
      <c r="AA97" s="100">
        <f>4/14*Z97</f>
        <v>15.428371979172647</v>
      </c>
      <c r="AB97" s="99">
        <f t="shared" si="60"/>
        <v>0.32571943810373183</v>
      </c>
      <c r="AC97" s="88"/>
      <c r="AD97" s="88">
        <f t="shared" si="61"/>
        <v>21745910</v>
      </c>
      <c r="AE97" s="114"/>
    </row>
    <row r="98" spans="1:31" ht="12.95" customHeight="1" x14ac:dyDescent="0.35">
      <c r="A98" s="219">
        <v>511122</v>
      </c>
      <c r="B98" s="211" t="s">
        <v>244</v>
      </c>
      <c r="C98" s="232"/>
      <c r="D98" s="105"/>
      <c r="E98" s="111"/>
      <c r="F98" s="111"/>
      <c r="G98" s="111"/>
      <c r="H98" s="107"/>
      <c r="I98" s="108"/>
      <c r="J98" s="109"/>
      <c r="K98" s="110"/>
      <c r="L98" s="111"/>
      <c r="M98" s="111"/>
      <c r="N98" s="111"/>
      <c r="O98" s="134">
        <v>1</v>
      </c>
      <c r="P98" s="111" t="s">
        <v>111</v>
      </c>
      <c r="Q98" s="135"/>
      <c r="R98" s="107">
        <f>O98*16142000</f>
        <v>16142000</v>
      </c>
      <c r="S98" s="85">
        <f t="shared" si="58"/>
        <v>0.72088793099983339</v>
      </c>
      <c r="T98" s="99"/>
      <c r="U98" s="87"/>
      <c r="V98" s="87"/>
      <c r="W98" s="87"/>
      <c r="X98" s="87"/>
      <c r="Y98" s="88">
        <v>8184224</v>
      </c>
      <c r="Z98" s="99">
        <f t="shared" si="59"/>
        <v>50.701424854417041</v>
      </c>
      <c r="AA98" s="100">
        <f>4/14*Z98</f>
        <v>14.486121386976297</v>
      </c>
      <c r="AB98" s="99">
        <f t="shared" si="60"/>
        <v>0.10442870074869778</v>
      </c>
      <c r="AC98" s="88"/>
      <c r="AD98" s="88">
        <f t="shared" si="61"/>
        <v>7957776</v>
      </c>
      <c r="AE98" s="114"/>
    </row>
    <row r="99" spans="1:31" ht="12.95" customHeight="1" x14ac:dyDescent="0.35">
      <c r="A99" s="219">
        <v>511123</v>
      </c>
      <c r="B99" s="211" t="s">
        <v>245</v>
      </c>
      <c r="C99" s="232"/>
      <c r="D99" s="105"/>
      <c r="E99" s="111"/>
      <c r="F99" s="111"/>
      <c r="G99" s="111"/>
      <c r="H99" s="107"/>
      <c r="I99" s="108"/>
      <c r="J99" s="109"/>
      <c r="K99" s="110"/>
      <c r="L99" s="111"/>
      <c r="M99" s="111"/>
      <c r="N99" s="111"/>
      <c r="O99" s="134">
        <v>1</v>
      </c>
      <c r="P99" s="111" t="s">
        <v>111</v>
      </c>
      <c r="Q99" s="135"/>
      <c r="R99" s="107">
        <f>O99*27440000</f>
        <v>27440000</v>
      </c>
      <c r="S99" s="85">
        <f t="shared" si="58"/>
        <v>1.2254469598956406</v>
      </c>
      <c r="T99" s="99"/>
      <c r="U99" s="87"/>
      <c r="V99" s="87"/>
      <c r="W99" s="87"/>
      <c r="X99" s="87"/>
      <c r="Y99" s="88">
        <v>13720000</v>
      </c>
      <c r="Z99" s="99">
        <f t="shared" si="59"/>
        <v>50</v>
      </c>
      <c r="AA99" s="100">
        <f>4/14*Z99</f>
        <v>14.285714285714285</v>
      </c>
      <c r="AB99" s="99">
        <f t="shared" si="60"/>
        <v>0.1750638514136629</v>
      </c>
      <c r="AC99" s="88"/>
      <c r="AD99" s="88">
        <f t="shared" si="61"/>
        <v>13720000</v>
      </c>
      <c r="AE99" s="114"/>
    </row>
    <row r="100" spans="1:31" ht="12.95" customHeight="1" x14ac:dyDescent="0.35">
      <c r="A100" s="219">
        <v>511124</v>
      </c>
      <c r="B100" s="211" t="s">
        <v>246</v>
      </c>
      <c r="C100" s="232"/>
      <c r="D100" s="105"/>
      <c r="E100" s="111"/>
      <c r="F100" s="111"/>
      <c r="G100" s="111"/>
      <c r="H100" s="107"/>
      <c r="I100" s="108"/>
      <c r="J100" s="109"/>
      <c r="K100" s="110"/>
      <c r="L100" s="111"/>
      <c r="M100" s="111"/>
      <c r="N100" s="111"/>
      <c r="O100" s="134">
        <v>1</v>
      </c>
      <c r="P100" s="111" t="s">
        <v>111</v>
      </c>
      <c r="Q100" s="135"/>
      <c r="R100" s="107">
        <f>O100*27860000</f>
        <v>27860000</v>
      </c>
      <c r="S100" s="85">
        <f t="shared" si="58"/>
        <v>1.244203801118533</v>
      </c>
      <c r="T100" s="99"/>
      <c r="U100" s="87"/>
      <c r="V100" s="87"/>
      <c r="W100" s="87"/>
      <c r="X100" s="87"/>
      <c r="Y100" s="88">
        <v>1220000</v>
      </c>
      <c r="Z100" s="99">
        <f t="shared" si="59"/>
        <v>4.3790380473797557</v>
      </c>
      <c r="AA100" s="100">
        <f>4/14*Z100</f>
        <v>1.2511537278227873</v>
      </c>
      <c r="AB100" s="99">
        <f t="shared" si="60"/>
        <v>1.5566902239407345E-2</v>
      </c>
      <c r="AC100" s="88"/>
      <c r="AD100" s="88">
        <f t="shared" si="61"/>
        <v>26640000</v>
      </c>
      <c r="AE100" s="114"/>
    </row>
    <row r="101" spans="1:31" ht="12.95" customHeight="1" x14ac:dyDescent="0.35">
      <c r="A101" s="219">
        <v>511125</v>
      </c>
      <c r="B101" s="211" t="s">
        <v>247</v>
      </c>
      <c r="C101" s="232"/>
      <c r="D101" s="105"/>
      <c r="E101" s="111"/>
      <c r="F101" s="111"/>
      <c r="G101" s="111"/>
      <c r="H101" s="107"/>
      <c r="I101" s="108"/>
      <c r="J101" s="109"/>
      <c r="K101" s="110"/>
      <c r="L101" s="111"/>
      <c r="M101" s="111"/>
      <c r="N101" s="111"/>
      <c r="O101" s="134">
        <v>1</v>
      </c>
      <c r="P101" s="111" t="s">
        <v>111</v>
      </c>
      <c r="Q101" s="135"/>
      <c r="R101" s="107">
        <f>O101*4525000</f>
        <v>4525000</v>
      </c>
      <c r="S101" s="85">
        <f t="shared" si="58"/>
        <v>0.20208263460378181</v>
      </c>
      <c r="T101" s="99"/>
      <c r="U101" s="87"/>
      <c r="V101" s="87"/>
      <c r="W101" s="87"/>
      <c r="X101" s="87"/>
      <c r="Y101" s="88">
        <v>8300</v>
      </c>
      <c r="Z101" s="99">
        <f t="shared" si="59"/>
        <v>0.18342541436464088</v>
      </c>
      <c r="AA101" s="100">
        <f t="shared" ref="AA101" si="62">1/14*Z101</f>
        <v>1.3101815311760062E-2</v>
      </c>
      <c r="AB101" s="99">
        <f t="shared" si="60"/>
        <v>2.6476493562926422E-5</v>
      </c>
      <c r="AC101" s="88"/>
      <c r="AD101" s="88">
        <f t="shared" si="61"/>
        <v>4516700</v>
      </c>
      <c r="AE101" s="114"/>
    </row>
    <row r="102" spans="1:31" ht="12.95" customHeight="1" x14ac:dyDescent="0.35">
      <c r="A102" s="219">
        <v>511126</v>
      </c>
      <c r="B102" s="211" t="s">
        <v>248</v>
      </c>
      <c r="C102" s="232"/>
      <c r="D102" s="105"/>
      <c r="E102" s="111"/>
      <c r="F102" s="111"/>
      <c r="G102" s="111"/>
      <c r="H102" s="107"/>
      <c r="I102" s="108"/>
      <c r="J102" s="109"/>
      <c r="K102" s="110"/>
      <c r="L102" s="111"/>
      <c r="M102" s="111"/>
      <c r="N102" s="111"/>
      <c r="O102" s="134">
        <v>1</v>
      </c>
      <c r="P102" s="111" t="s">
        <v>111</v>
      </c>
      <c r="Q102" s="135"/>
      <c r="R102" s="107">
        <f>O102*42792000</f>
        <v>42792000</v>
      </c>
      <c r="S102" s="85">
        <f t="shared" si="58"/>
        <v>1.9110541657381286</v>
      </c>
      <c r="T102" s="99"/>
      <c r="U102" s="87"/>
      <c r="V102" s="87"/>
      <c r="W102" s="87"/>
      <c r="X102" s="87"/>
      <c r="Y102" s="88">
        <v>23464080</v>
      </c>
      <c r="Z102" s="99">
        <f t="shared" si="59"/>
        <v>54.832865956253507</v>
      </c>
      <c r="AA102" s="100">
        <f>4/14*Z102</f>
        <v>15.666533130358143</v>
      </c>
      <c r="AB102" s="99">
        <f t="shared" si="60"/>
        <v>0.2993959340144533</v>
      </c>
      <c r="AC102" s="88"/>
      <c r="AD102" s="88">
        <f t="shared" si="61"/>
        <v>19327920</v>
      </c>
      <c r="AE102" s="114"/>
    </row>
    <row r="103" spans="1:31" ht="12.95" customHeight="1" x14ac:dyDescent="0.35">
      <c r="A103" s="307">
        <v>511129</v>
      </c>
      <c r="B103" s="308" t="s">
        <v>249</v>
      </c>
      <c r="C103" s="309"/>
      <c r="D103" s="310"/>
      <c r="E103" s="310"/>
      <c r="F103" s="310"/>
      <c r="G103" s="310"/>
      <c r="H103" s="311"/>
      <c r="I103" s="312"/>
      <c r="J103" s="313"/>
      <c r="K103" s="314"/>
      <c r="L103" s="310"/>
      <c r="M103" s="310"/>
      <c r="N103" s="310"/>
      <c r="O103" s="315">
        <v>1</v>
      </c>
      <c r="P103" s="310" t="s">
        <v>111</v>
      </c>
      <c r="Q103" s="316"/>
      <c r="R103" s="311">
        <f>O103*146160000</f>
        <v>146160000</v>
      </c>
      <c r="S103" s="317">
        <f t="shared" si="58"/>
        <v>6.5273807455665747</v>
      </c>
      <c r="T103" s="318"/>
      <c r="U103" s="319"/>
      <c r="V103" s="319"/>
      <c r="W103" s="319"/>
      <c r="X103" s="319"/>
      <c r="Y103" s="320">
        <v>43894000</v>
      </c>
      <c r="Z103" s="318">
        <f t="shared" si="59"/>
        <v>30.031472359058565</v>
      </c>
      <c r="AA103" s="100">
        <f>4/14*Z103</f>
        <v>8.5804206740167324</v>
      </c>
      <c r="AB103" s="318">
        <f t="shared" si="60"/>
        <v>0.56007672696438193</v>
      </c>
      <c r="AC103" s="320"/>
      <c r="AD103" s="320">
        <f t="shared" si="61"/>
        <v>102266000</v>
      </c>
      <c r="AE103" s="321"/>
    </row>
    <row r="104" spans="1:31" ht="12.95" customHeight="1" x14ac:dyDescent="0.35">
      <c r="A104" s="219">
        <v>511151</v>
      </c>
      <c r="B104" s="211" t="s">
        <v>250</v>
      </c>
      <c r="C104" s="232"/>
      <c r="D104" s="105"/>
      <c r="E104" s="111"/>
      <c r="F104" s="111"/>
      <c r="G104" s="111"/>
      <c r="H104" s="107"/>
      <c r="I104" s="108"/>
      <c r="J104" s="109"/>
      <c r="K104" s="110"/>
      <c r="L104" s="111"/>
      <c r="M104" s="111"/>
      <c r="N104" s="111"/>
      <c r="O104" s="134">
        <v>1</v>
      </c>
      <c r="P104" s="111" t="s">
        <v>111</v>
      </c>
      <c r="Q104" s="135"/>
      <c r="R104" s="107">
        <f>O104*35736000</f>
        <v>35736000</v>
      </c>
      <c r="S104" s="85">
        <f t="shared" si="58"/>
        <v>1.5959392331935354</v>
      </c>
      <c r="T104" s="99"/>
      <c r="U104" s="87"/>
      <c r="V104" s="87"/>
      <c r="W104" s="87"/>
      <c r="X104" s="87"/>
      <c r="Y104" s="88">
        <v>11500000</v>
      </c>
      <c r="Z104" s="99">
        <f t="shared" si="59"/>
        <v>32.180434295948061</v>
      </c>
      <c r="AA104" s="100">
        <f>4/14*Z104</f>
        <v>9.1944097988423028</v>
      </c>
      <c r="AB104" s="99">
        <f t="shared" si="60"/>
        <v>0.14673719324031512</v>
      </c>
      <c r="AC104" s="88"/>
      <c r="AD104" s="88">
        <f t="shared" si="61"/>
        <v>24236000</v>
      </c>
      <c r="AE104" s="114"/>
    </row>
    <row r="105" spans="1:31" ht="12.95" customHeight="1" x14ac:dyDescent="0.35">
      <c r="A105" s="307">
        <v>512211</v>
      </c>
      <c r="B105" s="308" t="s">
        <v>251</v>
      </c>
      <c r="C105" s="309"/>
      <c r="D105" s="309"/>
      <c r="E105" s="309"/>
      <c r="F105" s="309"/>
      <c r="G105" s="309"/>
      <c r="H105" s="322"/>
      <c r="I105" s="323"/>
      <c r="J105" s="324"/>
      <c r="K105" s="325"/>
      <c r="L105" s="309"/>
      <c r="M105" s="309"/>
      <c r="N105" s="309"/>
      <c r="O105" s="326">
        <v>1</v>
      </c>
      <c r="P105" s="309" t="s">
        <v>111</v>
      </c>
      <c r="Q105" s="327"/>
      <c r="R105" s="322">
        <f>O105*4320000</f>
        <v>4320000</v>
      </c>
      <c r="S105" s="328">
        <f t="shared" si="58"/>
        <v>0.19292750972117956</v>
      </c>
      <c r="T105" s="329"/>
      <c r="U105" s="330"/>
      <c r="V105" s="330"/>
      <c r="W105" s="330"/>
      <c r="X105" s="330"/>
      <c r="Y105" s="331">
        <v>0</v>
      </c>
      <c r="Z105" s="329">
        <f t="shared" si="59"/>
        <v>0</v>
      </c>
      <c r="AA105" s="100">
        <f>1/14*Z105</f>
        <v>0</v>
      </c>
      <c r="AB105" s="329">
        <f t="shared" si="60"/>
        <v>0</v>
      </c>
      <c r="AC105" s="331"/>
      <c r="AD105" s="331">
        <f t="shared" si="61"/>
        <v>4320000</v>
      </c>
      <c r="AE105" s="332"/>
    </row>
    <row r="106" spans="1:31" ht="12.95" customHeight="1" x14ac:dyDescent="0.35">
      <c r="A106" s="219">
        <v>511119</v>
      </c>
      <c r="B106" s="211" t="s">
        <v>262</v>
      </c>
      <c r="C106" s="232"/>
      <c r="D106" s="105"/>
      <c r="E106" s="111"/>
      <c r="F106" s="111"/>
      <c r="G106" s="111"/>
      <c r="H106" s="107"/>
      <c r="I106" s="108"/>
      <c r="J106" s="109"/>
      <c r="K106" s="110"/>
      <c r="L106" s="111"/>
      <c r="M106" s="111"/>
      <c r="N106" s="111"/>
      <c r="O106" s="134">
        <v>1</v>
      </c>
      <c r="P106" s="111" t="s">
        <v>111</v>
      </c>
      <c r="Q106" s="135"/>
      <c r="R106" s="107">
        <f>O106*17000</f>
        <v>17000</v>
      </c>
      <c r="S106" s="85">
        <f t="shared" si="58"/>
        <v>7.5920547806945663E-4</v>
      </c>
      <c r="T106" s="99"/>
      <c r="U106" s="87"/>
      <c r="V106" s="87"/>
      <c r="W106" s="87"/>
      <c r="X106" s="87"/>
      <c r="Y106" s="88">
        <v>5482</v>
      </c>
      <c r="Z106" s="99">
        <f t="shared" si="59"/>
        <v>32.247058823529414</v>
      </c>
      <c r="AA106" s="100">
        <f>4/14*Z106</f>
        <v>9.2134453781512615</v>
      </c>
      <c r="AB106" s="99">
        <f t="shared" si="60"/>
        <v>6.9948982029861538E-5</v>
      </c>
      <c r="AC106" s="88"/>
      <c r="AD106" s="88">
        <f t="shared" si="61"/>
        <v>11518</v>
      </c>
      <c r="AE106" s="114"/>
    </row>
    <row r="107" spans="1:31" ht="12.95" customHeight="1" x14ac:dyDescent="0.35">
      <c r="A107" s="204"/>
      <c r="B107" s="205"/>
      <c r="C107" s="206"/>
      <c r="D107" s="111"/>
      <c r="E107" s="111"/>
      <c r="F107" s="111"/>
      <c r="G107" s="111"/>
      <c r="H107" s="107"/>
      <c r="I107" s="108"/>
      <c r="J107" s="109"/>
      <c r="K107" s="110"/>
      <c r="L107" s="111"/>
      <c r="M107" s="111"/>
      <c r="N107" s="111"/>
      <c r="O107" s="133"/>
      <c r="P107" s="108"/>
      <c r="Q107" s="114"/>
      <c r="R107" s="133"/>
      <c r="S107" s="113"/>
      <c r="T107" s="195"/>
      <c r="U107" s="198"/>
      <c r="V107" s="198"/>
      <c r="W107" s="198"/>
      <c r="X107" s="198"/>
      <c r="Y107" s="116"/>
      <c r="Z107" s="195"/>
      <c r="AA107" s="202"/>
      <c r="AB107" s="197">
        <f t="shared" si="57"/>
        <v>0</v>
      </c>
      <c r="AC107" s="88"/>
      <c r="AD107" s="116"/>
      <c r="AE107" s="114"/>
    </row>
    <row r="108" spans="1:31" ht="12.95" hidden="1" customHeight="1" x14ac:dyDescent="0.35">
      <c r="A108" s="135"/>
      <c r="B108" s="133"/>
      <c r="C108" s="111"/>
      <c r="D108" s="111"/>
      <c r="E108" s="111"/>
      <c r="F108" s="111"/>
      <c r="G108" s="111"/>
      <c r="H108" s="107"/>
      <c r="I108" s="108"/>
      <c r="J108" s="109"/>
      <c r="K108" s="110"/>
      <c r="L108" s="111"/>
      <c r="M108" s="111"/>
      <c r="N108" s="111"/>
      <c r="O108" s="133"/>
      <c r="P108" s="108"/>
      <c r="Q108" s="114"/>
      <c r="R108" s="133"/>
      <c r="S108" s="113"/>
      <c r="T108" s="195"/>
      <c r="U108" s="198"/>
      <c r="V108" s="198"/>
      <c r="W108" s="198"/>
      <c r="X108" s="198"/>
      <c r="Y108" s="116"/>
      <c r="Z108" s="195"/>
      <c r="AA108" s="202"/>
      <c r="AB108" s="197">
        <f t="shared" si="57"/>
        <v>0</v>
      </c>
      <c r="AC108" s="88"/>
      <c r="AD108" s="116"/>
      <c r="AE108" s="114"/>
    </row>
    <row r="109" spans="1:31" ht="12.95" customHeight="1" x14ac:dyDescent="0.35">
      <c r="A109" s="132" t="s">
        <v>112</v>
      </c>
      <c r="B109" s="104" t="s">
        <v>252</v>
      </c>
      <c r="C109" s="111"/>
      <c r="D109" s="111"/>
      <c r="E109" s="111"/>
      <c r="F109" s="111"/>
      <c r="G109" s="111"/>
      <c r="H109" s="107"/>
      <c r="I109" s="108"/>
      <c r="J109" s="109"/>
      <c r="K109" s="110"/>
      <c r="L109" s="111"/>
      <c r="M109" s="111"/>
      <c r="N109" s="111"/>
      <c r="O109" s="134"/>
      <c r="P109" s="111"/>
      <c r="Q109" s="207"/>
      <c r="R109" s="136"/>
      <c r="S109" s="113"/>
      <c r="T109" s="195"/>
      <c r="U109" s="198"/>
      <c r="V109" s="198"/>
      <c r="W109" s="198"/>
      <c r="X109" s="198"/>
      <c r="Y109" s="116"/>
      <c r="Z109" s="195"/>
      <c r="AA109" s="202"/>
      <c r="AB109" s="197">
        <f t="shared" si="57"/>
        <v>0</v>
      </c>
      <c r="AC109" s="88"/>
      <c r="AD109" s="116"/>
      <c r="AE109" s="114"/>
    </row>
    <row r="110" spans="1:31" ht="12.95" customHeight="1" x14ac:dyDescent="0.35">
      <c r="A110" s="208" t="s">
        <v>14</v>
      </c>
      <c r="B110" s="104" t="s">
        <v>253</v>
      </c>
      <c r="C110" s="105"/>
      <c r="D110" s="105"/>
      <c r="E110" s="111"/>
      <c r="F110" s="111"/>
      <c r="G110" s="111"/>
      <c r="H110" s="107"/>
      <c r="I110" s="108"/>
      <c r="J110" s="109"/>
      <c r="K110" s="110"/>
      <c r="L110" s="111"/>
      <c r="M110" s="111"/>
      <c r="N110" s="111"/>
      <c r="O110" s="134"/>
      <c r="P110" s="111"/>
      <c r="Q110" s="207"/>
      <c r="R110" s="209"/>
      <c r="S110" s="113"/>
      <c r="T110" s="195"/>
      <c r="U110" s="198"/>
      <c r="V110" s="198"/>
      <c r="W110" s="198"/>
      <c r="X110" s="198"/>
      <c r="Y110" s="116"/>
      <c r="Z110" s="195"/>
      <c r="AA110" s="202"/>
      <c r="AB110" s="197">
        <f t="shared" si="57"/>
        <v>0</v>
      </c>
      <c r="AC110" s="88"/>
      <c r="AD110" s="116"/>
      <c r="AE110" s="114"/>
    </row>
    <row r="111" spans="1:31" s="28" customFormat="1" ht="12.95" customHeight="1" x14ac:dyDescent="0.35">
      <c r="A111" s="210">
        <v>521113</v>
      </c>
      <c r="B111" s="211" t="s">
        <v>113</v>
      </c>
      <c r="C111" s="105"/>
      <c r="D111" s="105"/>
      <c r="E111" s="105"/>
      <c r="F111" s="105"/>
      <c r="G111" s="106"/>
      <c r="H111" s="188"/>
      <c r="I111" s="171"/>
      <c r="J111" s="170"/>
      <c r="K111" s="189"/>
      <c r="L111" s="105"/>
      <c r="M111" s="105"/>
      <c r="N111" s="105"/>
      <c r="O111" s="112"/>
      <c r="P111" s="105"/>
      <c r="Q111" s="212"/>
      <c r="R111" s="213"/>
      <c r="S111" s="113"/>
      <c r="T111" s="190"/>
      <c r="U111" s="191"/>
      <c r="V111" s="191"/>
      <c r="W111" s="191"/>
      <c r="X111" s="191"/>
      <c r="Y111" s="192"/>
      <c r="Z111" s="190"/>
      <c r="AA111" s="214"/>
      <c r="AB111" s="193">
        <f t="shared" si="57"/>
        <v>0</v>
      </c>
      <c r="AC111" s="177"/>
      <c r="AD111" s="192"/>
      <c r="AE111" s="179"/>
    </row>
    <row r="112" spans="1:31" ht="12.95" customHeight="1" x14ac:dyDescent="0.35">
      <c r="A112" s="135"/>
      <c r="B112" s="215" t="s">
        <v>82</v>
      </c>
      <c r="C112" s="216" t="s">
        <v>114</v>
      </c>
      <c r="D112" s="111"/>
      <c r="E112" s="217"/>
      <c r="F112" s="217"/>
      <c r="G112" s="218"/>
      <c r="H112" s="107"/>
      <c r="I112" s="108"/>
      <c r="J112" s="109"/>
      <c r="K112" s="110"/>
      <c r="L112" s="111"/>
      <c r="M112" s="111"/>
      <c r="N112" s="111"/>
      <c r="O112" s="134">
        <v>22</v>
      </c>
      <c r="P112" s="111" t="s">
        <v>115</v>
      </c>
      <c r="Q112" s="207">
        <v>210000</v>
      </c>
      <c r="R112" s="107">
        <f>O112*264000</f>
        <v>5808000</v>
      </c>
      <c r="S112" s="85">
        <f t="shared" ref="S112" si="63">+R112/$R$184*100</f>
        <v>0.25938031862514138</v>
      </c>
      <c r="T112" s="99"/>
      <c r="U112" s="87"/>
      <c r="V112" s="87"/>
      <c r="W112" s="87"/>
      <c r="X112" s="87"/>
      <c r="Y112" s="88">
        <v>0</v>
      </c>
      <c r="Z112" s="99">
        <f t="shared" ref="Z112" si="64">+Y112/R112*100</f>
        <v>0</v>
      </c>
      <c r="AA112" s="100">
        <f t="shared" ref="AA112" si="65">Z112</f>
        <v>0</v>
      </c>
      <c r="AB112" s="99">
        <f t="shared" si="57"/>
        <v>0</v>
      </c>
      <c r="AC112" s="88"/>
      <c r="AD112" s="88">
        <f t="shared" ref="AD112" si="66">+R112-Y112</f>
        <v>5808000</v>
      </c>
      <c r="AE112" s="86"/>
    </row>
    <row r="113" spans="1:31" ht="12.95" customHeight="1" x14ac:dyDescent="0.35">
      <c r="A113" s="135"/>
      <c r="B113" s="215"/>
      <c r="C113" s="216"/>
      <c r="D113" s="111"/>
      <c r="E113" s="217"/>
      <c r="F113" s="217"/>
      <c r="G113" s="218"/>
      <c r="H113" s="107"/>
      <c r="I113" s="108"/>
      <c r="J113" s="109"/>
      <c r="K113" s="110"/>
      <c r="L113" s="111"/>
      <c r="M113" s="111"/>
      <c r="N113" s="111"/>
      <c r="O113" s="134"/>
      <c r="P113" s="111"/>
      <c r="Q113" s="207"/>
      <c r="R113" s="107"/>
      <c r="S113" s="113"/>
      <c r="T113" s="195"/>
      <c r="U113" s="198"/>
      <c r="V113" s="198"/>
      <c r="W113" s="198"/>
      <c r="X113" s="198"/>
      <c r="Y113" s="116"/>
      <c r="Z113" s="195"/>
      <c r="AA113" s="202"/>
      <c r="AB113" s="197"/>
      <c r="AC113" s="116"/>
      <c r="AD113" s="116"/>
      <c r="AE113" s="114"/>
    </row>
    <row r="114" spans="1:31" ht="12.95" customHeight="1" x14ac:dyDescent="0.35">
      <c r="A114" s="103" t="s">
        <v>116</v>
      </c>
      <c r="B114" s="104" t="s">
        <v>254</v>
      </c>
      <c r="C114" s="105"/>
      <c r="D114" s="105"/>
      <c r="E114" s="111"/>
      <c r="F114" s="111"/>
      <c r="G114" s="137"/>
      <c r="H114" s="107"/>
      <c r="I114" s="108"/>
      <c r="J114" s="109"/>
      <c r="K114" s="110"/>
      <c r="L114" s="111"/>
      <c r="M114" s="111"/>
      <c r="N114" s="111"/>
      <c r="O114" s="134"/>
      <c r="P114" s="111"/>
      <c r="Q114" s="207"/>
      <c r="R114" s="170"/>
      <c r="S114" s="113"/>
      <c r="T114" s="195"/>
      <c r="U114" s="198"/>
      <c r="V114" s="198"/>
      <c r="W114" s="198"/>
      <c r="X114" s="198"/>
      <c r="Y114" s="116"/>
      <c r="Z114" s="195"/>
      <c r="AA114" s="202"/>
      <c r="AB114" s="197"/>
      <c r="AC114" s="116"/>
      <c r="AD114" s="116"/>
      <c r="AE114" s="114"/>
    </row>
    <row r="115" spans="1:31" s="28" customFormat="1" ht="12.95" customHeight="1" x14ac:dyDescent="0.35">
      <c r="A115" s="219">
        <v>521119</v>
      </c>
      <c r="B115" s="211" t="s">
        <v>117</v>
      </c>
      <c r="C115" s="105"/>
      <c r="D115" s="105"/>
      <c r="E115" s="105"/>
      <c r="F115" s="105"/>
      <c r="G115" s="106"/>
      <c r="H115" s="188"/>
      <c r="I115" s="171"/>
      <c r="J115" s="170"/>
      <c r="K115" s="189"/>
      <c r="L115" s="105"/>
      <c r="M115" s="105"/>
      <c r="N115" s="105"/>
      <c r="O115" s="112"/>
      <c r="P115" s="105"/>
      <c r="Q115" s="212"/>
      <c r="R115" s="213"/>
      <c r="S115" s="113"/>
      <c r="T115" s="190"/>
      <c r="U115" s="191"/>
      <c r="V115" s="191"/>
      <c r="W115" s="191"/>
      <c r="X115" s="191"/>
      <c r="Y115" s="192"/>
      <c r="Z115" s="190"/>
      <c r="AA115" s="214"/>
      <c r="AB115" s="193"/>
      <c r="AC115" s="192"/>
      <c r="AD115" s="192"/>
      <c r="AE115" s="179"/>
    </row>
    <row r="116" spans="1:31" ht="12.95" customHeight="1" x14ac:dyDescent="0.35">
      <c r="A116" s="135"/>
      <c r="B116" s="215" t="s">
        <v>82</v>
      </c>
      <c r="C116" s="140" t="s">
        <v>118</v>
      </c>
      <c r="D116" s="111"/>
      <c r="E116" s="217"/>
      <c r="F116" s="217"/>
      <c r="G116" s="218"/>
      <c r="H116" s="107"/>
      <c r="I116" s="108"/>
      <c r="J116" s="109"/>
      <c r="K116" s="110"/>
      <c r="L116" s="111"/>
      <c r="M116" s="111"/>
      <c r="N116" s="111"/>
      <c r="O116" s="220">
        <v>22</v>
      </c>
      <c r="P116" s="221" t="s">
        <v>115</v>
      </c>
      <c r="Q116" s="222"/>
      <c r="R116" s="107">
        <f>O116*400000</f>
        <v>8800000</v>
      </c>
      <c r="S116" s="85">
        <f t="shared" ref="S116:S117" si="67">+R116/$R$184*100</f>
        <v>0.39300048276536576</v>
      </c>
      <c r="T116" s="99"/>
      <c r="U116" s="87"/>
      <c r="V116" s="87"/>
      <c r="W116" s="87"/>
      <c r="X116" s="87"/>
      <c r="Y116" s="88">
        <f>18*400000</f>
        <v>7200000</v>
      </c>
      <c r="Z116" s="99">
        <f t="shared" ref="Z116:Z117" si="68">+Y116/R116*100</f>
        <v>81.818181818181827</v>
      </c>
      <c r="AA116" s="100">
        <f t="shared" ref="AA116:AA117" si="69">Z116</f>
        <v>81.818181818181827</v>
      </c>
      <c r="AB116" s="99">
        <f t="shared" ref="AB116:AB117" si="70">AA116*S116/100</f>
        <v>0.32154584953529924</v>
      </c>
      <c r="AC116" s="88"/>
      <c r="AD116" s="88">
        <f t="shared" ref="AD116:AD117" si="71">+R116-Y116</f>
        <v>1600000</v>
      </c>
      <c r="AE116" s="86"/>
    </row>
    <row r="117" spans="1:31" ht="12.95" customHeight="1" x14ac:dyDescent="0.35">
      <c r="A117" s="135"/>
      <c r="B117" s="215" t="s">
        <v>82</v>
      </c>
      <c r="C117" s="111" t="s">
        <v>119</v>
      </c>
      <c r="D117" s="111"/>
      <c r="E117" s="217"/>
      <c r="F117" s="217"/>
      <c r="G117" s="218"/>
      <c r="H117" s="107"/>
      <c r="I117" s="108"/>
      <c r="J117" s="109"/>
      <c r="K117" s="110"/>
      <c r="L117" s="111"/>
      <c r="M117" s="111"/>
      <c r="N117" s="111"/>
      <c r="O117" s="220">
        <v>3</v>
      </c>
      <c r="P117" s="221" t="s">
        <v>115</v>
      </c>
      <c r="Q117" s="222"/>
      <c r="R117" s="107">
        <f>O117*450000</f>
        <v>1350000</v>
      </c>
      <c r="S117" s="85">
        <f t="shared" si="67"/>
        <v>6.0289846787868612E-2</v>
      </c>
      <c r="T117" s="99"/>
      <c r="U117" s="87"/>
      <c r="V117" s="87"/>
      <c r="W117" s="87"/>
      <c r="X117" s="87"/>
      <c r="Y117" s="88">
        <v>1350000</v>
      </c>
      <c r="Z117" s="99">
        <f t="shared" si="68"/>
        <v>100</v>
      </c>
      <c r="AA117" s="100">
        <f t="shared" si="69"/>
        <v>100</v>
      </c>
      <c r="AB117" s="99">
        <f t="shared" si="70"/>
        <v>6.0289846787868612E-2</v>
      </c>
      <c r="AC117" s="88"/>
      <c r="AD117" s="88">
        <f t="shared" si="71"/>
        <v>0</v>
      </c>
      <c r="AE117" s="114"/>
    </row>
    <row r="118" spans="1:31" s="28" customFormat="1" ht="12.95" customHeight="1" x14ac:dyDescent="0.35">
      <c r="A118" s="219"/>
      <c r="B118" s="211"/>
      <c r="C118" s="105"/>
      <c r="D118" s="105"/>
      <c r="E118" s="105"/>
      <c r="F118" s="105"/>
      <c r="G118" s="106"/>
      <c r="H118" s="188"/>
      <c r="I118" s="171"/>
      <c r="J118" s="170"/>
      <c r="K118" s="189"/>
      <c r="L118" s="105"/>
      <c r="M118" s="105"/>
      <c r="N118" s="105"/>
      <c r="O118" s="112"/>
      <c r="P118" s="105"/>
      <c r="Q118" s="212"/>
      <c r="R118" s="213"/>
      <c r="S118" s="113"/>
      <c r="T118" s="190"/>
      <c r="U118" s="191"/>
      <c r="V118" s="191"/>
      <c r="W118" s="191"/>
      <c r="X118" s="191"/>
      <c r="Y118" s="192"/>
      <c r="Z118" s="190"/>
      <c r="AA118" s="214"/>
      <c r="AB118" s="193"/>
      <c r="AC118" s="192"/>
      <c r="AD118" s="192"/>
      <c r="AE118" s="179"/>
    </row>
    <row r="119" spans="1:31" ht="12.95" customHeight="1" x14ac:dyDescent="0.35">
      <c r="A119" s="103" t="s">
        <v>120</v>
      </c>
      <c r="B119" s="104" t="s">
        <v>255</v>
      </c>
      <c r="C119" s="105"/>
      <c r="D119" s="105"/>
      <c r="E119" s="105"/>
      <c r="F119" s="105"/>
      <c r="G119" s="106"/>
      <c r="H119" s="107"/>
      <c r="I119" s="108"/>
      <c r="J119" s="109"/>
      <c r="K119" s="110"/>
      <c r="L119" s="111"/>
      <c r="M119" s="111"/>
      <c r="N119" s="111"/>
      <c r="O119" s="134"/>
      <c r="P119" s="111"/>
      <c r="Q119" s="207"/>
      <c r="R119" s="170"/>
      <c r="S119" s="113"/>
      <c r="T119" s="195"/>
      <c r="U119" s="198"/>
      <c r="V119" s="198"/>
      <c r="W119" s="198"/>
      <c r="X119" s="198"/>
      <c r="Y119" s="116"/>
      <c r="Z119" s="195"/>
      <c r="AA119" s="202"/>
      <c r="AB119" s="197"/>
      <c r="AC119" s="116"/>
      <c r="AD119" s="116"/>
      <c r="AE119" s="114"/>
    </row>
    <row r="120" spans="1:31" s="28" customFormat="1" ht="12.95" customHeight="1" x14ac:dyDescent="0.35">
      <c r="A120" s="210">
        <v>523111</v>
      </c>
      <c r="B120" s="211" t="s">
        <v>121</v>
      </c>
      <c r="C120" s="105"/>
      <c r="D120" s="105"/>
      <c r="E120" s="105"/>
      <c r="F120" s="105"/>
      <c r="G120" s="106"/>
      <c r="H120" s="188"/>
      <c r="I120" s="171"/>
      <c r="J120" s="170"/>
      <c r="K120" s="189"/>
      <c r="L120" s="105"/>
      <c r="M120" s="105"/>
      <c r="N120" s="105"/>
      <c r="O120" s="112"/>
      <c r="P120" s="105"/>
      <c r="Q120" s="212"/>
      <c r="R120" s="170"/>
      <c r="S120" s="113"/>
      <c r="T120" s="190"/>
      <c r="U120" s="191"/>
      <c r="V120" s="191"/>
      <c r="W120" s="191"/>
      <c r="X120" s="191"/>
      <c r="Y120" s="192"/>
      <c r="Z120" s="190"/>
      <c r="AA120" s="214"/>
      <c r="AB120" s="193"/>
      <c r="AC120" s="192"/>
      <c r="AD120" s="192"/>
      <c r="AE120" s="179"/>
    </row>
    <row r="121" spans="1:31" ht="12.95" customHeight="1" x14ac:dyDescent="0.35">
      <c r="A121" s="135"/>
      <c r="B121" s="223" t="s">
        <v>82</v>
      </c>
      <c r="C121" s="111" t="s">
        <v>122</v>
      </c>
      <c r="D121" s="111"/>
      <c r="E121" s="111"/>
      <c r="F121" s="111"/>
      <c r="G121" s="137"/>
      <c r="H121" s="107"/>
      <c r="I121" s="108"/>
      <c r="J121" s="109"/>
      <c r="K121" s="110"/>
      <c r="L121" s="111"/>
      <c r="M121" s="111"/>
      <c r="N121" s="111"/>
      <c r="O121" s="107">
        <v>229</v>
      </c>
      <c r="P121" s="108" t="s">
        <v>105</v>
      </c>
      <c r="Q121" s="207"/>
      <c r="R121" s="107">
        <f>O121*119000</f>
        <v>27251000</v>
      </c>
      <c r="S121" s="85">
        <f t="shared" ref="S121:S122" si="72">+R121/$R$184*100</f>
        <v>1.2170063813453389</v>
      </c>
      <c r="T121" s="99"/>
      <c r="U121" s="87"/>
      <c r="V121" s="87"/>
      <c r="W121" s="87"/>
      <c r="X121" s="87"/>
      <c r="Y121" s="88">
        <v>0</v>
      </c>
      <c r="Z121" s="99">
        <f t="shared" ref="Z121:Z122" si="73">+Y121/R121*100</f>
        <v>0</v>
      </c>
      <c r="AA121" s="100">
        <f t="shared" ref="AA121:AA122" si="74">Z121</f>
        <v>0</v>
      </c>
      <c r="AB121" s="99">
        <f t="shared" ref="AB121:AB122" si="75">AA121*S121/100</f>
        <v>0</v>
      </c>
      <c r="AC121" s="88"/>
      <c r="AD121" s="88">
        <f t="shared" ref="AD121:AD122" si="76">+R121-Y121</f>
        <v>27251000</v>
      </c>
      <c r="AE121" s="86"/>
    </row>
    <row r="122" spans="1:31" ht="12.95" customHeight="1" x14ac:dyDescent="0.35">
      <c r="A122" s="135"/>
      <c r="B122" s="223" t="s">
        <v>82</v>
      </c>
      <c r="C122" s="140" t="s">
        <v>123</v>
      </c>
      <c r="D122" s="111"/>
      <c r="E122" s="111"/>
      <c r="F122" s="111"/>
      <c r="G122" s="137"/>
      <c r="H122" s="107"/>
      <c r="I122" s="108"/>
      <c r="J122" s="109"/>
      <c r="K122" s="110"/>
      <c r="L122" s="111"/>
      <c r="M122" s="111"/>
      <c r="N122" s="111"/>
      <c r="O122" s="107">
        <v>680</v>
      </c>
      <c r="P122" s="108" t="s">
        <v>105</v>
      </c>
      <c r="Q122" s="207"/>
      <c r="R122" s="107">
        <f>O122*13000</f>
        <v>8840000</v>
      </c>
      <c r="S122" s="85">
        <f t="shared" si="72"/>
        <v>0.39478684859611746</v>
      </c>
      <c r="T122" s="99"/>
      <c r="U122" s="87"/>
      <c r="V122" s="87"/>
      <c r="W122" s="87"/>
      <c r="X122" s="87"/>
      <c r="Y122" s="88">
        <v>0</v>
      </c>
      <c r="Z122" s="99">
        <f t="shared" si="73"/>
        <v>0</v>
      </c>
      <c r="AA122" s="100">
        <f t="shared" si="74"/>
        <v>0</v>
      </c>
      <c r="AB122" s="99">
        <f t="shared" si="75"/>
        <v>0</v>
      </c>
      <c r="AC122" s="88"/>
      <c r="AD122" s="88">
        <f t="shared" si="76"/>
        <v>8840000</v>
      </c>
      <c r="AE122" s="114"/>
    </row>
    <row r="123" spans="1:31" ht="12.95" customHeight="1" x14ac:dyDescent="0.35">
      <c r="A123" s="135"/>
      <c r="B123" s="223"/>
      <c r="C123" s="111"/>
      <c r="D123" s="111"/>
      <c r="E123" s="111"/>
      <c r="F123" s="111"/>
      <c r="G123" s="137"/>
      <c r="H123" s="107"/>
      <c r="I123" s="108"/>
      <c r="J123" s="109"/>
      <c r="K123" s="110"/>
      <c r="L123" s="111"/>
      <c r="M123" s="111"/>
      <c r="N123" s="111"/>
      <c r="O123" s="134"/>
      <c r="P123" s="111"/>
      <c r="Q123" s="207"/>
      <c r="R123" s="107"/>
      <c r="S123" s="113"/>
      <c r="T123" s="195"/>
      <c r="U123" s="198"/>
      <c r="V123" s="198"/>
      <c r="W123" s="198"/>
      <c r="X123" s="198"/>
      <c r="Y123" s="116"/>
      <c r="Z123" s="195"/>
      <c r="AA123" s="202"/>
      <c r="AB123" s="197"/>
      <c r="AC123" s="116"/>
      <c r="AD123" s="116"/>
      <c r="AE123" s="114"/>
    </row>
    <row r="124" spans="1:31" ht="12.95" customHeight="1" x14ac:dyDescent="0.35">
      <c r="A124" s="103" t="s">
        <v>124</v>
      </c>
      <c r="B124" s="104" t="s">
        <v>256</v>
      </c>
      <c r="C124" s="105"/>
      <c r="D124" s="105"/>
      <c r="E124" s="105"/>
      <c r="F124" s="105"/>
      <c r="G124" s="106"/>
      <c r="H124" s="107"/>
      <c r="I124" s="108"/>
      <c r="J124" s="109"/>
      <c r="K124" s="110"/>
      <c r="L124" s="111"/>
      <c r="M124" s="111"/>
      <c r="N124" s="111"/>
      <c r="O124" s="134"/>
      <c r="P124" s="111"/>
      <c r="Q124" s="207"/>
      <c r="R124" s="170"/>
      <c r="S124" s="113"/>
      <c r="T124" s="195"/>
      <c r="U124" s="198"/>
      <c r="V124" s="198"/>
      <c r="W124" s="198"/>
      <c r="X124" s="198"/>
      <c r="Y124" s="116"/>
      <c r="Z124" s="195"/>
      <c r="AA124" s="202"/>
      <c r="AB124" s="197"/>
      <c r="AC124" s="116"/>
      <c r="AD124" s="116"/>
      <c r="AE124" s="114"/>
    </row>
    <row r="125" spans="1:31" s="28" customFormat="1" ht="12.95" customHeight="1" x14ac:dyDescent="0.35">
      <c r="A125" s="210">
        <v>523121</v>
      </c>
      <c r="B125" s="211" t="s">
        <v>125</v>
      </c>
      <c r="C125" s="105"/>
      <c r="D125" s="105"/>
      <c r="E125" s="105"/>
      <c r="F125" s="105"/>
      <c r="G125" s="106"/>
      <c r="H125" s="188"/>
      <c r="I125" s="171"/>
      <c r="J125" s="170"/>
      <c r="K125" s="189"/>
      <c r="L125" s="105"/>
      <c r="M125" s="105"/>
      <c r="N125" s="105"/>
      <c r="O125" s="112"/>
      <c r="P125" s="105"/>
      <c r="Q125" s="212"/>
      <c r="R125" s="170"/>
      <c r="S125" s="113"/>
      <c r="T125" s="190"/>
      <c r="U125" s="191"/>
      <c r="V125" s="191"/>
      <c r="W125" s="191"/>
      <c r="X125" s="191"/>
      <c r="Y125" s="192"/>
      <c r="Z125" s="190"/>
      <c r="AA125" s="214"/>
      <c r="AB125" s="193"/>
      <c r="AC125" s="192"/>
      <c r="AD125" s="192"/>
      <c r="AE125" s="179"/>
    </row>
    <row r="126" spans="1:31" ht="12.95" customHeight="1" x14ac:dyDescent="0.35">
      <c r="A126" s="135"/>
      <c r="B126" s="215" t="s">
        <v>82</v>
      </c>
      <c r="C126" s="111" t="s">
        <v>126</v>
      </c>
      <c r="D126" s="111"/>
      <c r="E126" s="111"/>
      <c r="F126" s="111"/>
      <c r="G126" s="137"/>
      <c r="H126" s="107"/>
      <c r="I126" s="108"/>
      <c r="J126" s="109"/>
      <c r="K126" s="110"/>
      <c r="L126" s="111"/>
      <c r="M126" s="111"/>
      <c r="N126" s="111"/>
      <c r="O126" s="134">
        <v>8</v>
      </c>
      <c r="P126" s="111" t="s">
        <v>127</v>
      </c>
      <c r="Q126" s="207"/>
      <c r="R126" s="107">
        <f>O126*420000</f>
        <v>3360000</v>
      </c>
      <c r="S126" s="85">
        <f t="shared" ref="S126:S137" si="77">+R126/$R$184*100</f>
        <v>0.15005472978313966</v>
      </c>
      <c r="T126" s="99"/>
      <c r="U126" s="87"/>
      <c r="V126" s="87"/>
      <c r="W126" s="87"/>
      <c r="X126" s="87"/>
      <c r="Y126" s="88">
        <f>303000+800000</f>
        <v>1103000</v>
      </c>
      <c r="Z126" s="99">
        <f t="shared" ref="Z126:Z137" si="78">+Y126/R126*100</f>
        <v>32.827380952380949</v>
      </c>
      <c r="AA126" s="100">
        <f t="shared" ref="AA126:AA135" si="79">Z126</f>
        <v>32.827380952380949</v>
      </c>
      <c r="AB126" s="99">
        <f t="shared" ref="AB126:AB137" si="80">AA126*S126/100</f>
        <v>4.9259037782977091E-2</v>
      </c>
      <c r="AC126" s="88"/>
      <c r="AD126" s="88">
        <f t="shared" ref="AD126:AD137" si="81">+R126-Y126</f>
        <v>2257000</v>
      </c>
      <c r="AE126" s="86"/>
    </row>
    <row r="127" spans="1:31" ht="12.95" customHeight="1" x14ac:dyDescent="0.35">
      <c r="A127" s="135"/>
      <c r="B127" s="215" t="s">
        <v>82</v>
      </c>
      <c r="C127" s="111" t="s">
        <v>128</v>
      </c>
      <c r="D127" s="111"/>
      <c r="E127" s="111"/>
      <c r="F127" s="111"/>
      <c r="G127" s="137"/>
      <c r="H127" s="107"/>
      <c r="I127" s="108"/>
      <c r="J127" s="109"/>
      <c r="K127" s="110"/>
      <c r="L127" s="111"/>
      <c r="M127" s="111"/>
      <c r="N127" s="111"/>
      <c r="O127" s="134">
        <v>3</v>
      </c>
      <c r="P127" s="111" t="s">
        <v>127</v>
      </c>
      <c r="Q127" s="207"/>
      <c r="R127" s="107">
        <f>O127*500000</f>
        <v>1500000</v>
      </c>
      <c r="S127" s="85">
        <f t="shared" si="77"/>
        <v>6.6988718653187354E-2</v>
      </c>
      <c r="T127" s="99"/>
      <c r="U127" s="87"/>
      <c r="V127" s="87"/>
      <c r="W127" s="87"/>
      <c r="X127" s="87"/>
      <c r="Y127" s="88">
        <v>0</v>
      </c>
      <c r="Z127" s="99">
        <f t="shared" si="78"/>
        <v>0</v>
      </c>
      <c r="AA127" s="100">
        <f t="shared" si="79"/>
        <v>0</v>
      </c>
      <c r="AB127" s="99">
        <f t="shared" si="80"/>
        <v>0</v>
      </c>
      <c r="AC127" s="88"/>
      <c r="AD127" s="88">
        <f t="shared" si="81"/>
        <v>1500000</v>
      </c>
      <c r="AE127" s="114"/>
    </row>
    <row r="128" spans="1:31" ht="12.95" customHeight="1" x14ac:dyDescent="0.35">
      <c r="A128" s="135"/>
      <c r="B128" s="215" t="s">
        <v>82</v>
      </c>
      <c r="C128" s="111" t="s">
        <v>129</v>
      </c>
      <c r="D128" s="111"/>
      <c r="E128" s="111"/>
      <c r="F128" s="111"/>
      <c r="G128" s="137"/>
      <c r="H128" s="107"/>
      <c r="I128" s="108"/>
      <c r="J128" s="109"/>
      <c r="K128" s="110"/>
      <c r="L128" s="111"/>
      <c r="M128" s="111"/>
      <c r="N128" s="111"/>
      <c r="O128" s="134">
        <v>12</v>
      </c>
      <c r="P128" s="111" t="s">
        <v>127</v>
      </c>
      <c r="Q128" s="207"/>
      <c r="R128" s="107">
        <f>O128*550000</f>
        <v>6600000</v>
      </c>
      <c r="S128" s="85">
        <f t="shared" si="77"/>
        <v>0.29475036207402433</v>
      </c>
      <c r="T128" s="99"/>
      <c r="U128" s="87"/>
      <c r="V128" s="87"/>
      <c r="W128" s="87"/>
      <c r="X128" s="87"/>
      <c r="Y128" s="88">
        <v>0</v>
      </c>
      <c r="Z128" s="99">
        <f t="shared" si="78"/>
        <v>0</v>
      </c>
      <c r="AA128" s="100">
        <f t="shared" si="79"/>
        <v>0</v>
      </c>
      <c r="AB128" s="99">
        <f t="shared" si="80"/>
        <v>0</v>
      </c>
      <c r="AC128" s="88"/>
      <c r="AD128" s="88">
        <f t="shared" si="81"/>
        <v>6600000</v>
      </c>
      <c r="AE128" s="114"/>
    </row>
    <row r="129" spans="1:31" ht="12.95" customHeight="1" x14ac:dyDescent="0.35">
      <c r="A129" s="135"/>
      <c r="B129" s="215" t="s">
        <v>82</v>
      </c>
      <c r="C129" s="111" t="s">
        <v>130</v>
      </c>
      <c r="D129" s="111"/>
      <c r="E129" s="111"/>
      <c r="F129" s="111"/>
      <c r="G129" s="137"/>
      <c r="H129" s="107"/>
      <c r="I129" s="108"/>
      <c r="J129" s="109"/>
      <c r="K129" s="110"/>
      <c r="L129" s="111"/>
      <c r="M129" s="111"/>
      <c r="N129" s="111"/>
      <c r="O129" s="134">
        <v>1</v>
      </c>
      <c r="P129" s="111" t="s">
        <v>127</v>
      </c>
      <c r="Q129" s="207"/>
      <c r="R129" s="107">
        <f>O129*500000</f>
        <v>500000</v>
      </c>
      <c r="S129" s="85">
        <f t="shared" si="77"/>
        <v>2.2329572884395781E-2</v>
      </c>
      <c r="T129" s="99"/>
      <c r="U129" s="87"/>
      <c r="V129" s="87"/>
      <c r="W129" s="87"/>
      <c r="X129" s="87"/>
      <c r="Y129" s="88">
        <v>0</v>
      </c>
      <c r="Z129" s="99">
        <f t="shared" si="78"/>
        <v>0</v>
      </c>
      <c r="AA129" s="100">
        <f t="shared" si="79"/>
        <v>0</v>
      </c>
      <c r="AB129" s="99">
        <f t="shared" si="80"/>
        <v>0</v>
      </c>
      <c r="AC129" s="88"/>
      <c r="AD129" s="88">
        <f t="shared" si="81"/>
        <v>500000</v>
      </c>
      <c r="AE129" s="114"/>
    </row>
    <row r="130" spans="1:31" ht="12.95" customHeight="1" x14ac:dyDescent="0.35">
      <c r="A130" s="135"/>
      <c r="B130" s="215" t="s">
        <v>82</v>
      </c>
      <c r="C130" s="111" t="s">
        <v>131</v>
      </c>
      <c r="D130" s="111"/>
      <c r="E130" s="111"/>
      <c r="F130" s="111"/>
      <c r="G130" s="137"/>
      <c r="H130" s="107"/>
      <c r="I130" s="108"/>
      <c r="J130" s="109"/>
      <c r="K130" s="110"/>
      <c r="L130" s="111"/>
      <c r="M130" s="111"/>
      <c r="N130" s="111"/>
      <c r="O130" s="134">
        <v>2</v>
      </c>
      <c r="P130" s="111" t="s">
        <v>127</v>
      </c>
      <c r="Q130" s="207"/>
      <c r="R130" s="107">
        <f>O130*800000</f>
        <v>1600000</v>
      </c>
      <c r="S130" s="85">
        <f t="shared" si="77"/>
        <v>7.1454633230066497E-2</v>
      </c>
      <c r="T130" s="99"/>
      <c r="U130" s="87"/>
      <c r="V130" s="87"/>
      <c r="W130" s="87"/>
      <c r="X130" s="87"/>
      <c r="Y130" s="88">
        <v>0</v>
      </c>
      <c r="Z130" s="99">
        <f t="shared" si="78"/>
        <v>0</v>
      </c>
      <c r="AA130" s="100">
        <f t="shared" si="79"/>
        <v>0</v>
      </c>
      <c r="AB130" s="99">
        <f t="shared" si="80"/>
        <v>0</v>
      </c>
      <c r="AC130" s="88"/>
      <c r="AD130" s="88">
        <f t="shared" si="81"/>
        <v>1600000</v>
      </c>
      <c r="AE130" s="114"/>
    </row>
    <row r="131" spans="1:31" ht="12.95" customHeight="1" x14ac:dyDescent="0.35">
      <c r="A131" s="135"/>
      <c r="B131" s="215" t="s">
        <v>82</v>
      </c>
      <c r="C131" s="111" t="s">
        <v>132</v>
      </c>
      <c r="D131" s="111"/>
      <c r="E131" s="111"/>
      <c r="F131" s="111"/>
      <c r="G131" s="137"/>
      <c r="H131" s="107"/>
      <c r="I131" s="108"/>
      <c r="J131" s="109"/>
      <c r="K131" s="110"/>
      <c r="L131" s="111"/>
      <c r="M131" s="111"/>
      <c r="N131" s="111"/>
      <c r="O131" s="134">
        <v>2</v>
      </c>
      <c r="P131" s="111" t="s">
        <v>127</v>
      </c>
      <c r="Q131" s="207"/>
      <c r="R131" s="107">
        <f>O131*5346000</f>
        <v>10692000</v>
      </c>
      <c r="S131" s="85">
        <f t="shared" si="77"/>
        <v>0.47749558655991942</v>
      </c>
      <c r="T131" s="99"/>
      <c r="U131" s="87"/>
      <c r="V131" s="87"/>
      <c r="W131" s="87"/>
      <c r="X131" s="87"/>
      <c r="Y131" s="88">
        <f>875000+1290000</f>
        <v>2165000</v>
      </c>
      <c r="Z131" s="99">
        <f t="shared" si="78"/>
        <v>20.248784137673027</v>
      </c>
      <c r="AA131" s="100">
        <f t="shared" si="79"/>
        <v>20.248784137673027</v>
      </c>
      <c r="AB131" s="99">
        <f t="shared" si="80"/>
        <v>9.6687050589433735E-2</v>
      </c>
      <c r="AC131" s="88"/>
      <c r="AD131" s="88">
        <f t="shared" si="81"/>
        <v>8527000</v>
      </c>
      <c r="AE131" s="114"/>
    </row>
    <row r="132" spans="1:31" ht="12.95" customHeight="1" x14ac:dyDescent="0.35">
      <c r="A132" s="135"/>
      <c r="B132" s="223" t="s">
        <v>82</v>
      </c>
      <c r="C132" s="111" t="s">
        <v>133</v>
      </c>
      <c r="D132" s="111"/>
      <c r="E132" s="111"/>
      <c r="F132" s="111"/>
      <c r="G132" s="137"/>
      <c r="H132" s="107"/>
      <c r="I132" s="108"/>
      <c r="J132" s="109"/>
      <c r="K132" s="110"/>
      <c r="L132" s="111"/>
      <c r="M132" s="111"/>
      <c r="N132" s="111"/>
      <c r="O132" s="134">
        <v>6</v>
      </c>
      <c r="P132" s="111" t="s">
        <v>127</v>
      </c>
      <c r="Q132" s="207"/>
      <c r="R132" s="107">
        <f>O132*500000</f>
        <v>3000000</v>
      </c>
      <c r="S132" s="85">
        <f t="shared" si="77"/>
        <v>0.13397743730637471</v>
      </c>
      <c r="T132" s="99"/>
      <c r="U132" s="87"/>
      <c r="V132" s="87"/>
      <c r="W132" s="87"/>
      <c r="X132" s="87"/>
      <c r="Y132" s="88">
        <v>0</v>
      </c>
      <c r="Z132" s="99">
        <f t="shared" si="78"/>
        <v>0</v>
      </c>
      <c r="AA132" s="100">
        <f t="shared" si="79"/>
        <v>0</v>
      </c>
      <c r="AB132" s="99">
        <f t="shared" si="80"/>
        <v>0</v>
      </c>
      <c r="AC132" s="88"/>
      <c r="AD132" s="88">
        <f t="shared" si="81"/>
        <v>3000000</v>
      </c>
      <c r="AE132" s="114"/>
    </row>
    <row r="133" spans="1:31" ht="12.95" customHeight="1" x14ac:dyDescent="0.35">
      <c r="A133" s="135"/>
      <c r="B133" s="215" t="s">
        <v>82</v>
      </c>
      <c r="C133" s="111" t="s">
        <v>134</v>
      </c>
      <c r="D133" s="111"/>
      <c r="E133" s="111"/>
      <c r="F133" s="111"/>
      <c r="G133" s="137"/>
      <c r="H133" s="107"/>
      <c r="I133" s="108"/>
      <c r="J133" s="109"/>
      <c r="K133" s="110"/>
      <c r="L133" s="111"/>
      <c r="M133" s="111"/>
      <c r="N133" s="111"/>
      <c r="O133" s="134">
        <v>1</v>
      </c>
      <c r="P133" s="111" t="s">
        <v>127</v>
      </c>
      <c r="Q133" s="207"/>
      <c r="R133" s="107">
        <f>O133*1200000</f>
        <v>1200000</v>
      </c>
      <c r="S133" s="85">
        <f t="shared" si="77"/>
        <v>5.3590974922549883E-2</v>
      </c>
      <c r="T133" s="99"/>
      <c r="U133" s="87"/>
      <c r="V133" s="87"/>
      <c r="W133" s="87"/>
      <c r="X133" s="87"/>
      <c r="Y133" s="88">
        <v>0</v>
      </c>
      <c r="Z133" s="99">
        <f t="shared" si="78"/>
        <v>0</v>
      </c>
      <c r="AA133" s="100">
        <f t="shared" si="79"/>
        <v>0</v>
      </c>
      <c r="AB133" s="99">
        <f t="shared" si="80"/>
        <v>0</v>
      </c>
      <c r="AC133" s="88"/>
      <c r="AD133" s="88">
        <f t="shared" si="81"/>
        <v>1200000</v>
      </c>
      <c r="AE133" s="114"/>
    </row>
    <row r="134" spans="1:31" ht="12.95" customHeight="1" x14ac:dyDescent="0.35">
      <c r="A134" s="135"/>
      <c r="B134" s="215" t="s">
        <v>82</v>
      </c>
      <c r="C134" s="111" t="s">
        <v>135</v>
      </c>
      <c r="D134" s="111"/>
      <c r="E134" s="111"/>
      <c r="F134" s="111"/>
      <c r="G134" s="137"/>
      <c r="H134" s="107"/>
      <c r="I134" s="108"/>
      <c r="J134" s="109"/>
      <c r="K134" s="110"/>
      <c r="L134" s="111"/>
      <c r="M134" s="111"/>
      <c r="N134" s="111"/>
      <c r="O134" s="134">
        <v>4</v>
      </c>
      <c r="P134" s="111" t="s">
        <v>127</v>
      </c>
      <c r="Q134" s="207"/>
      <c r="R134" s="107">
        <f>O134*475000</f>
        <v>1900000</v>
      </c>
      <c r="S134" s="85">
        <f t="shared" si="77"/>
        <v>8.4852376960703968E-2</v>
      </c>
      <c r="T134" s="99"/>
      <c r="U134" s="87"/>
      <c r="V134" s="87"/>
      <c r="W134" s="87"/>
      <c r="X134" s="87"/>
      <c r="Y134" s="88">
        <v>0</v>
      </c>
      <c r="Z134" s="99">
        <f t="shared" si="78"/>
        <v>0</v>
      </c>
      <c r="AA134" s="100">
        <f t="shared" si="79"/>
        <v>0</v>
      </c>
      <c r="AB134" s="99">
        <f t="shared" si="80"/>
        <v>0</v>
      </c>
      <c r="AC134" s="88"/>
      <c r="AD134" s="88">
        <f t="shared" si="81"/>
        <v>1900000</v>
      </c>
      <c r="AE134" s="114"/>
    </row>
    <row r="135" spans="1:31" ht="12.95" customHeight="1" x14ac:dyDescent="0.35">
      <c r="A135" s="135"/>
      <c r="B135" s="223" t="s">
        <v>82</v>
      </c>
      <c r="C135" s="111" t="s">
        <v>136</v>
      </c>
      <c r="D135" s="111"/>
      <c r="E135" s="111"/>
      <c r="F135" s="111"/>
      <c r="G135" s="137"/>
      <c r="H135" s="107"/>
      <c r="I135" s="108"/>
      <c r="J135" s="109"/>
      <c r="K135" s="110"/>
      <c r="L135" s="111"/>
      <c r="M135" s="111"/>
      <c r="N135" s="111"/>
      <c r="O135" s="134">
        <v>1</v>
      </c>
      <c r="P135" s="111" t="s">
        <v>127</v>
      </c>
      <c r="Q135" s="207"/>
      <c r="R135" s="107">
        <f>O135*5000000</f>
        <v>5000000</v>
      </c>
      <c r="S135" s="85">
        <f t="shared" si="77"/>
        <v>0.22329572884395779</v>
      </c>
      <c r="T135" s="99"/>
      <c r="U135" s="87"/>
      <c r="V135" s="87"/>
      <c r="W135" s="87"/>
      <c r="X135" s="87"/>
      <c r="Y135" s="88">
        <v>0</v>
      </c>
      <c r="Z135" s="99">
        <f t="shared" si="78"/>
        <v>0</v>
      </c>
      <c r="AA135" s="100">
        <f t="shared" si="79"/>
        <v>0</v>
      </c>
      <c r="AB135" s="99">
        <f t="shared" si="80"/>
        <v>0</v>
      </c>
      <c r="AC135" s="88"/>
      <c r="AD135" s="88">
        <f t="shared" si="81"/>
        <v>5000000</v>
      </c>
      <c r="AE135" s="114"/>
    </row>
    <row r="136" spans="1:31" ht="12.95" customHeight="1" x14ac:dyDescent="0.35">
      <c r="A136" s="135"/>
      <c r="B136" s="223" t="s">
        <v>82</v>
      </c>
      <c r="C136" s="111" t="s">
        <v>137</v>
      </c>
      <c r="D136" s="111"/>
      <c r="E136" s="111"/>
      <c r="F136" s="111"/>
      <c r="G136" s="137"/>
      <c r="H136" s="107"/>
      <c r="I136" s="108"/>
      <c r="J136" s="109"/>
      <c r="K136" s="110"/>
      <c r="L136" s="111"/>
      <c r="M136" s="111"/>
      <c r="N136" s="111"/>
      <c r="O136" s="134">
        <v>1</v>
      </c>
      <c r="P136" s="111" t="s">
        <v>127</v>
      </c>
      <c r="Q136" s="207"/>
      <c r="R136" s="107">
        <f>O136*23000000</f>
        <v>23000000</v>
      </c>
      <c r="S136" s="85">
        <f t="shared" si="77"/>
        <v>1.027160352682206</v>
      </c>
      <c r="T136" s="99"/>
      <c r="U136" s="87"/>
      <c r="V136" s="87"/>
      <c r="W136" s="87"/>
      <c r="X136" s="87"/>
      <c r="Y136" s="88">
        <f>1600000*6+927000</f>
        <v>10527000</v>
      </c>
      <c r="Z136" s="99">
        <f t="shared" si="78"/>
        <v>45.769565217391303</v>
      </c>
      <c r="AA136" s="100">
        <f t="shared" ref="AA136:AA137" si="82">1/14*Z136</f>
        <v>3.2692546583850928</v>
      </c>
      <c r="AB136" s="99">
        <f t="shared" si="80"/>
        <v>3.3580487679147765E-2</v>
      </c>
      <c r="AC136" s="88"/>
      <c r="AD136" s="88">
        <f t="shared" si="81"/>
        <v>12473000</v>
      </c>
      <c r="AE136" s="114"/>
    </row>
    <row r="137" spans="1:31" ht="12.95" customHeight="1" x14ac:dyDescent="0.35">
      <c r="A137" s="135"/>
      <c r="B137" s="223" t="s">
        <v>82</v>
      </c>
      <c r="C137" s="111" t="s">
        <v>138</v>
      </c>
      <c r="D137" s="111"/>
      <c r="E137" s="111"/>
      <c r="F137" s="111"/>
      <c r="G137" s="137"/>
      <c r="H137" s="107"/>
      <c r="I137" s="108"/>
      <c r="J137" s="109"/>
      <c r="K137" s="110"/>
      <c r="L137" s="111"/>
      <c r="M137" s="111"/>
      <c r="N137" s="111"/>
      <c r="O137" s="134">
        <v>5</v>
      </c>
      <c r="P137" s="111" t="s">
        <v>127</v>
      </c>
      <c r="Q137" s="207"/>
      <c r="R137" s="107">
        <f>O137*3430000</f>
        <v>17150000</v>
      </c>
      <c r="S137" s="85">
        <f t="shared" si="77"/>
        <v>0.7659043499347753</v>
      </c>
      <c r="T137" s="99"/>
      <c r="U137" s="87"/>
      <c r="V137" s="87"/>
      <c r="W137" s="87"/>
      <c r="X137" s="87"/>
      <c r="Y137" s="88">
        <f>800000+800000+550000+261000+800000+260000+220000+607000+800000+133280+228500+800000</f>
        <v>6259780</v>
      </c>
      <c r="Z137" s="99">
        <f t="shared" si="78"/>
        <v>36.500174927113704</v>
      </c>
      <c r="AA137" s="100">
        <f t="shared" si="82"/>
        <v>2.6071553519366932</v>
      </c>
      <c r="AB137" s="99">
        <f t="shared" si="80"/>
        <v>1.9968316250040433E-2</v>
      </c>
      <c r="AC137" s="88"/>
      <c r="AD137" s="88">
        <f t="shared" si="81"/>
        <v>10890220</v>
      </c>
      <c r="AE137" s="114"/>
    </row>
    <row r="138" spans="1:31" ht="12.95" customHeight="1" x14ac:dyDescent="0.35">
      <c r="A138" s="135"/>
      <c r="B138" s="223"/>
      <c r="C138" s="111"/>
      <c r="D138" s="111"/>
      <c r="E138" s="111"/>
      <c r="F138" s="111"/>
      <c r="G138" s="137"/>
      <c r="H138" s="107"/>
      <c r="I138" s="108"/>
      <c r="J138" s="109"/>
      <c r="K138" s="110"/>
      <c r="L138" s="111"/>
      <c r="M138" s="111"/>
      <c r="N138" s="111"/>
      <c r="O138" s="134"/>
      <c r="P138" s="111"/>
      <c r="Q138" s="207"/>
      <c r="R138" s="203"/>
      <c r="S138" s="113"/>
      <c r="T138" s="195"/>
      <c r="U138" s="198"/>
      <c r="V138" s="198"/>
      <c r="W138" s="198"/>
      <c r="X138" s="198"/>
      <c r="Y138" s="116"/>
      <c r="Z138" s="195"/>
      <c r="AA138" s="202"/>
      <c r="AB138" s="197"/>
      <c r="AC138" s="116"/>
      <c r="AD138" s="116"/>
      <c r="AE138" s="114"/>
    </row>
    <row r="139" spans="1:31" ht="12.95" customHeight="1" x14ac:dyDescent="0.35">
      <c r="A139" s="103" t="s">
        <v>139</v>
      </c>
      <c r="B139" s="508" t="s">
        <v>257</v>
      </c>
      <c r="C139" s="509"/>
      <c r="D139" s="509"/>
      <c r="E139" s="509"/>
      <c r="F139" s="509"/>
      <c r="G139" s="510"/>
      <c r="H139" s="107"/>
      <c r="I139" s="108"/>
      <c r="J139" s="109"/>
      <c r="K139" s="110"/>
      <c r="L139" s="111"/>
      <c r="M139" s="111"/>
      <c r="N139" s="111"/>
      <c r="O139" s="112"/>
      <c r="P139" s="105"/>
      <c r="Q139" s="212"/>
      <c r="R139" s="213"/>
      <c r="S139" s="113"/>
      <c r="T139" s="195"/>
      <c r="U139" s="198"/>
      <c r="V139" s="198"/>
      <c r="W139" s="198"/>
      <c r="X139" s="198"/>
      <c r="Y139" s="116"/>
      <c r="Z139" s="195"/>
      <c r="AA139" s="202"/>
      <c r="AB139" s="197"/>
      <c r="AC139" s="116"/>
      <c r="AD139" s="116"/>
      <c r="AE139" s="114"/>
    </row>
    <row r="140" spans="1:31" s="28" customFormat="1" ht="12.95" customHeight="1" x14ac:dyDescent="0.35">
      <c r="A140" s="355">
        <v>522111</v>
      </c>
      <c r="B140" s="356" t="s">
        <v>258</v>
      </c>
      <c r="C140" s="357"/>
      <c r="D140" s="357"/>
      <c r="E140" s="357"/>
      <c r="F140" s="357"/>
      <c r="G140" s="358"/>
      <c r="H140" s="359"/>
      <c r="I140" s="360"/>
      <c r="J140" s="361"/>
      <c r="K140" s="362"/>
      <c r="L140" s="357"/>
      <c r="M140" s="357"/>
      <c r="N140" s="357"/>
      <c r="O140" s="363"/>
      <c r="P140" s="357"/>
      <c r="Q140" s="364"/>
      <c r="R140" s="361"/>
      <c r="S140" s="365"/>
      <c r="T140" s="366"/>
      <c r="U140" s="367"/>
      <c r="V140" s="367"/>
      <c r="W140" s="367"/>
      <c r="X140" s="367"/>
      <c r="Y140" s="368"/>
      <c r="Z140" s="366"/>
      <c r="AA140" s="369"/>
      <c r="AB140" s="370"/>
      <c r="AC140" s="368"/>
      <c r="AD140" s="368"/>
      <c r="AE140" s="371"/>
    </row>
    <row r="141" spans="1:31" ht="12.95" customHeight="1" x14ac:dyDescent="0.35">
      <c r="A141" s="372"/>
      <c r="B141" s="373" t="s">
        <v>82</v>
      </c>
      <c r="C141" s="374" t="s">
        <v>140</v>
      </c>
      <c r="D141" s="374"/>
      <c r="E141" s="374"/>
      <c r="F141" s="374"/>
      <c r="G141" s="375"/>
      <c r="H141" s="376"/>
      <c r="I141" s="377"/>
      <c r="J141" s="378"/>
      <c r="K141" s="379"/>
      <c r="L141" s="374"/>
      <c r="M141" s="374"/>
      <c r="N141" s="374"/>
      <c r="O141" s="380">
        <v>12</v>
      </c>
      <c r="P141" s="374" t="s">
        <v>88</v>
      </c>
      <c r="Q141" s="381"/>
      <c r="R141" s="376">
        <f>O141*6500000</f>
        <v>78000000</v>
      </c>
      <c r="S141" s="365">
        <f t="shared" ref="S141" si="83">+R141/$R$184*100</f>
        <v>3.4834133699657417</v>
      </c>
      <c r="T141" s="382"/>
      <c r="U141" s="383"/>
      <c r="V141" s="383"/>
      <c r="W141" s="383"/>
      <c r="X141" s="383"/>
      <c r="Y141" s="384">
        <v>24759887</v>
      </c>
      <c r="Z141" s="382">
        <f t="shared" ref="Z141" si="84">+Y141/R141*100</f>
        <v>31.743444871794875</v>
      </c>
      <c r="AA141" s="385">
        <f t="shared" ref="AA141" si="85">1/14*Z141</f>
        <v>2.2673889194139196</v>
      </c>
      <c r="AB141" s="382">
        <f t="shared" ref="AB141" si="86">AA141*S141/100</f>
        <v>7.8982528767986226E-2</v>
      </c>
      <c r="AC141" s="384"/>
      <c r="AD141" s="384">
        <f t="shared" ref="AD141" si="87">+R141-Y141</f>
        <v>53240113</v>
      </c>
      <c r="AE141" s="386"/>
    </row>
    <row r="142" spans="1:31" ht="12.95" customHeight="1" x14ac:dyDescent="0.35">
      <c r="A142" s="355">
        <v>522112</v>
      </c>
      <c r="B142" s="356" t="s">
        <v>259</v>
      </c>
      <c r="C142" s="357"/>
      <c r="D142" s="357"/>
      <c r="E142" s="357"/>
      <c r="F142" s="357"/>
      <c r="G142" s="375"/>
      <c r="H142" s="376"/>
      <c r="I142" s="377"/>
      <c r="J142" s="378"/>
      <c r="K142" s="379"/>
      <c r="L142" s="374"/>
      <c r="M142" s="374"/>
      <c r="N142" s="374"/>
      <c r="O142" s="380"/>
      <c r="P142" s="374"/>
      <c r="Q142" s="381"/>
      <c r="R142" s="376"/>
      <c r="S142" s="365"/>
      <c r="T142" s="382"/>
      <c r="U142" s="387"/>
      <c r="V142" s="387"/>
      <c r="W142" s="387"/>
      <c r="X142" s="387"/>
      <c r="Y142" s="384"/>
      <c r="Z142" s="382"/>
      <c r="AA142" s="385"/>
      <c r="AB142" s="388"/>
      <c r="AC142" s="384"/>
      <c r="AD142" s="384"/>
      <c r="AE142" s="386"/>
    </row>
    <row r="143" spans="1:31" ht="12.95" customHeight="1" x14ac:dyDescent="0.35">
      <c r="A143" s="372"/>
      <c r="B143" s="373" t="s">
        <v>82</v>
      </c>
      <c r="C143" s="374" t="s">
        <v>141</v>
      </c>
      <c r="D143" s="374"/>
      <c r="E143" s="374"/>
      <c r="F143" s="374"/>
      <c r="G143" s="375"/>
      <c r="H143" s="376"/>
      <c r="I143" s="377"/>
      <c r="J143" s="378"/>
      <c r="K143" s="379"/>
      <c r="L143" s="374"/>
      <c r="M143" s="374"/>
      <c r="N143" s="374"/>
      <c r="O143" s="380">
        <v>12</v>
      </c>
      <c r="P143" s="374" t="s">
        <v>88</v>
      </c>
      <c r="Q143" s="381"/>
      <c r="R143" s="376">
        <f>O143*4200000</f>
        <v>50400000</v>
      </c>
      <c r="S143" s="365">
        <f t="shared" ref="S143" si="88">+R143/$R$184*100</f>
        <v>2.250820946747095</v>
      </c>
      <c r="T143" s="382"/>
      <c r="U143" s="383"/>
      <c r="V143" s="383"/>
      <c r="W143" s="383"/>
      <c r="X143" s="383"/>
      <c r="Y143" s="384">
        <v>8615341</v>
      </c>
      <c r="Z143" s="382">
        <f t="shared" ref="Z143" si="89">+Y143/R143*100</f>
        <v>17.093930555555556</v>
      </c>
      <c r="AA143" s="385">
        <f t="shared" ref="AA143" si="90">1/14*Z143</f>
        <v>1.2209950396825395</v>
      </c>
      <c r="AB143" s="382">
        <f t="shared" ref="AB143" si="91">AA143*S143/100</f>
        <v>2.7482412111917601E-2</v>
      </c>
      <c r="AC143" s="384"/>
      <c r="AD143" s="384">
        <f t="shared" ref="AD143" si="92">+R143-Y143</f>
        <v>41784659</v>
      </c>
      <c r="AE143" s="386"/>
    </row>
    <row r="144" spans="1:31" ht="12.95" customHeight="1" x14ac:dyDescent="0.35">
      <c r="A144" s="355">
        <v>522113</v>
      </c>
      <c r="B144" s="356" t="s">
        <v>260</v>
      </c>
      <c r="C144" s="357"/>
      <c r="D144" s="357"/>
      <c r="E144" s="357"/>
      <c r="F144" s="357"/>
      <c r="G144" s="375"/>
      <c r="H144" s="376"/>
      <c r="I144" s="377"/>
      <c r="J144" s="378"/>
      <c r="K144" s="379"/>
      <c r="L144" s="374"/>
      <c r="M144" s="374"/>
      <c r="N144" s="374"/>
      <c r="O144" s="380"/>
      <c r="P144" s="374"/>
      <c r="Q144" s="381"/>
      <c r="R144" s="376"/>
      <c r="S144" s="365"/>
      <c r="T144" s="382"/>
      <c r="U144" s="387"/>
      <c r="V144" s="387"/>
      <c r="W144" s="387"/>
      <c r="X144" s="387"/>
      <c r="Y144" s="384"/>
      <c r="Z144" s="382"/>
      <c r="AA144" s="385"/>
      <c r="AB144" s="388"/>
      <c r="AC144" s="384"/>
      <c r="AD144" s="384"/>
      <c r="AE144" s="386"/>
    </row>
    <row r="145" spans="1:35" ht="12.95" customHeight="1" x14ac:dyDescent="0.35">
      <c r="A145" s="372"/>
      <c r="B145" s="373" t="s">
        <v>82</v>
      </c>
      <c r="C145" s="374" t="s">
        <v>142</v>
      </c>
      <c r="D145" s="374"/>
      <c r="E145" s="374"/>
      <c r="F145" s="374"/>
      <c r="G145" s="375"/>
      <c r="H145" s="376"/>
      <c r="I145" s="377"/>
      <c r="J145" s="378"/>
      <c r="K145" s="379"/>
      <c r="L145" s="374"/>
      <c r="M145" s="374"/>
      <c r="N145" s="374"/>
      <c r="O145" s="380">
        <v>12</v>
      </c>
      <c r="P145" s="374" t="s">
        <v>88</v>
      </c>
      <c r="Q145" s="381"/>
      <c r="R145" s="376">
        <f>O145*500000</f>
        <v>6000000</v>
      </c>
      <c r="S145" s="365">
        <f t="shared" ref="S145" si="93">+R145/$R$184*100</f>
        <v>0.26795487461274942</v>
      </c>
      <c r="T145" s="382"/>
      <c r="U145" s="383"/>
      <c r="V145" s="383"/>
      <c r="W145" s="383"/>
      <c r="X145" s="383"/>
      <c r="Y145" s="384">
        <v>1118110</v>
      </c>
      <c r="Z145" s="382">
        <f t="shared" ref="Z145" si="94">+Y145/R145*100</f>
        <v>18.635166666666667</v>
      </c>
      <c r="AA145" s="385">
        <f t="shared" ref="AA145" si="95">1/14*Z145</f>
        <v>1.3310833333333332</v>
      </c>
      <c r="AB145" s="382">
        <f t="shared" ref="AB145" si="96">AA145*S145/100</f>
        <v>3.566702676824538E-3</v>
      </c>
      <c r="AC145" s="384"/>
      <c r="AD145" s="384">
        <f t="shared" ref="AD145" si="97">+R145-Y145</f>
        <v>4881890</v>
      </c>
      <c r="AE145" s="386"/>
    </row>
    <row r="146" spans="1:35" ht="12.95" customHeight="1" x14ac:dyDescent="0.35">
      <c r="A146" s="135"/>
      <c r="B146" s="223"/>
      <c r="C146" s="111"/>
      <c r="D146" s="111"/>
      <c r="E146" s="111"/>
      <c r="F146" s="111"/>
      <c r="G146" s="137"/>
      <c r="H146" s="107"/>
      <c r="I146" s="108"/>
      <c r="J146" s="109"/>
      <c r="K146" s="110"/>
      <c r="L146" s="111"/>
      <c r="M146" s="111"/>
      <c r="N146" s="111"/>
      <c r="O146" s="134"/>
      <c r="P146" s="111"/>
      <c r="Q146" s="207"/>
      <c r="R146" s="107"/>
      <c r="S146" s="113"/>
      <c r="T146" s="195"/>
      <c r="U146" s="196"/>
      <c r="V146" s="196"/>
      <c r="W146" s="196"/>
      <c r="X146" s="196"/>
      <c r="Y146" s="116"/>
      <c r="Z146" s="195"/>
      <c r="AA146" s="100"/>
      <c r="AB146" s="197"/>
      <c r="AC146" s="116"/>
      <c r="AD146" s="116"/>
      <c r="AE146" s="114"/>
    </row>
    <row r="147" spans="1:35" ht="12.95" customHeight="1" x14ac:dyDescent="0.35">
      <c r="A147" s="103" t="s">
        <v>143</v>
      </c>
      <c r="B147" s="483" t="s">
        <v>261</v>
      </c>
      <c r="C147" s="484"/>
      <c r="D147" s="484"/>
      <c r="E147" s="484"/>
      <c r="F147" s="484"/>
      <c r="G147" s="485"/>
      <c r="H147" s="107"/>
      <c r="I147" s="108"/>
      <c r="J147" s="109"/>
      <c r="K147" s="110"/>
      <c r="L147" s="111"/>
      <c r="M147" s="111"/>
      <c r="N147" s="111"/>
      <c r="O147" s="134"/>
      <c r="P147" s="137"/>
      <c r="Q147" s="207"/>
      <c r="R147" s="213"/>
      <c r="S147" s="113"/>
      <c r="T147" s="195"/>
      <c r="U147" s="198"/>
      <c r="V147" s="198"/>
      <c r="W147" s="198"/>
      <c r="X147" s="198"/>
      <c r="Y147" s="116"/>
      <c r="Z147" s="195"/>
      <c r="AA147" s="100"/>
      <c r="AB147" s="197"/>
      <c r="AC147" s="116"/>
      <c r="AD147" s="116"/>
      <c r="AE147" s="114"/>
    </row>
    <row r="148" spans="1:35" s="28" customFormat="1" ht="12.95" customHeight="1" x14ac:dyDescent="0.35">
      <c r="A148" s="210">
        <v>521111</v>
      </c>
      <c r="B148" s="487" t="s">
        <v>81</v>
      </c>
      <c r="C148" s="105"/>
      <c r="D148" s="105"/>
      <c r="E148" s="105"/>
      <c r="F148" s="105"/>
      <c r="G148" s="106"/>
      <c r="H148" s="188"/>
      <c r="I148" s="171"/>
      <c r="J148" s="170"/>
      <c r="K148" s="189"/>
      <c r="L148" s="105"/>
      <c r="M148" s="105"/>
      <c r="N148" s="105"/>
      <c r="O148" s="227"/>
      <c r="P148" s="141"/>
      <c r="Q148" s="228"/>
      <c r="R148" s="229"/>
      <c r="S148" s="113"/>
      <c r="T148" s="190"/>
      <c r="U148" s="191"/>
      <c r="V148" s="191"/>
      <c r="W148" s="191"/>
      <c r="X148" s="191"/>
      <c r="Y148" s="192"/>
      <c r="Z148" s="190"/>
      <c r="AA148" s="178"/>
      <c r="AB148" s="193"/>
      <c r="AC148" s="192"/>
      <c r="AD148" s="192"/>
      <c r="AE148" s="179"/>
    </row>
    <row r="149" spans="1:35" ht="12.95" customHeight="1" x14ac:dyDescent="0.35">
      <c r="A149" s="199"/>
      <c r="B149" s="230" t="s">
        <v>82</v>
      </c>
      <c r="C149" s="217" t="s">
        <v>144</v>
      </c>
      <c r="D149" s="217"/>
      <c r="E149" s="217"/>
      <c r="F149" s="217"/>
      <c r="G149" s="218"/>
      <c r="H149" s="107"/>
      <c r="I149" s="108"/>
      <c r="J149" s="109"/>
      <c r="K149" s="110"/>
      <c r="L149" s="111"/>
      <c r="M149" s="111"/>
      <c r="N149" s="111"/>
      <c r="O149" s="134">
        <v>39</v>
      </c>
      <c r="P149" s="111" t="s">
        <v>145</v>
      </c>
      <c r="Q149" s="207"/>
      <c r="R149" s="107">
        <f>O149*1800000</f>
        <v>70200000</v>
      </c>
      <c r="S149" s="85">
        <f t="shared" ref="S149:S154" si="98">+R149/$R$184*100</f>
        <v>3.1350720329691675</v>
      </c>
      <c r="T149" s="99"/>
      <c r="U149" s="87"/>
      <c r="V149" s="87"/>
      <c r="W149" s="87"/>
      <c r="X149" s="87"/>
      <c r="Y149" s="88">
        <f>5400000*6</f>
        <v>32400000</v>
      </c>
      <c r="Z149" s="99">
        <f t="shared" ref="Z149:Z154" si="99">+Y149/R149*100</f>
        <v>46.153846153846153</v>
      </c>
      <c r="AA149" s="100">
        <f t="shared" ref="AA149:AA153" si="100">1/14*Z149</f>
        <v>3.2967032967032965</v>
      </c>
      <c r="AB149" s="99">
        <f t="shared" ref="AB149:AB154" si="101">AA149*S149/100</f>
        <v>0.1033540230649176</v>
      </c>
      <c r="AC149" s="88"/>
      <c r="AD149" s="88">
        <f t="shared" ref="AD149:AD154" si="102">+R149-Y149</f>
        <v>37800000</v>
      </c>
      <c r="AE149" s="86"/>
    </row>
    <row r="150" spans="1:35" ht="12.95" customHeight="1" x14ac:dyDescent="0.35">
      <c r="A150" s="135"/>
      <c r="B150" s="215" t="s">
        <v>82</v>
      </c>
      <c r="C150" s="216" t="s">
        <v>146</v>
      </c>
      <c r="D150" s="216"/>
      <c r="E150" s="217"/>
      <c r="F150" s="217"/>
      <c r="G150" s="218"/>
      <c r="H150" s="107"/>
      <c r="I150" s="108"/>
      <c r="J150" s="109"/>
      <c r="K150" s="110"/>
      <c r="L150" s="111"/>
      <c r="M150" s="111"/>
      <c r="N150" s="111"/>
      <c r="O150" s="134">
        <v>228</v>
      </c>
      <c r="P150" s="111" t="s">
        <v>147</v>
      </c>
      <c r="Q150" s="207"/>
      <c r="R150" s="107">
        <f>O150*30000</f>
        <v>6840000</v>
      </c>
      <c r="S150" s="85">
        <f t="shared" si="98"/>
        <v>0.30546855705853432</v>
      </c>
      <c r="T150" s="99"/>
      <c r="U150" s="87"/>
      <c r="V150" s="87"/>
      <c r="W150" s="87"/>
      <c r="X150" s="87"/>
      <c r="Y150" s="88">
        <f>570000+570000+480000+300000</f>
        <v>1920000</v>
      </c>
      <c r="Z150" s="99">
        <f t="shared" si="99"/>
        <v>28.07017543859649</v>
      </c>
      <c r="AA150" s="100">
        <f t="shared" si="100"/>
        <v>2.0050125313283207</v>
      </c>
      <c r="AB150" s="99">
        <f t="shared" si="101"/>
        <v>6.1246828482914148E-3</v>
      </c>
      <c r="AC150" s="88"/>
      <c r="AD150" s="88">
        <f t="shared" si="102"/>
        <v>4920000</v>
      </c>
      <c r="AE150" s="114"/>
    </row>
    <row r="151" spans="1:35" ht="12.95" customHeight="1" x14ac:dyDescent="0.35">
      <c r="A151" s="231"/>
      <c r="B151" s="194" t="s">
        <v>82</v>
      </c>
      <c r="C151" s="140" t="s">
        <v>148</v>
      </c>
      <c r="D151" s="140"/>
      <c r="E151" s="140"/>
      <c r="F151" s="140"/>
      <c r="G151" s="150"/>
      <c r="H151" s="107"/>
      <c r="I151" s="108"/>
      <c r="J151" s="109"/>
      <c r="K151" s="110"/>
      <c r="L151" s="111"/>
      <c r="M151" s="111"/>
      <c r="N151" s="111"/>
      <c r="O151" s="182">
        <v>22</v>
      </c>
      <c r="P151" s="140" t="s">
        <v>115</v>
      </c>
      <c r="Q151" s="183"/>
      <c r="R151" s="107">
        <f>O151*190000</f>
        <v>4180000</v>
      </c>
      <c r="S151" s="85">
        <f t="shared" si="98"/>
        <v>0.18667522931354874</v>
      </c>
      <c r="T151" s="99"/>
      <c r="U151" s="87"/>
      <c r="V151" s="87"/>
      <c r="W151" s="87"/>
      <c r="X151" s="87"/>
      <c r="Y151" s="88">
        <f>360000+180000+700000+600000+180000+180000+180000+180000</f>
        <v>2560000</v>
      </c>
      <c r="Z151" s="99">
        <f t="shared" si="99"/>
        <v>61.244019138755981</v>
      </c>
      <c r="AA151" s="100">
        <f t="shared" si="100"/>
        <v>4.3745727956254266</v>
      </c>
      <c r="AB151" s="99">
        <f t="shared" si="101"/>
        <v>8.1662437977218852E-3</v>
      </c>
      <c r="AC151" s="88"/>
      <c r="AD151" s="88">
        <f t="shared" si="102"/>
        <v>1620000</v>
      </c>
      <c r="AE151" s="114"/>
    </row>
    <row r="152" spans="1:35" ht="12.95" customHeight="1" x14ac:dyDescent="0.35">
      <c r="A152" s="231"/>
      <c r="B152" s="194" t="s">
        <v>82</v>
      </c>
      <c r="C152" s="140" t="s">
        <v>266</v>
      </c>
      <c r="D152" s="140"/>
      <c r="E152" s="140"/>
      <c r="F152" s="140"/>
      <c r="G152" s="150"/>
      <c r="H152" s="107"/>
      <c r="I152" s="108"/>
      <c r="J152" s="109"/>
      <c r="K152" s="110"/>
      <c r="L152" s="111"/>
      <c r="M152" s="111"/>
      <c r="N152" s="111"/>
      <c r="O152" s="182">
        <v>1</v>
      </c>
      <c r="P152" s="140" t="s">
        <v>111</v>
      </c>
      <c r="Q152" s="183"/>
      <c r="R152" s="107">
        <f>O152*9020000</f>
        <v>9020000</v>
      </c>
      <c r="S152" s="85">
        <f t="shared" si="98"/>
        <v>0.40282549483449992</v>
      </c>
      <c r="T152" s="99"/>
      <c r="U152" s="87"/>
      <c r="V152" s="87"/>
      <c r="W152" s="87"/>
      <c r="X152" s="87"/>
      <c r="Y152" s="88">
        <f>750000*5</f>
        <v>3750000</v>
      </c>
      <c r="Z152" s="99">
        <f t="shared" si="99"/>
        <v>41.574279379157431</v>
      </c>
      <c r="AA152" s="100">
        <f t="shared" si="100"/>
        <v>2.9695913842255308</v>
      </c>
      <c r="AB152" s="99">
        <f t="shared" si="101"/>
        <v>1.1962271188069171E-2</v>
      </c>
      <c r="AC152" s="88"/>
      <c r="AD152" s="88">
        <f t="shared" si="102"/>
        <v>5270000</v>
      </c>
      <c r="AE152" s="114"/>
    </row>
    <row r="153" spans="1:35" ht="12.95" customHeight="1" x14ac:dyDescent="0.35">
      <c r="A153" s="199"/>
      <c r="B153" s="215" t="s">
        <v>82</v>
      </c>
      <c r="C153" s="217" t="s">
        <v>149</v>
      </c>
      <c r="D153" s="217"/>
      <c r="E153" s="217"/>
      <c r="F153" s="217"/>
      <c r="G153" s="218"/>
      <c r="H153" s="107"/>
      <c r="I153" s="108"/>
      <c r="J153" s="109"/>
      <c r="K153" s="110"/>
      <c r="L153" s="111"/>
      <c r="M153" s="111"/>
      <c r="N153" s="111"/>
      <c r="O153" s="134">
        <v>12</v>
      </c>
      <c r="P153" s="111" t="s">
        <v>88</v>
      </c>
      <c r="Q153" s="207"/>
      <c r="R153" s="203">
        <f>O153*2200000</f>
        <v>26400000</v>
      </c>
      <c r="S153" s="85">
        <f t="shared" si="98"/>
        <v>1.1790014482960973</v>
      </c>
      <c r="T153" s="99"/>
      <c r="U153" s="87"/>
      <c r="V153" s="87"/>
      <c r="W153" s="87"/>
      <c r="X153" s="87"/>
      <c r="Y153" s="88">
        <f>1023700*5</f>
        <v>5118500</v>
      </c>
      <c r="Z153" s="99">
        <f t="shared" si="99"/>
        <v>19.388257575757574</v>
      </c>
      <c r="AA153" s="100">
        <f t="shared" si="100"/>
        <v>1.3848755411255409</v>
      </c>
      <c r="AB153" s="99">
        <f t="shared" si="101"/>
        <v>1.6327702686968541E-2</v>
      </c>
      <c r="AC153" s="88"/>
      <c r="AD153" s="88">
        <f t="shared" si="102"/>
        <v>21281500</v>
      </c>
      <c r="AE153" s="114"/>
    </row>
    <row r="154" spans="1:35" ht="12.95" customHeight="1" x14ac:dyDescent="0.35">
      <c r="A154" s="199"/>
      <c r="B154" s="296" t="s">
        <v>82</v>
      </c>
      <c r="C154" s="297" t="s">
        <v>265</v>
      </c>
      <c r="D154" s="297"/>
      <c r="E154" s="297"/>
      <c r="F154" s="297"/>
      <c r="G154" s="298"/>
      <c r="H154" s="77"/>
      <c r="I154" s="78"/>
      <c r="J154" s="79"/>
      <c r="K154" s="80"/>
      <c r="L154" s="81"/>
      <c r="M154" s="81"/>
      <c r="N154" s="81"/>
      <c r="O154" s="185">
        <v>1</v>
      </c>
      <c r="P154" s="81" t="s">
        <v>83</v>
      </c>
      <c r="Q154" s="144"/>
      <c r="R154" s="77">
        <f>O154*3792000</f>
        <v>3792000</v>
      </c>
      <c r="S154" s="85">
        <f t="shared" si="98"/>
        <v>0.16934748075525763</v>
      </c>
      <c r="T154" s="99"/>
      <c r="U154" s="87"/>
      <c r="V154" s="87"/>
      <c r="W154" s="87"/>
      <c r="X154" s="87"/>
      <c r="Y154" s="88">
        <v>0</v>
      </c>
      <c r="Z154" s="99">
        <f t="shared" si="99"/>
        <v>0</v>
      </c>
      <c r="AA154" s="100">
        <f t="shared" ref="AA154" si="103">Z154</f>
        <v>0</v>
      </c>
      <c r="AB154" s="99">
        <f t="shared" si="101"/>
        <v>0</v>
      </c>
      <c r="AC154" s="88"/>
      <c r="AD154" s="88">
        <f t="shared" si="102"/>
        <v>3792000</v>
      </c>
      <c r="AE154" s="86"/>
      <c r="AF154" s="90"/>
      <c r="AG154" s="90"/>
      <c r="AH154" s="90"/>
      <c r="AI154" s="90"/>
    </row>
    <row r="155" spans="1:35" ht="12.95" customHeight="1" x14ac:dyDescent="0.35">
      <c r="A155" s="135"/>
      <c r="B155" s="94"/>
      <c r="C155" s="105"/>
      <c r="D155" s="105"/>
      <c r="E155" s="111"/>
      <c r="F155" s="111"/>
      <c r="G155" s="137"/>
      <c r="H155" s="107"/>
      <c r="I155" s="108"/>
      <c r="J155" s="109"/>
      <c r="K155" s="110"/>
      <c r="L155" s="111"/>
      <c r="M155" s="111"/>
      <c r="N155" s="111"/>
      <c r="O155" s="134"/>
      <c r="P155" s="111"/>
      <c r="Q155" s="135"/>
      <c r="R155" s="107"/>
      <c r="S155" s="113"/>
      <c r="T155" s="114"/>
      <c r="U155" s="115"/>
      <c r="V155" s="115"/>
      <c r="W155" s="115"/>
      <c r="X155" s="115"/>
      <c r="Y155" s="116"/>
      <c r="Z155" s="114"/>
      <c r="AA155" s="114"/>
      <c r="AB155" s="114"/>
      <c r="AC155" s="116"/>
      <c r="AD155" s="116"/>
      <c r="AE155" s="114"/>
    </row>
    <row r="156" spans="1:35" ht="12.95" customHeight="1" x14ac:dyDescent="0.35">
      <c r="A156" s="210">
        <v>521114</v>
      </c>
      <c r="B156" s="487" t="s">
        <v>150</v>
      </c>
      <c r="C156" s="105"/>
      <c r="D156" s="105"/>
      <c r="E156" s="105"/>
      <c r="F156" s="105"/>
      <c r="G156" s="106"/>
      <c r="H156" s="188"/>
      <c r="I156" s="171"/>
      <c r="J156" s="170"/>
      <c r="K156" s="189"/>
      <c r="L156" s="105"/>
      <c r="M156" s="105"/>
      <c r="N156" s="105"/>
      <c r="O156" s="227"/>
      <c r="P156" s="141"/>
      <c r="Q156" s="228"/>
      <c r="R156" s="229"/>
      <c r="S156" s="113"/>
      <c r="T156" s="190"/>
      <c r="U156" s="191"/>
      <c r="V156" s="191"/>
      <c r="W156" s="191"/>
      <c r="X156" s="191"/>
      <c r="Y156" s="192"/>
      <c r="Z156" s="190"/>
      <c r="AA156" s="178"/>
      <c r="AB156" s="193"/>
      <c r="AC156" s="192"/>
      <c r="AD156" s="192"/>
      <c r="AE156" s="114"/>
    </row>
    <row r="157" spans="1:35" ht="12.95" customHeight="1" x14ac:dyDescent="0.35">
      <c r="A157" s="199"/>
      <c r="B157" s="230" t="s">
        <v>82</v>
      </c>
      <c r="C157" s="217" t="s">
        <v>151</v>
      </c>
      <c r="D157" s="217"/>
      <c r="E157" s="217"/>
      <c r="F157" s="217"/>
      <c r="G157" s="218"/>
      <c r="H157" s="107"/>
      <c r="I157" s="108"/>
      <c r="J157" s="109"/>
      <c r="K157" s="110"/>
      <c r="L157" s="111"/>
      <c r="M157" s="111"/>
      <c r="N157" s="111"/>
      <c r="O157" s="134">
        <v>12</v>
      </c>
      <c r="P157" s="111" t="s">
        <v>88</v>
      </c>
      <c r="Q157" s="207"/>
      <c r="R157" s="107">
        <f>O157*715000</f>
        <v>8580000</v>
      </c>
      <c r="S157" s="85">
        <f t="shared" ref="S157" si="104">+R157/$R$184*100</f>
        <v>0.38317547069623159</v>
      </c>
      <c r="T157" s="99"/>
      <c r="U157" s="87"/>
      <c r="V157" s="87"/>
      <c r="W157" s="87"/>
      <c r="X157" s="87"/>
      <c r="Y157" s="88">
        <v>4290000</v>
      </c>
      <c r="Z157" s="99">
        <f t="shared" ref="Z157" si="105">+Y157/R157*100</f>
        <v>50</v>
      </c>
      <c r="AA157" s="100">
        <f t="shared" ref="AA157" si="106">1/14*Z157</f>
        <v>3.5714285714285712</v>
      </c>
      <c r="AB157" s="99">
        <f t="shared" ref="AB157" si="107">AA157*S157/100</f>
        <v>1.3684838239151127E-2</v>
      </c>
      <c r="AC157" s="88"/>
      <c r="AD157" s="88">
        <f t="shared" ref="AD157" si="108">+R157-Y157</f>
        <v>4290000</v>
      </c>
      <c r="AE157" s="86"/>
    </row>
    <row r="158" spans="1:35" ht="12.95" customHeight="1" x14ac:dyDescent="0.35">
      <c r="A158" s="199"/>
      <c r="B158" s="215"/>
      <c r="C158" s="217"/>
      <c r="D158" s="217"/>
      <c r="E158" s="217"/>
      <c r="F158" s="217"/>
      <c r="G158" s="218"/>
      <c r="H158" s="107"/>
      <c r="I158" s="108"/>
      <c r="J158" s="109"/>
      <c r="K158" s="110"/>
      <c r="L158" s="111"/>
      <c r="M158" s="111"/>
      <c r="N158" s="111"/>
      <c r="O158" s="134"/>
      <c r="P158" s="111"/>
      <c r="Q158" s="207"/>
      <c r="R158" s="107"/>
      <c r="S158" s="113"/>
      <c r="T158" s="195"/>
      <c r="U158" s="198"/>
      <c r="V158" s="198"/>
      <c r="W158" s="198"/>
      <c r="X158" s="198"/>
      <c r="Y158" s="116"/>
      <c r="Z158" s="195"/>
      <c r="AA158" s="100"/>
      <c r="AB158" s="197"/>
      <c r="AC158" s="116"/>
      <c r="AD158" s="116"/>
      <c r="AE158" s="114"/>
    </row>
    <row r="159" spans="1:35" s="28" customFormat="1" ht="12.95" customHeight="1" x14ac:dyDescent="0.35">
      <c r="A159" s="210">
        <v>521115</v>
      </c>
      <c r="B159" s="487" t="s">
        <v>152</v>
      </c>
      <c r="C159" s="232"/>
      <c r="D159" s="232"/>
      <c r="E159" s="232"/>
      <c r="F159" s="232"/>
      <c r="G159" s="233"/>
      <c r="H159" s="107"/>
      <c r="I159" s="108"/>
      <c r="J159" s="109"/>
      <c r="K159" s="110"/>
      <c r="L159" s="111"/>
      <c r="M159" s="111"/>
      <c r="N159" s="111"/>
      <c r="O159" s="182"/>
      <c r="P159" s="140"/>
      <c r="Q159" s="228"/>
      <c r="R159" s="201"/>
      <c r="S159" s="113"/>
      <c r="T159" s="190"/>
      <c r="U159" s="191"/>
      <c r="V159" s="191"/>
      <c r="W159" s="191"/>
      <c r="X159" s="191"/>
      <c r="Y159" s="192"/>
      <c r="Z159" s="190"/>
      <c r="AA159" s="178"/>
      <c r="AB159" s="193"/>
      <c r="AC159" s="192"/>
      <c r="AD159" s="192"/>
      <c r="AE159" s="179"/>
    </row>
    <row r="160" spans="1:35" ht="12.95" customHeight="1" x14ac:dyDescent="0.35">
      <c r="A160" s="199"/>
      <c r="B160" s="104"/>
      <c r="C160" s="217" t="s">
        <v>153</v>
      </c>
      <c r="D160" s="217"/>
      <c r="E160" s="217"/>
      <c r="F160" s="217"/>
      <c r="G160" s="218"/>
      <c r="H160" s="107"/>
      <c r="I160" s="108"/>
      <c r="J160" s="109"/>
      <c r="K160" s="110"/>
      <c r="L160" s="111"/>
      <c r="M160" s="111"/>
      <c r="N160" s="111"/>
      <c r="O160" s="134"/>
      <c r="P160" s="111"/>
      <c r="Q160" s="207"/>
      <c r="R160" s="188"/>
      <c r="S160" s="113"/>
      <c r="T160" s="195"/>
      <c r="U160" s="198"/>
      <c r="V160" s="198"/>
      <c r="W160" s="198"/>
      <c r="X160" s="198"/>
      <c r="Y160" s="116"/>
      <c r="Z160" s="195"/>
      <c r="AA160" s="202"/>
      <c r="AB160" s="197"/>
      <c r="AC160" s="116"/>
      <c r="AD160" s="116"/>
      <c r="AE160" s="114"/>
    </row>
    <row r="161" spans="1:31" ht="12.95" customHeight="1" x14ac:dyDescent="0.35">
      <c r="A161" s="199"/>
      <c r="B161" s="234" t="s">
        <v>82</v>
      </c>
      <c r="C161" s="217" t="s">
        <v>154</v>
      </c>
      <c r="D161" s="111"/>
      <c r="E161" s="217"/>
      <c r="F161" s="217"/>
      <c r="G161" s="217"/>
      <c r="H161" s="107"/>
      <c r="I161" s="108"/>
      <c r="J161" s="109"/>
      <c r="K161" s="110"/>
      <c r="L161" s="111"/>
      <c r="M161" s="111"/>
      <c r="N161" s="111"/>
      <c r="O161" s="134">
        <v>12</v>
      </c>
      <c r="P161" s="111" t="s">
        <v>145</v>
      </c>
      <c r="Q161" s="207"/>
      <c r="R161" s="107">
        <f>O161*900000</f>
        <v>10800000</v>
      </c>
      <c r="S161" s="85">
        <f t="shared" ref="S161:S166" si="109">+R161/$R$184*100</f>
        <v>0.48231877430294889</v>
      </c>
      <c r="T161" s="99"/>
      <c r="U161" s="87"/>
      <c r="V161" s="87"/>
      <c r="W161" s="87"/>
      <c r="X161" s="87"/>
      <c r="Y161" s="88">
        <f>R161/12*6</f>
        <v>5400000</v>
      </c>
      <c r="Z161" s="99">
        <f t="shared" ref="Z161:Z166" si="110">+Y161/R161*100</f>
        <v>50</v>
      </c>
      <c r="AA161" s="100">
        <f t="shared" ref="AA161:AA166" si="111">1/14*Z161</f>
        <v>3.5714285714285712</v>
      </c>
      <c r="AB161" s="99">
        <f t="shared" ref="AB161:AB166" si="112">AA161*S161/100</f>
        <v>1.72256705108196E-2</v>
      </c>
      <c r="AC161" s="88"/>
      <c r="AD161" s="88">
        <f t="shared" ref="AD161:AD166" si="113">+R161-Y161</f>
        <v>5400000</v>
      </c>
      <c r="AE161" s="86"/>
    </row>
    <row r="162" spans="1:31" ht="12.95" customHeight="1" x14ac:dyDescent="0.35">
      <c r="A162" s="199"/>
      <c r="B162" s="234" t="s">
        <v>82</v>
      </c>
      <c r="C162" s="217" t="s">
        <v>155</v>
      </c>
      <c r="D162" s="111"/>
      <c r="E162" s="217"/>
      <c r="F162" s="217"/>
      <c r="G162" s="217"/>
      <c r="H162" s="107"/>
      <c r="I162" s="108"/>
      <c r="J162" s="109"/>
      <c r="K162" s="110"/>
      <c r="L162" s="111"/>
      <c r="M162" s="111"/>
      <c r="N162" s="111"/>
      <c r="O162" s="134">
        <v>12</v>
      </c>
      <c r="P162" s="111" t="s">
        <v>145</v>
      </c>
      <c r="Q162" s="207"/>
      <c r="R162" s="107">
        <f>O162*700000</f>
        <v>8400000</v>
      </c>
      <c r="S162" s="85">
        <f t="shared" si="109"/>
        <v>0.37513682445784913</v>
      </c>
      <c r="T162" s="99"/>
      <c r="U162" s="87"/>
      <c r="V162" s="87"/>
      <c r="W162" s="87"/>
      <c r="X162" s="87"/>
      <c r="Y162" s="88">
        <f>R162/12*6</f>
        <v>4200000</v>
      </c>
      <c r="Z162" s="99">
        <f t="shared" si="110"/>
        <v>50</v>
      </c>
      <c r="AA162" s="100">
        <f t="shared" si="111"/>
        <v>3.5714285714285712</v>
      </c>
      <c r="AB162" s="99">
        <f t="shared" si="112"/>
        <v>1.3397743730637467E-2</v>
      </c>
      <c r="AC162" s="88"/>
      <c r="AD162" s="88">
        <f t="shared" si="113"/>
        <v>4200000</v>
      </c>
      <c r="AE162" s="114"/>
    </row>
    <row r="163" spans="1:31" ht="12.95" customHeight="1" x14ac:dyDescent="0.35">
      <c r="A163" s="199"/>
      <c r="B163" s="234" t="s">
        <v>82</v>
      </c>
      <c r="C163" s="111" t="s">
        <v>156</v>
      </c>
      <c r="D163" s="111"/>
      <c r="E163" s="217"/>
      <c r="F163" s="217"/>
      <c r="G163" s="217"/>
      <c r="H163" s="107"/>
      <c r="I163" s="108"/>
      <c r="J163" s="109"/>
      <c r="K163" s="110"/>
      <c r="L163" s="111"/>
      <c r="M163" s="111"/>
      <c r="N163" s="111"/>
      <c r="O163" s="134">
        <v>3</v>
      </c>
      <c r="P163" s="111" t="s">
        <v>145</v>
      </c>
      <c r="Q163" s="207"/>
      <c r="R163" s="107">
        <f>O163*400000</f>
        <v>1200000</v>
      </c>
      <c r="S163" s="85">
        <f t="shared" si="109"/>
        <v>5.3590974922549883E-2</v>
      </c>
      <c r="T163" s="99"/>
      <c r="U163" s="87"/>
      <c r="V163" s="87"/>
      <c r="W163" s="87"/>
      <c r="X163" s="87"/>
      <c r="Y163" s="88">
        <v>1200000</v>
      </c>
      <c r="Z163" s="99">
        <f t="shared" si="110"/>
        <v>100</v>
      </c>
      <c r="AA163" s="100">
        <f t="shared" si="111"/>
        <v>7.1428571428571423</v>
      </c>
      <c r="AB163" s="99">
        <f t="shared" si="112"/>
        <v>3.8279267801821343E-3</v>
      </c>
      <c r="AC163" s="88"/>
      <c r="AD163" s="88">
        <f t="shared" si="113"/>
        <v>0</v>
      </c>
      <c r="AE163" s="114"/>
    </row>
    <row r="164" spans="1:31" ht="12.95" customHeight="1" x14ac:dyDescent="0.35">
      <c r="A164" s="199"/>
      <c r="B164" s="234" t="s">
        <v>82</v>
      </c>
      <c r="C164" s="217" t="s">
        <v>157</v>
      </c>
      <c r="D164" s="111"/>
      <c r="E164" s="217"/>
      <c r="F164" s="217"/>
      <c r="G164" s="217"/>
      <c r="H164" s="107"/>
      <c r="I164" s="108"/>
      <c r="J164" s="109"/>
      <c r="K164" s="110"/>
      <c r="L164" s="111"/>
      <c r="M164" s="111"/>
      <c r="N164" s="111"/>
      <c r="O164" s="134">
        <v>12</v>
      </c>
      <c r="P164" s="111" t="s">
        <v>145</v>
      </c>
      <c r="Q164" s="207"/>
      <c r="R164" s="107">
        <f>O164*700000</f>
        <v>8400000</v>
      </c>
      <c r="S164" s="85">
        <f t="shared" si="109"/>
        <v>0.37513682445784913</v>
      </c>
      <c r="T164" s="99"/>
      <c r="U164" s="87"/>
      <c r="V164" s="87"/>
      <c r="W164" s="87"/>
      <c r="X164" s="87"/>
      <c r="Y164" s="88">
        <f>R164/12*6</f>
        <v>4200000</v>
      </c>
      <c r="Z164" s="99">
        <f t="shared" si="110"/>
        <v>50</v>
      </c>
      <c r="AA164" s="100">
        <f t="shared" si="111"/>
        <v>3.5714285714285712</v>
      </c>
      <c r="AB164" s="99">
        <f t="shared" si="112"/>
        <v>1.3397743730637467E-2</v>
      </c>
      <c r="AC164" s="88"/>
      <c r="AD164" s="88">
        <f t="shared" si="113"/>
        <v>4200000</v>
      </c>
      <c r="AE164" s="114"/>
    </row>
    <row r="165" spans="1:31" ht="12.95" customHeight="1" x14ac:dyDescent="0.35">
      <c r="A165" s="199"/>
      <c r="B165" s="234" t="s">
        <v>82</v>
      </c>
      <c r="C165" s="217" t="s">
        <v>158</v>
      </c>
      <c r="D165" s="111"/>
      <c r="E165" s="217"/>
      <c r="F165" s="217"/>
      <c r="G165" s="217"/>
      <c r="H165" s="107"/>
      <c r="I165" s="108"/>
      <c r="J165" s="109"/>
      <c r="K165" s="110"/>
      <c r="L165" s="111"/>
      <c r="M165" s="111"/>
      <c r="N165" s="111"/>
      <c r="O165" s="134">
        <v>12</v>
      </c>
      <c r="P165" s="111" t="s">
        <v>145</v>
      </c>
      <c r="Q165" s="207"/>
      <c r="R165" s="107">
        <f>O165*650000</f>
        <v>7800000</v>
      </c>
      <c r="S165" s="85">
        <f t="shared" si="109"/>
        <v>0.34834133699657421</v>
      </c>
      <c r="T165" s="99"/>
      <c r="U165" s="87"/>
      <c r="V165" s="87"/>
      <c r="W165" s="87"/>
      <c r="X165" s="87"/>
      <c r="Y165" s="88">
        <f>R165/12*6</f>
        <v>3900000</v>
      </c>
      <c r="Z165" s="99">
        <f t="shared" si="110"/>
        <v>50</v>
      </c>
      <c r="AA165" s="100">
        <f t="shared" si="111"/>
        <v>3.5714285714285712</v>
      </c>
      <c r="AB165" s="99">
        <f t="shared" si="112"/>
        <v>1.2440762035591935E-2</v>
      </c>
      <c r="AC165" s="88"/>
      <c r="AD165" s="88">
        <f t="shared" si="113"/>
        <v>3900000</v>
      </c>
      <c r="AE165" s="114"/>
    </row>
    <row r="166" spans="1:31" ht="12.95" customHeight="1" x14ac:dyDescent="0.35">
      <c r="A166" s="199"/>
      <c r="B166" s="234" t="s">
        <v>82</v>
      </c>
      <c r="C166" s="217" t="s">
        <v>159</v>
      </c>
      <c r="D166" s="111"/>
      <c r="E166" s="217"/>
      <c r="F166" s="217"/>
      <c r="G166" s="218"/>
      <c r="H166" s="107"/>
      <c r="I166" s="108"/>
      <c r="J166" s="109"/>
      <c r="K166" s="110"/>
      <c r="L166" s="111"/>
      <c r="M166" s="111"/>
      <c r="N166" s="111"/>
      <c r="O166" s="134">
        <v>24</v>
      </c>
      <c r="P166" s="111" t="s">
        <v>145</v>
      </c>
      <c r="Q166" s="207"/>
      <c r="R166" s="107">
        <f>O166*300000</f>
        <v>7200000</v>
      </c>
      <c r="S166" s="85">
        <f t="shared" si="109"/>
        <v>0.32154584953529924</v>
      </c>
      <c r="T166" s="99"/>
      <c r="U166" s="87"/>
      <c r="V166" s="87"/>
      <c r="W166" s="87"/>
      <c r="X166" s="87"/>
      <c r="Y166" s="88">
        <f>R166/12*6</f>
        <v>3600000</v>
      </c>
      <c r="Z166" s="99">
        <f t="shared" si="110"/>
        <v>50</v>
      </c>
      <c r="AA166" s="100">
        <f t="shared" si="111"/>
        <v>3.5714285714285712</v>
      </c>
      <c r="AB166" s="99">
        <f t="shared" si="112"/>
        <v>1.1483780340546401E-2</v>
      </c>
      <c r="AC166" s="88"/>
      <c r="AD166" s="88">
        <f t="shared" si="113"/>
        <v>3600000</v>
      </c>
      <c r="AE166" s="114"/>
    </row>
    <row r="167" spans="1:31" ht="12.95" customHeight="1" x14ac:dyDescent="0.35">
      <c r="A167" s="132"/>
      <c r="B167" s="104"/>
      <c r="C167" s="511" t="s">
        <v>160</v>
      </c>
      <c r="D167" s="511"/>
      <c r="E167" s="511"/>
      <c r="F167" s="511"/>
      <c r="G167" s="512"/>
      <c r="H167" s="107"/>
      <c r="I167" s="108"/>
      <c r="J167" s="109"/>
      <c r="K167" s="110"/>
      <c r="L167" s="111"/>
      <c r="M167" s="111"/>
      <c r="N167" s="111"/>
      <c r="O167" s="112"/>
      <c r="P167" s="105"/>
      <c r="Q167" s="212"/>
      <c r="R167" s="188"/>
      <c r="S167" s="113"/>
      <c r="T167" s="195"/>
      <c r="U167" s="198"/>
      <c r="V167" s="198"/>
      <c r="W167" s="198"/>
      <c r="X167" s="198"/>
      <c r="Y167" s="116"/>
      <c r="Z167" s="195"/>
      <c r="AA167" s="100"/>
      <c r="AB167" s="197"/>
      <c r="AC167" s="116"/>
      <c r="AD167" s="116"/>
      <c r="AE167" s="114"/>
    </row>
    <row r="168" spans="1:31" ht="12.95" customHeight="1" x14ac:dyDescent="0.35">
      <c r="A168" s="199"/>
      <c r="B168" s="234" t="s">
        <v>82</v>
      </c>
      <c r="C168" s="217" t="s">
        <v>161</v>
      </c>
      <c r="D168" s="111"/>
      <c r="E168" s="217"/>
      <c r="F168" s="217"/>
      <c r="G168" s="217"/>
      <c r="H168" s="107"/>
      <c r="I168" s="108"/>
      <c r="J168" s="109"/>
      <c r="K168" s="110"/>
      <c r="L168" s="111"/>
      <c r="M168" s="111"/>
      <c r="N168" s="111"/>
      <c r="O168" s="134">
        <v>12</v>
      </c>
      <c r="P168" s="111" t="s">
        <v>145</v>
      </c>
      <c r="Q168" s="207"/>
      <c r="R168" s="107">
        <f>O168*350000</f>
        <v>4200000</v>
      </c>
      <c r="S168" s="85">
        <f t="shared" ref="S168:S171" si="114">+R168/$R$184*100</f>
        <v>0.18756841222892456</v>
      </c>
      <c r="T168" s="99"/>
      <c r="U168" s="87"/>
      <c r="V168" s="87"/>
      <c r="W168" s="87"/>
      <c r="X168" s="87"/>
      <c r="Y168" s="88">
        <f>R168/12*6</f>
        <v>2100000</v>
      </c>
      <c r="Z168" s="99">
        <f t="shared" ref="Z168:Z171" si="115">+Y168/R168*100</f>
        <v>50</v>
      </c>
      <c r="AA168" s="100">
        <f t="shared" ref="AA168:AA170" si="116">1/14*Z168</f>
        <v>3.5714285714285712</v>
      </c>
      <c r="AB168" s="99">
        <f t="shared" ref="AB168:AB171" si="117">AA168*S168/100</f>
        <v>6.6988718653187337E-3</v>
      </c>
      <c r="AC168" s="88"/>
      <c r="AD168" s="88">
        <f t="shared" ref="AD168:AD171" si="118">+R168-Y168</f>
        <v>2100000</v>
      </c>
      <c r="AE168" s="86"/>
    </row>
    <row r="169" spans="1:31" ht="12.95" customHeight="1" x14ac:dyDescent="0.35">
      <c r="A169" s="199"/>
      <c r="B169" s="234" t="s">
        <v>82</v>
      </c>
      <c r="C169" s="217" t="s">
        <v>162</v>
      </c>
      <c r="D169" s="111"/>
      <c r="E169" s="217"/>
      <c r="F169" s="217"/>
      <c r="G169" s="217"/>
      <c r="H169" s="107"/>
      <c r="I169" s="108"/>
      <c r="J169" s="109"/>
      <c r="K169" s="110"/>
      <c r="L169" s="111"/>
      <c r="M169" s="111"/>
      <c r="N169" s="111"/>
      <c r="O169" s="134">
        <v>12</v>
      </c>
      <c r="P169" s="111" t="s">
        <v>145</v>
      </c>
      <c r="Q169" s="207"/>
      <c r="R169" s="107">
        <f>O169*300000</f>
        <v>3600000</v>
      </c>
      <c r="S169" s="85">
        <f t="shared" si="114"/>
        <v>0.16077292476764962</v>
      </c>
      <c r="T169" s="99"/>
      <c r="U169" s="87"/>
      <c r="V169" s="87"/>
      <c r="W169" s="87"/>
      <c r="X169" s="87"/>
      <c r="Y169" s="88">
        <f>R169/12*6</f>
        <v>1800000</v>
      </c>
      <c r="Z169" s="99">
        <f t="shared" si="115"/>
        <v>50</v>
      </c>
      <c r="AA169" s="100">
        <f t="shared" si="116"/>
        <v>3.5714285714285712</v>
      </c>
      <c r="AB169" s="99">
        <f t="shared" si="117"/>
        <v>5.7418901702732004E-3</v>
      </c>
      <c r="AC169" s="88"/>
      <c r="AD169" s="88">
        <f t="shared" si="118"/>
        <v>1800000</v>
      </c>
      <c r="AE169" s="114"/>
    </row>
    <row r="170" spans="1:31" ht="12.95" customHeight="1" x14ac:dyDescent="0.35">
      <c r="A170" s="199"/>
      <c r="B170" s="234" t="s">
        <v>82</v>
      </c>
      <c r="C170" s="217" t="s">
        <v>163</v>
      </c>
      <c r="D170" s="111"/>
      <c r="E170" s="217"/>
      <c r="F170" s="217"/>
      <c r="G170" s="217"/>
      <c r="H170" s="107"/>
      <c r="I170" s="108"/>
      <c r="J170" s="109"/>
      <c r="K170" s="110"/>
      <c r="L170" s="111"/>
      <c r="M170" s="111"/>
      <c r="N170" s="111"/>
      <c r="O170" s="134">
        <v>12</v>
      </c>
      <c r="P170" s="111" t="s">
        <v>145</v>
      </c>
      <c r="Q170" s="207"/>
      <c r="R170" s="107">
        <f>O170*250000</f>
        <v>3000000</v>
      </c>
      <c r="S170" s="85">
        <f t="shared" si="114"/>
        <v>0.13397743730637471</v>
      </c>
      <c r="T170" s="99"/>
      <c r="U170" s="87"/>
      <c r="V170" s="87"/>
      <c r="W170" s="87"/>
      <c r="X170" s="87"/>
      <c r="Y170" s="88">
        <f>R170/12*6</f>
        <v>1500000</v>
      </c>
      <c r="Z170" s="99">
        <f t="shared" si="115"/>
        <v>50</v>
      </c>
      <c r="AA170" s="100">
        <f t="shared" si="116"/>
        <v>3.5714285714285712</v>
      </c>
      <c r="AB170" s="99">
        <f t="shared" si="117"/>
        <v>4.784908475227668E-3</v>
      </c>
      <c r="AC170" s="88"/>
      <c r="AD170" s="88">
        <f t="shared" si="118"/>
        <v>1500000</v>
      </c>
      <c r="AE170" s="114"/>
    </row>
    <row r="171" spans="1:31" ht="12.95" customHeight="1" x14ac:dyDescent="0.35">
      <c r="A171" s="199"/>
      <c r="B171" s="234" t="s">
        <v>82</v>
      </c>
      <c r="C171" s="217" t="s">
        <v>164</v>
      </c>
      <c r="D171" s="111"/>
      <c r="E171" s="217"/>
      <c r="F171" s="217"/>
      <c r="G171" s="217"/>
      <c r="H171" s="107"/>
      <c r="I171" s="108"/>
      <c r="J171" s="109"/>
      <c r="K171" s="110"/>
      <c r="L171" s="111"/>
      <c r="M171" s="111"/>
      <c r="N171" s="111"/>
      <c r="O171" s="134">
        <v>48</v>
      </c>
      <c r="P171" s="111" t="s">
        <v>145</v>
      </c>
      <c r="Q171" s="207"/>
      <c r="R171" s="107">
        <f>O171*200000</f>
        <v>9600000</v>
      </c>
      <c r="S171" s="85">
        <f t="shared" si="114"/>
        <v>0.42872779938039907</v>
      </c>
      <c r="T171" s="99"/>
      <c r="U171" s="87"/>
      <c r="V171" s="87"/>
      <c r="W171" s="87"/>
      <c r="X171" s="87"/>
      <c r="Y171" s="88">
        <f>R171/12*6</f>
        <v>4800000</v>
      </c>
      <c r="Z171" s="99">
        <f t="shared" si="115"/>
        <v>50</v>
      </c>
      <c r="AA171" s="100">
        <f>1/14*Z171</f>
        <v>3.5714285714285712</v>
      </c>
      <c r="AB171" s="99">
        <f t="shared" si="117"/>
        <v>1.5311707120728537E-2</v>
      </c>
      <c r="AC171" s="88"/>
      <c r="AD171" s="88">
        <f t="shared" si="118"/>
        <v>4800000</v>
      </c>
      <c r="AE171" s="114"/>
    </row>
    <row r="172" spans="1:31" ht="12.95" customHeight="1" x14ac:dyDescent="0.35">
      <c r="A172" s="199"/>
      <c r="B172" s="234"/>
      <c r="C172" s="217"/>
      <c r="D172" s="111"/>
      <c r="E172" s="217"/>
      <c r="F172" s="217"/>
      <c r="G172" s="217"/>
      <c r="H172" s="107"/>
      <c r="I172" s="108"/>
      <c r="J172" s="109"/>
      <c r="K172" s="110"/>
      <c r="L172" s="111"/>
      <c r="M172" s="111"/>
      <c r="N172" s="111"/>
      <c r="O172" s="134"/>
      <c r="P172" s="111"/>
      <c r="Q172" s="207"/>
      <c r="R172" s="107"/>
      <c r="S172" s="113"/>
      <c r="T172" s="195"/>
      <c r="U172" s="196"/>
      <c r="V172" s="196"/>
      <c r="W172" s="196"/>
      <c r="X172" s="196"/>
      <c r="Y172" s="116"/>
      <c r="Z172" s="195"/>
      <c r="AA172" s="100"/>
      <c r="AB172" s="197"/>
      <c r="AC172" s="116"/>
      <c r="AD172" s="116"/>
      <c r="AE172" s="114"/>
    </row>
    <row r="173" spans="1:31" ht="12.95" customHeight="1" x14ac:dyDescent="0.35">
      <c r="A173" s="219">
        <v>521219</v>
      </c>
      <c r="B173" s="211" t="s">
        <v>165</v>
      </c>
      <c r="C173" s="105"/>
      <c r="D173" s="105"/>
      <c r="E173" s="105"/>
      <c r="F173" s="105"/>
      <c r="G173" s="106"/>
      <c r="H173" s="188"/>
      <c r="I173" s="171"/>
      <c r="J173" s="170"/>
      <c r="K173" s="189"/>
      <c r="L173" s="105"/>
      <c r="M173" s="105"/>
      <c r="N173" s="105"/>
      <c r="O173" s="112"/>
      <c r="P173" s="105"/>
      <c r="Q173" s="212"/>
      <c r="R173" s="188"/>
      <c r="S173" s="113"/>
      <c r="T173" s="190"/>
      <c r="U173" s="191"/>
      <c r="V173" s="191"/>
      <c r="W173" s="191"/>
      <c r="X173" s="191"/>
      <c r="Y173" s="192"/>
      <c r="Z173" s="190"/>
      <c r="AA173" s="100"/>
      <c r="AB173" s="193"/>
      <c r="AC173" s="192"/>
      <c r="AD173" s="192"/>
      <c r="AE173" s="179"/>
    </row>
    <row r="174" spans="1:31" ht="12.95" customHeight="1" x14ac:dyDescent="0.35">
      <c r="A174" s="199"/>
      <c r="B174" s="299" t="s">
        <v>82</v>
      </c>
      <c r="C174" s="300" t="s">
        <v>166</v>
      </c>
      <c r="D174" s="81"/>
      <c r="E174" s="81"/>
      <c r="F174" s="81"/>
      <c r="G174" s="289"/>
      <c r="H174" s="77"/>
      <c r="I174" s="78"/>
      <c r="J174" s="79"/>
      <c r="K174" s="80"/>
      <c r="L174" s="81"/>
      <c r="M174" s="81"/>
      <c r="N174" s="81"/>
      <c r="O174" s="185">
        <v>1</v>
      </c>
      <c r="P174" s="81" t="s">
        <v>83</v>
      </c>
      <c r="Q174" s="144"/>
      <c r="R174" s="77">
        <f>O174*4500000</f>
        <v>4500000</v>
      </c>
      <c r="S174" s="85">
        <f t="shared" ref="S174:S175" si="119">+R174/$R$184*100</f>
        <v>0.20096615595956205</v>
      </c>
      <c r="T174" s="99"/>
      <c r="U174" s="87"/>
      <c r="V174" s="87"/>
      <c r="W174" s="87"/>
      <c r="X174" s="87"/>
      <c r="Y174" s="88">
        <v>0</v>
      </c>
      <c r="Z174" s="99">
        <f t="shared" ref="Z174:Z175" si="120">+Y174/R174*100</f>
        <v>0</v>
      </c>
      <c r="AA174" s="100">
        <f t="shared" ref="AA174:AA175" si="121">Z174</f>
        <v>0</v>
      </c>
      <c r="AB174" s="99">
        <f t="shared" ref="AB174:AB175" si="122">AA174*S174/100</f>
        <v>0</v>
      </c>
      <c r="AC174" s="88"/>
      <c r="AD174" s="88">
        <f t="shared" ref="AD174:AD175" si="123">+R174-Y174</f>
        <v>4500000</v>
      </c>
      <c r="AE174" s="86"/>
    </row>
    <row r="175" spans="1:31" ht="12.95" customHeight="1" x14ac:dyDescent="0.35">
      <c r="A175" s="199"/>
      <c r="B175" s="235" t="s">
        <v>82</v>
      </c>
      <c r="C175" s="216" t="s">
        <v>167</v>
      </c>
      <c r="D175" s="111"/>
      <c r="E175" s="111"/>
      <c r="F175" s="111"/>
      <c r="G175" s="137"/>
      <c r="H175" s="107"/>
      <c r="I175" s="108"/>
      <c r="J175" s="109"/>
      <c r="K175" s="110"/>
      <c r="L175" s="111"/>
      <c r="M175" s="111"/>
      <c r="N175" s="111"/>
      <c r="O175" s="134">
        <v>2</v>
      </c>
      <c r="P175" s="111" t="s">
        <v>147</v>
      </c>
      <c r="Q175" s="207"/>
      <c r="R175" s="107">
        <f>O175*3000000</f>
        <v>6000000</v>
      </c>
      <c r="S175" s="85">
        <f t="shared" si="119"/>
        <v>0.26795487461274942</v>
      </c>
      <c r="T175" s="99"/>
      <c r="U175" s="87"/>
      <c r="V175" s="87"/>
      <c r="W175" s="87"/>
      <c r="X175" s="87"/>
      <c r="Y175" s="88">
        <v>0</v>
      </c>
      <c r="Z175" s="99">
        <f t="shared" si="120"/>
        <v>0</v>
      </c>
      <c r="AA175" s="100">
        <f t="shared" si="121"/>
        <v>0</v>
      </c>
      <c r="AB175" s="99">
        <f t="shared" si="122"/>
        <v>0</v>
      </c>
      <c r="AC175" s="88"/>
      <c r="AD175" s="88">
        <f t="shared" si="123"/>
        <v>6000000</v>
      </c>
      <c r="AE175" s="114"/>
    </row>
    <row r="176" spans="1:31" ht="12.95" customHeight="1" x14ac:dyDescent="0.35">
      <c r="A176" s="199"/>
      <c r="B176" s="235"/>
      <c r="C176" s="216"/>
      <c r="D176" s="111"/>
      <c r="E176" s="111"/>
      <c r="F176" s="111"/>
      <c r="G176" s="137"/>
      <c r="H176" s="107"/>
      <c r="I176" s="108"/>
      <c r="J176" s="109"/>
      <c r="K176" s="110"/>
      <c r="L176" s="111"/>
      <c r="M176" s="111"/>
      <c r="N176" s="111"/>
      <c r="O176" s="134"/>
      <c r="P176" s="111"/>
      <c r="Q176" s="207"/>
      <c r="R176" s="107"/>
      <c r="S176" s="113"/>
      <c r="T176" s="195"/>
      <c r="U176" s="196"/>
      <c r="V176" s="196"/>
      <c r="W176" s="196"/>
      <c r="X176" s="196"/>
      <c r="Y176" s="116"/>
      <c r="Z176" s="195"/>
      <c r="AA176" s="100"/>
      <c r="AB176" s="197"/>
      <c r="AC176" s="116"/>
      <c r="AD176" s="116"/>
      <c r="AE176" s="114"/>
    </row>
    <row r="177" spans="1:32" ht="12.95" customHeight="1" x14ac:dyDescent="0.35">
      <c r="A177" s="219">
        <v>522141</v>
      </c>
      <c r="B177" s="513" t="s">
        <v>168</v>
      </c>
      <c r="C177" s="514"/>
      <c r="D177" s="514"/>
      <c r="E177" s="514"/>
      <c r="F177" s="514"/>
      <c r="G177" s="515"/>
      <c r="H177" s="107"/>
      <c r="I177" s="108"/>
      <c r="J177" s="109"/>
      <c r="K177" s="110"/>
      <c r="L177" s="111"/>
      <c r="M177" s="111"/>
      <c r="N177" s="111"/>
      <c r="O177" s="134"/>
      <c r="P177" s="111"/>
      <c r="Q177" s="207"/>
      <c r="R177" s="107"/>
      <c r="S177" s="113"/>
      <c r="T177" s="195"/>
      <c r="U177" s="196"/>
      <c r="V177" s="196"/>
      <c r="W177" s="196"/>
      <c r="X177" s="196"/>
      <c r="Y177" s="116"/>
      <c r="Z177" s="195"/>
      <c r="AA177" s="100"/>
      <c r="AB177" s="197"/>
      <c r="AC177" s="116"/>
      <c r="AD177" s="116"/>
      <c r="AE177" s="114"/>
    </row>
    <row r="178" spans="1:32" ht="12.95" customHeight="1" x14ac:dyDescent="0.35">
      <c r="A178" s="199"/>
      <c r="B178" s="235" t="s">
        <v>82</v>
      </c>
      <c r="C178" s="216" t="s">
        <v>169</v>
      </c>
      <c r="D178" s="111"/>
      <c r="E178" s="111"/>
      <c r="F178" s="111"/>
      <c r="G178" s="137"/>
      <c r="H178" s="107"/>
      <c r="I178" s="108"/>
      <c r="J178" s="109"/>
      <c r="K178" s="110"/>
      <c r="L178" s="111"/>
      <c r="M178" s="111"/>
      <c r="N178" s="111"/>
      <c r="O178" s="134">
        <v>1</v>
      </c>
      <c r="P178" s="111" t="s">
        <v>83</v>
      </c>
      <c r="Q178" s="207"/>
      <c r="R178" s="107">
        <f>O178*4000000</f>
        <v>4000000</v>
      </c>
      <c r="S178" s="85">
        <f t="shared" ref="S178" si="124">+R178/$R$184*100</f>
        <v>0.17863658307516625</v>
      </c>
      <c r="T178" s="99"/>
      <c r="U178" s="87"/>
      <c r="V178" s="87"/>
      <c r="W178" s="87"/>
      <c r="X178" s="87"/>
      <c r="Y178" s="88">
        <v>0</v>
      </c>
      <c r="Z178" s="99">
        <f t="shared" ref="Z178" si="125">+Y178/R178*100</f>
        <v>0</v>
      </c>
      <c r="AA178" s="100">
        <f t="shared" ref="AA178" si="126">Z178</f>
        <v>0</v>
      </c>
      <c r="AB178" s="99">
        <f t="shared" ref="AB178" si="127">AA178*S178/100</f>
        <v>0</v>
      </c>
      <c r="AC178" s="88"/>
      <c r="AD178" s="88">
        <f t="shared" ref="AD178" si="128">+R178-Y178</f>
        <v>4000000</v>
      </c>
      <c r="AE178" s="86"/>
    </row>
    <row r="179" spans="1:32" ht="12.95" customHeight="1" x14ac:dyDescent="0.35">
      <c r="A179" s="199"/>
      <c r="B179" s="235"/>
      <c r="C179" s="216"/>
      <c r="D179" s="111"/>
      <c r="E179" s="111"/>
      <c r="F179" s="111"/>
      <c r="G179" s="137"/>
      <c r="H179" s="107"/>
      <c r="I179" s="108"/>
      <c r="J179" s="109"/>
      <c r="K179" s="110"/>
      <c r="L179" s="111"/>
      <c r="M179" s="111"/>
      <c r="N179" s="111"/>
      <c r="O179" s="134"/>
      <c r="P179" s="111"/>
      <c r="Q179" s="207"/>
      <c r="R179" s="107"/>
      <c r="S179" s="113"/>
      <c r="T179" s="195"/>
      <c r="U179" s="196"/>
      <c r="V179" s="196"/>
      <c r="W179" s="196"/>
      <c r="X179" s="196"/>
      <c r="Y179" s="116"/>
      <c r="Z179" s="195"/>
      <c r="AA179" s="100"/>
      <c r="AB179" s="197"/>
      <c r="AC179" s="116"/>
      <c r="AD179" s="116"/>
      <c r="AE179" s="114"/>
    </row>
    <row r="180" spans="1:32" ht="12.95" customHeight="1" x14ac:dyDescent="0.35">
      <c r="A180" s="199">
        <v>524111</v>
      </c>
      <c r="B180" s="301" t="s">
        <v>85</v>
      </c>
      <c r="C180" s="216"/>
      <c r="D180" s="111"/>
      <c r="E180" s="111"/>
      <c r="F180" s="111"/>
      <c r="G180" s="137"/>
      <c r="H180" s="107"/>
      <c r="I180" s="108"/>
      <c r="J180" s="109"/>
      <c r="K180" s="110"/>
      <c r="L180" s="111"/>
      <c r="M180" s="111"/>
      <c r="N180" s="111"/>
      <c r="O180" s="134"/>
      <c r="P180" s="111"/>
      <c r="Q180" s="207"/>
      <c r="R180" s="107"/>
      <c r="S180" s="113"/>
      <c r="T180" s="195"/>
      <c r="U180" s="196"/>
      <c r="V180" s="196"/>
      <c r="W180" s="196"/>
      <c r="X180" s="196"/>
      <c r="Y180" s="116"/>
      <c r="Z180" s="195"/>
      <c r="AA180" s="100"/>
      <c r="AB180" s="197"/>
      <c r="AC180" s="116"/>
      <c r="AD180" s="116"/>
      <c r="AE180" s="114"/>
    </row>
    <row r="181" spans="1:32" ht="12.95" customHeight="1" x14ac:dyDescent="0.35">
      <c r="A181" s="199"/>
      <c r="B181" s="230" t="s">
        <v>82</v>
      </c>
      <c r="C181" s="217" t="s">
        <v>102</v>
      </c>
      <c r="D181" s="217"/>
      <c r="E181" s="217"/>
      <c r="F181" s="217"/>
      <c r="G181" s="218"/>
      <c r="H181" s="107"/>
      <c r="I181" s="108"/>
      <c r="J181" s="109"/>
      <c r="K181" s="110"/>
      <c r="L181" s="111"/>
      <c r="M181" s="111"/>
      <c r="N181" s="111"/>
      <c r="O181" s="134">
        <v>1</v>
      </c>
      <c r="P181" s="111" t="s">
        <v>83</v>
      </c>
      <c r="Q181" s="207"/>
      <c r="R181" s="107">
        <f>O181*40500000</f>
        <v>40500000</v>
      </c>
      <c r="S181" s="85">
        <f t="shared" ref="S181" si="129">+R181/$R$184*100</f>
        <v>1.8086954036360583</v>
      </c>
      <c r="T181" s="99"/>
      <c r="U181" s="87"/>
      <c r="V181" s="87"/>
      <c r="W181" s="87"/>
      <c r="X181" s="87"/>
      <c r="Y181" s="88">
        <f>22002000+360000+120000</f>
        <v>22482000</v>
      </c>
      <c r="Z181" s="99">
        <f t="shared" ref="Z181" si="130">+Y181/R181*100</f>
        <v>55.511111111111113</v>
      </c>
      <c r="AA181" s="100">
        <f>4/12*Z181</f>
        <v>18.503703703703703</v>
      </c>
      <c r="AB181" s="99">
        <f t="shared" ref="AB181" si="131">AA181*S181/100</f>
        <v>0.33467563839132397</v>
      </c>
      <c r="AC181" s="88"/>
      <c r="AD181" s="88">
        <f t="shared" ref="AD181" si="132">+R181-Y181</f>
        <v>18018000</v>
      </c>
      <c r="AE181" s="86"/>
    </row>
    <row r="182" spans="1:32" ht="12.95" customHeight="1" x14ac:dyDescent="0.35">
      <c r="A182" s="302"/>
      <c r="B182" s="303"/>
      <c r="C182" s="304"/>
      <c r="D182" s="278"/>
      <c r="E182" s="278"/>
      <c r="F182" s="278"/>
      <c r="G182" s="101"/>
      <c r="H182" s="173"/>
      <c r="I182" s="290"/>
      <c r="J182" s="291"/>
      <c r="K182" s="292"/>
      <c r="L182" s="278"/>
      <c r="M182" s="278"/>
      <c r="N182" s="278"/>
      <c r="O182" s="293"/>
      <c r="P182" s="278"/>
      <c r="Q182" s="294"/>
      <c r="R182" s="173"/>
      <c r="S182" s="305"/>
      <c r="T182" s="175"/>
      <c r="U182" s="306"/>
      <c r="V182" s="306"/>
      <c r="W182" s="306"/>
      <c r="X182" s="306"/>
      <c r="Y182" s="177"/>
      <c r="Z182" s="175"/>
      <c r="AA182" s="178"/>
      <c r="AB182" s="295"/>
      <c r="AC182" s="177"/>
      <c r="AD182" s="177"/>
      <c r="AE182" s="174"/>
      <c r="AF182" s="90"/>
    </row>
    <row r="183" spans="1:32" ht="12.95" customHeight="1" x14ac:dyDescent="0.35">
      <c r="A183" s="199"/>
      <c r="B183" s="486"/>
      <c r="C183" s="217"/>
      <c r="D183" s="111"/>
      <c r="E183" s="217"/>
      <c r="F183" s="217"/>
      <c r="G183" s="217"/>
      <c r="H183" s="107"/>
      <c r="I183" s="108"/>
      <c r="J183" s="109"/>
      <c r="K183" s="110"/>
      <c r="L183" s="111"/>
      <c r="M183" s="111"/>
      <c r="N183" s="111"/>
      <c r="O183" s="134"/>
      <c r="P183" s="111"/>
      <c r="Q183" s="207"/>
      <c r="R183" s="107"/>
      <c r="S183" s="113"/>
      <c r="T183" s="195"/>
      <c r="U183" s="196"/>
      <c r="V183" s="196"/>
      <c r="W183" s="196"/>
      <c r="X183" s="196"/>
      <c r="Y183" s="116"/>
      <c r="Z183" s="195"/>
      <c r="AA183" s="202"/>
      <c r="AB183" s="197"/>
      <c r="AC183" s="116"/>
      <c r="AD183" s="116"/>
      <c r="AE183" s="114"/>
    </row>
    <row r="184" spans="1:32" s="28" customFormat="1" ht="14.25" customHeight="1" thickBot="1" x14ac:dyDescent="0.4">
      <c r="A184" s="238"/>
      <c r="B184" s="239" t="s">
        <v>171</v>
      </c>
      <c r="C184" s="240"/>
      <c r="D184" s="241"/>
      <c r="E184" s="241"/>
      <c r="F184" s="241"/>
      <c r="G184" s="242"/>
      <c r="H184" s="243"/>
      <c r="I184" s="244"/>
      <c r="J184" s="245"/>
      <c r="K184" s="246"/>
      <c r="L184" s="241"/>
      <c r="M184" s="241"/>
      <c r="N184" s="241"/>
      <c r="O184" s="247"/>
      <c r="P184" s="248"/>
      <c r="Q184" s="249"/>
      <c r="R184" s="250">
        <f>SUM(R17:R183)</f>
        <v>2239183000</v>
      </c>
      <c r="S184" s="251">
        <f>SUM(S26:S183)</f>
        <v>100.00000000000001</v>
      </c>
      <c r="T184" s="251">
        <f>SUM(T66:T183)</f>
        <v>0</v>
      </c>
      <c r="U184" s="252" t="s">
        <v>82</v>
      </c>
      <c r="V184" s="252" t="s">
        <v>82</v>
      </c>
      <c r="W184" s="252" t="s">
        <v>82</v>
      </c>
      <c r="X184" s="252" t="s">
        <v>82</v>
      </c>
      <c r="Y184" s="253">
        <f>SUM(Y17:Y183)</f>
        <v>979254214</v>
      </c>
      <c r="Z184" s="251">
        <f>+Y184/R184*100</f>
        <v>43.73265668772941</v>
      </c>
      <c r="AA184" s="254">
        <f>SUM(AA17:AA183)</f>
        <v>2154.4221353635662</v>
      </c>
      <c r="AB184" s="254">
        <f>SUM(AB17:AB183)</f>
        <v>22.69533199640864</v>
      </c>
      <c r="AC184" s="253">
        <f>SUM(AC17:AC183)</f>
        <v>0</v>
      </c>
      <c r="AD184" s="253">
        <f>SUM(AD17:AD183)</f>
        <v>1259928786</v>
      </c>
      <c r="AE184" s="255"/>
    </row>
    <row r="185" spans="1:32" ht="12.95" customHeight="1" thickTop="1" x14ac:dyDescent="0.35">
      <c r="A185" s="256"/>
      <c r="B185" s="479"/>
      <c r="C185" s="257"/>
      <c r="D185" s="13"/>
      <c r="E185" s="14"/>
      <c r="F185" s="14"/>
      <c r="G185" s="14"/>
      <c r="H185" s="258"/>
      <c r="I185" s="258"/>
      <c r="J185" s="258"/>
      <c r="K185" s="259"/>
    </row>
    <row r="186" spans="1:32" ht="12.95" customHeight="1" x14ac:dyDescent="0.35">
      <c r="A186" s="261"/>
      <c r="B186" s="262"/>
      <c r="C186" s="262"/>
      <c r="G186" s="516"/>
      <c r="H186" s="516"/>
      <c r="I186" s="516"/>
      <c r="J186" s="516"/>
      <c r="K186" s="516"/>
      <c r="AB186" s="502" t="s">
        <v>275</v>
      </c>
      <c r="AC186" s="502"/>
      <c r="AD186" s="502"/>
      <c r="AE186" s="502"/>
    </row>
    <row r="187" spans="1:32" ht="12.95" customHeight="1" x14ac:dyDescent="0.35">
      <c r="A187" s="261"/>
      <c r="B187" s="262"/>
      <c r="C187" s="262"/>
      <c r="G187" s="265"/>
      <c r="H187" s="266"/>
      <c r="I187" s="266"/>
      <c r="J187" s="266"/>
      <c r="K187" s="266"/>
      <c r="Q187" s="267" t="s">
        <v>172</v>
      </c>
    </row>
    <row r="188" spans="1:32" ht="12.95" customHeight="1" x14ac:dyDescent="0.35">
      <c r="A188" s="261"/>
      <c r="B188" s="262"/>
      <c r="C188" s="268"/>
      <c r="G188" s="265"/>
      <c r="H188" s="265"/>
      <c r="I188" s="265"/>
      <c r="J188" s="265"/>
      <c r="K188" s="265"/>
      <c r="Q188" s="267" t="s">
        <v>173</v>
      </c>
      <c r="AB188" s="502" t="s">
        <v>174</v>
      </c>
      <c r="AC188" s="502"/>
      <c r="AD188" s="502"/>
      <c r="AE188" s="502"/>
    </row>
    <row r="189" spans="1:32" ht="12.95" customHeight="1" x14ac:dyDescent="0.35">
      <c r="A189" s="261"/>
      <c r="B189" s="262"/>
      <c r="C189" s="262"/>
      <c r="G189" s="269"/>
      <c r="H189" s="269"/>
      <c r="I189" s="269"/>
      <c r="J189" s="269"/>
      <c r="K189" s="269"/>
      <c r="Q189" s="270" t="s">
        <v>175</v>
      </c>
    </row>
    <row r="190" spans="1:32" ht="12.95" customHeight="1" x14ac:dyDescent="0.35">
      <c r="A190" s="261"/>
      <c r="B190" s="262"/>
      <c r="C190" s="262"/>
      <c r="G190" s="28"/>
      <c r="H190" s="28"/>
      <c r="I190" s="271"/>
      <c r="J190" s="271"/>
      <c r="K190" s="272"/>
    </row>
    <row r="191" spans="1:32" ht="12.95" customHeight="1" x14ac:dyDescent="0.35">
      <c r="A191" s="273"/>
      <c r="G191" s="28"/>
      <c r="H191" s="28"/>
      <c r="I191" s="271"/>
      <c r="J191" s="271"/>
      <c r="K191" s="272"/>
      <c r="AB191" s="517" t="s">
        <v>176</v>
      </c>
      <c r="AC191" s="517"/>
      <c r="AD191" s="517"/>
      <c r="AE191" s="517"/>
    </row>
    <row r="192" spans="1:32" ht="12.95" customHeight="1" x14ac:dyDescent="0.35">
      <c r="A192" s="273"/>
      <c r="H192" s="13"/>
      <c r="I192" s="13"/>
      <c r="J192" s="272"/>
      <c r="K192" s="274"/>
      <c r="AB192" s="502" t="s">
        <v>177</v>
      </c>
      <c r="AC192" s="502"/>
      <c r="AD192" s="502"/>
      <c r="AE192" s="502"/>
    </row>
    <row r="193" spans="1:17" ht="18" customHeight="1" x14ac:dyDescent="0.35">
      <c r="A193" s="273"/>
      <c r="H193" s="13"/>
      <c r="I193" s="13"/>
      <c r="J193" s="272"/>
      <c r="K193" s="274"/>
      <c r="Q193" s="267" t="s">
        <v>178</v>
      </c>
    </row>
    <row r="194" spans="1:17" ht="18" customHeight="1" x14ac:dyDescent="0.35">
      <c r="A194" s="273"/>
      <c r="H194" s="268"/>
      <c r="I194" s="268"/>
      <c r="J194" s="268"/>
      <c r="K194" s="268"/>
    </row>
  </sheetData>
  <mergeCells count="34">
    <mergeCell ref="AB192:AE192"/>
    <mergeCell ref="B16:G16"/>
    <mergeCell ref="H16:I16"/>
    <mergeCell ref="O16:P16"/>
    <mergeCell ref="D68:G68"/>
    <mergeCell ref="B139:G139"/>
    <mergeCell ref="C167:G167"/>
    <mergeCell ref="B177:G177"/>
    <mergeCell ref="G186:K186"/>
    <mergeCell ref="AB186:AE186"/>
    <mergeCell ref="AB188:AE188"/>
    <mergeCell ref="AB191:AE191"/>
    <mergeCell ref="Y12:Z12"/>
    <mergeCell ref="AA12:AB12"/>
    <mergeCell ref="H13:I15"/>
    <mergeCell ref="J13:J15"/>
    <mergeCell ref="K13:K15"/>
    <mergeCell ref="S12:S15"/>
    <mergeCell ref="A1:S1"/>
    <mergeCell ref="A2:AE2"/>
    <mergeCell ref="A3:AE3"/>
    <mergeCell ref="F7:G7"/>
    <mergeCell ref="W11:X12"/>
    <mergeCell ref="Y11:Z11"/>
    <mergeCell ref="AA11:AB11"/>
    <mergeCell ref="AC11:AD12"/>
    <mergeCell ref="AE11:AE15"/>
    <mergeCell ref="A12:A15"/>
    <mergeCell ref="B12:G15"/>
    <mergeCell ref="H12:K12"/>
    <mergeCell ref="O12:P15"/>
    <mergeCell ref="Q12:Q15"/>
    <mergeCell ref="R12:R15"/>
    <mergeCell ref="T12:U12"/>
  </mergeCells>
  <printOptions horizontalCentered="1"/>
  <pageMargins left="0.25" right="0.25" top="0.5" bottom="0.5" header="0.511811023622047" footer="0.511811023622047"/>
  <pageSetup paperSize="5" scale="75" orientation="landscape" horizontalDpi="4294967294" r:id="rId1"/>
  <headerFooter alignWithMargins="0"/>
  <rowBreaks count="1" manualBreakCount="1">
    <brk id="92" max="1638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3"/>
  </sheetPr>
  <dimension ref="A1:AO194"/>
  <sheetViews>
    <sheetView view="pageBreakPreview" zoomScale="90" zoomScaleSheetLayoutView="90" workbookViewId="0">
      <selection sqref="A1:AE192"/>
    </sheetView>
  </sheetViews>
  <sheetFormatPr defaultRowHeight="18" customHeight="1" x14ac:dyDescent="0.35"/>
  <cols>
    <col min="1" max="1" width="12.28515625" style="275" customWidth="1"/>
    <col min="2" max="2" width="2.42578125" style="263" customWidth="1"/>
    <col min="3" max="3" width="3.42578125" style="263" customWidth="1"/>
    <col min="4" max="4" width="13.28515625" style="263" customWidth="1"/>
    <col min="5" max="5" width="3.140625" style="263" customWidth="1"/>
    <col min="6" max="6" width="5.140625" style="263" customWidth="1"/>
    <col min="7" max="7" width="16.42578125" style="13" customWidth="1"/>
    <col min="8" max="8" width="6.85546875" style="263" hidden="1" customWidth="1"/>
    <col min="9" max="9" width="5.28515625" style="263" hidden="1" customWidth="1"/>
    <col min="10" max="10" width="16.140625" style="276" hidden="1" customWidth="1"/>
    <col min="11" max="11" width="22.42578125" style="277" hidden="1" customWidth="1"/>
    <col min="12" max="14" width="9.140625" style="13" hidden="1" customWidth="1"/>
    <col min="15" max="15" width="4.140625" style="13" customWidth="1"/>
    <col min="16" max="16" width="5.7109375" style="13" customWidth="1"/>
    <col min="17" max="17" width="16.140625" style="13" hidden="1" customWidth="1"/>
    <col min="18" max="18" width="15.7109375" style="13" customWidth="1"/>
    <col min="19" max="19" width="7.7109375" style="260" customWidth="1"/>
    <col min="20" max="20" width="9.140625" style="13"/>
    <col min="21" max="21" width="10.85546875" style="13" customWidth="1"/>
    <col min="22" max="22" width="9.7109375" style="13" customWidth="1"/>
    <col min="23" max="23" width="8.85546875" style="13" customWidth="1"/>
    <col min="24" max="24" width="10.7109375" style="13" customWidth="1"/>
    <col min="25" max="25" width="16" style="13" customWidth="1"/>
    <col min="26" max="26" width="8.7109375" style="13" customWidth="1"/>
    <col min="27" max="27" width="8.140625" style="13" bestFit="1" customWidth="1"/>
    <col min="28" max="28" width="8.7109375" style="13" customWidth="1"/>
    <col min="29" max="29" width="16" style="13" customWidth="1"/>
    <col min="30" max="30" width="16.140625" style="13" bestFit="1" customWidth="1"/>
    <col min="31" max="31" width="9.42578125" style="13" customWidth="1"/>
    <col min="32" max="256" width="9.140625" style="13"/>
    <col min="257" max="257" width="12.28515625" style="13" customWidth="1"/>
    <col min="258" max="258" width="2.42578125" style="13" customWidth="1"/>
    <col min="259" max="259" width="3.42578125" style="13" customWidth="1"/>
    <col min="260" max="260" width="13.28515625" style="13" customWidth="1"/>
    <col min="261" max="261" width="3.140625" style="13" customWidth="1"/>
    <col min="262" max="262" width="5.140625" style="13" customWidth="1"/>
    <col min="263" max="263" width="16.42578125" style="13" customWidth="1"/>
    <col min="264" max="270" width="0" style="13" hidden="1" customWidth="1"/>
    <col min="271" max="271" width="4.140625" style="13" customWidth="1"/>
    <col min="272" max="272" width="5.7109375" style="13" customWidth="1"/>
    <col min="273" max="273" width="0" style="13" hidden="1" customWidth="1"/>
    <col min="274" max="274" width="15.7109375" style="13" customWidth="1"/>
    <col min="275" max="275" width="7.7109375" style="13" customWidth="1"/>
    <col min="276" max="276" width="9.140625" style="13"/>
    <col min="277" max="277" width="10.85546875" style="13" customWidth="1"/>
    <col min="278" max="278" width="9.7109375" style="13" customWidth="1"/>
    <col min="279" max="279" width="8.85546875" style="13" customWidth="1"/>
    <col min="280" max="280" width="10.7109375" style="13" customWidth="1"/>
    <col min="281" max="281" width="16" style="13" customWidth="1"/>
    <col min="282" max="282" width="8.7109375" style="13" customWidth="1"/>
    <col min="283" max="283" width="6.5703125" style="13" bestFit="1" customWidth="1"/>
    <col min="284" max="284" width="8.7109375" style="13" customWidth="1"/>
    <col min="285" max="285" width="16" style="13" customWidth="1"/>
    <col min="286" max="286" width="15" style="13" customWidth="1"/>
    <col min="287" max="287" width="9.42578125" style="13" customWidth="1"/>
    <col min="288" max="512" width="9.140625" style="13"/>
    <col min="513" max="513" width="12.28515625" style="13" customWidth="1"/>
    <col min="514" max="514" width="2.42578125" style="13" customWidth="1"/>
    <col min="515" max="515" width="3.42578125" style="13" customWidth="1"/>
    <col min="516" max="516" width="13.28515625" style="13" customWidth="1"/>
    <col min="517" max="517" width="3.140625" style="13" customWidth="1"/>
    <col min="518" max="518" width="5.140625" style="13" customWidth="1"/>
    <col min="519" max="519" width="16.42578125" style="13" customWidth="1"/>
    <col min="520" max="526" width="0" style="13" hidden="1" customWidth="1"/>
    <col min="527" max="527" width="4.140625" style="13" customWidth="1"/>
    <col min="528" max="528" width="5.7109375" style="13" customWidth="1"/>
    <col min="529" max="529" width="0" style="13" hidden="1" customWidth="1"/>
    <col min="530" max="530" width="15.7109375" style="13" customWidth="1"/>
    <col min="531" max="531" width="7.7109375" style="13" customWidth="1"/>
    <col min="532" max="532" width="9.140625" style="13"/>
    <col min="533" max="533" width="10.85546875" style="13" customWidth="1"/>
    <col min="534" max="534" width="9.7109375" style="13" customWidth="1"/>
    <col min="535" max="535" width="8.85546875" style="13" customWidth="1"/>
    <col min="536" max="536" width="10.7109375" style="13" customWidth="1"/>
    <col min="537" max="537" width="16" style="13" customWidth="1"/>
    <col min="538" max="538" width="8.7109375" style="13" customWidth="1"/>
    <col min="539" max="539" width="6.5703125" style="13" bestFit="1" customWidth="1"/>
    <col min="540" max="540" width="8.7109375" style="13" customWidth="1"/>
    <col min="541" max="541" width="16" style="13" customWidth="1"/>
    <col min="542" max="542" width="15" style="13" customWidth="1"/>
    <col min="543" max="543" width="9.42578125" style="13" customWidth="1"/>
    <col min="544" max="768" width="9.140625" style="13"/>
    <col min="769" max="769" width="12.28515625" style="13" customWidth="1"/>
    <col min="770" max="770" width="2.42578125" style="13" customWidth="1"/>
    <col min="771" max="771" width="3.42578125" style="13" customWidth="1"/>
    <col min="772" max="772" width="13.28515625" style="13" customWidth="1"/>
    <col min="773" max="773" width="3.140625" style="13" customWidth="1"/>
    <col min="774" max="774" width="5.140625" style="13" customWidth="1"/>
    <col min="775" max="775" width="16.42578125" style="13" customWidth="1"/>
    <col min="776" max="782" width="0" style="13" hidden="1" customWidth="1"/>
    <col min="783" max="783" width="4.140625" style="13" customWidth="1"/>
    <col min="784" max="784" width="5.7109375" style="13" customWidth="1"/>
    <col min="785" max="785" width="0" style="13" hidden="1" customWidth="1"/>
    <col min="786" max="786" width="15.7109375" style="13" customWidth="1"/>
    <col min="787" max="787" width="7.7109375" style="13" customWidth="1"/>
    <col min="788" max="788" width="9.140625" style="13"/>
    <col min="789" max="789" width="10.85546875" style="13" customWidth="1"/>
    <col min="790" max="790" width="9.7109375" style="13" customWidth="1"/>
    <col min="791" max="791" width="8.85546875" style="13" customWidth="1"/>
    <col min="792" max="792" width="10.7109375" style="13" customWidth="1"/>
    <col min="793" max="793" width="16" style="13" customWidth="1"/>
    <col min="794" max="794" width="8.7109375" style="13" customWidth="1"/>
    <col min="795" max="795" width="6.5703125" style="13" bestFit="1" customWidth="1"/>
    <col min="796" max="796" width="8.7109375" style="13" customWidth="1"/>
    <col min="797" max="797" width="16" style="13" customWidth="1"/>
    <col min="798" max="798" width="15" style="13" customWidth="1"/>
    <col min="799" max="799" width="9.42578125" style="13" customWidth="1"/>
    <col min="800" max="1024" width="9.140625" style="13"/>
    <col min="1025" max="1025" width="12.28515625" style="13" customWidth="1"/>
    <col min="1026" max="1026" width="2.42578125" style="13" customWidth="1"/>
    <col min="1027" max="1027" width="3.42578125" style="13" customWidth="1"/>
    <col min="1028" max="1028" width="13.28515625" style="13" customWidth="1"/>
    <col min="1029" max="1029" width="3.140625" style="13" customWidth="1"/>
    <col min="1030" max="1030" width="5.140625" style="13" customWidth="1"/>
    <col min="1031" max="1031" width="16.42578125" style="13" customWidth="1"/>
    <col min="1032" max="1038" width="0" style="13" hidden="1" customWidth="1"/>
    <col min="1039" max="1039" width="4.140625" style="13" customWidth="1"/>
    <col min="1040" max="1040" width="5.7109375" style="13" customWidth="1"/>
    <col min="1041" max="1041" width="0" style="13" hidden="1" customWidth="1"/>
    <col min="1042" max="1042" width="15.7109375" style="13" customWidth="1"/>
    <col min="1043" max="1043" width="7.7109375" style="13" customWidth="1"/>
    <col min="1044" max="1044" width="9.140625" style="13"/>
    <col min="1045" max="1045" width="10.85546875" style="13" customWidth="1"/>
    <col min="1046" max="1046" width="9.7109375" style="13" customWidth="1"/>
    <col min="1047" max="1047" width="8.85546875" style="13" customWidth="1"/>
    <col min="1048" max="1048" width="10.7109375" style="13" customWidth="1"/>
    <col min="1049" max="1049" width="16" style="13" customWidth="1"/>
    <col min="1050" max="1050" width="8.7109375" style="13" customWidth="1"/>
    <col min="1051" max="1051" width="6.5703125" style="13" bestFit="1" customWidth="1"/>
    <col min="1052" max="1052" width="8.7109375" style="13" customWidth="1"/>
    <col min="1053" max="1053" width="16" style="13" customWidth="1"/>
    <col min="1054" max="1054" width="15" style="13" customWidth="1"/>
    <col min="1055" max="1055" width="9.42578125" style="13" customWidth="1"/>
    <col min="1056" max="1280" width="9.140625" style="13"/>
    <col min="1281" max="1281" width="12.28515625" style="13" customWidth="1"/>
    <col min="1282" max="1282" width="2.42578125" style="13" customWidth="1"/>
    <col min="1283" max="1283" width="3.42578125" style="13" customWidth="1"/>
    <col min="1284" max="1284" width="13.28515625" style="13" customWidth="1"/>
    <col min="1285" max="1285" width="3.140625" style="13" customWidth="1"/>
    <col min="1286" max="1286" width="5.140625" style="13" customWidth="1"/>
    <col min="1287" max="1287" width="16.42578125" style="13" customWidth="1"/>
    <col min="1288" max="1294" width="0" style="13" hidden="1" customWidth="1"/>
    <col min="1295" max="1295" width="4.140625" style="13" customWidth="1"/>
    <col min="1296" max="1296" width="5.7109375" style="13" customWidth="1"/>
    <col min="1297" max="1297" width="0" style="13" hidden="1" customWidth="1"/>
    <col min="1298" max="1298" width="15.7109375" style="13" customWidth="1"/>
    <col min="1299" max="1299" width="7.7109375" style="13" customWidth="1"/>
    <col min="1300" max="1300" width="9.140625" style="13"/>
    <col min="1301" max="1301" width="10.85546875" style="13" customWidth="1"/>
    <col min="1302" max="1302" width="9.7109375" style="13" customWidth="1"/>
    <col min="1303" max="1303" width="8.85546875" style="13" customWidth="1"/>
    <col min="1304" max="1304" width="10.7109375" style="13" customWidth="1"/>
    <col min="1305" max="1305" width="16" style="13" customWidth="1"/>
    <col min="1306" max="1306" width="8.7109375" style="13" customWidth="1"/>
    <col min="1307" max="1307" width="6.5703125" style="13" bestFit="1" customWidth="1"/>
    <col min="1308" max="1308" width="8.7109375" style="13" customWidth="1"/>
    <col min="1309" max="1309" width="16" style="13" customWidth="1"/>
    <col min="1310" max="1310" width="15" style="13" customWidth="1"/>
    <col min="1311" max="1311" width="9.42578125" style="13" customWidth="1"/>
    <col min="1312" max="1536" width="9.140625" style="13"/>
    <col min="1537" max="1537" width="12.28515625" style="13" customWidth="1"/>
    <col min="1538" max="1538" width="2.42578125" style="13" customWidth="1"/>
    <col min="1539" max="1539" width="3.42578125" style="13" customWidth="1"/>
    <col min="1540" max="1540" width="13.28515625" style="13" customWidth="1"/>
    <col min="1541" max="1541" width="3.140625" style="13" customWidth="1"/>
    <col min="1542" max="1542" width="5.140625" style="13" customWidth="1"/>
    <col min="1543" max="1543" width="16.42578125" style="13" customWidth="1"/>
    <col min="1544" max="1550" width="0" style="13" hidden="1" customWidth="1"/>
    <col min="1551" max="1551" width="4.140625" style="13" customWidth="1"/>
    <col min="1552" max="1552" width="5.7109375" style="13" customWidth="1"/>
    <col min="1553" max="1553" width="0" style="13" hidden="1" customWidth="1"/>
    <col min="1554" max="1554" width="15.7109375" style="13" customWidth="1"/>
    <col min="1555" max="1555" width="7.7109375" style="13" customWidth="1"/>
    <col min="1556" max="1556" width="9.140625" style="13"/>
    <col min="1557" max="1557" width="10.85546875" style="13" customWidth="1"/>
    <col min="1558" max="1558" width="9.7109375" style="13" customWidth="1"/>
    <col min="1559" max="1559" width="8.85546875" style="13" customWidth="1"/>
    <col min="1560" max="1560" width="10.7109375" style="13" customWidth="1"/>
    <col min="1561" max="1561" width="16" style="13" customWidth="1"/>
    <col min="1562" max="1562" width="8.7109375" style="13" customWidth="1"/>
    <col min="1563" max="1563" width="6.5703125" style="13" bestFit="1" customWidth="1"/>
    <col min="1564" max="1564" width="8.7109375" style="13" customWidth="1"/>
    <col min="1565" max="1565" width="16" style="13" customWidth="1"/>
    <col min="1566" max="1566" width="15" style="13" customWidth="1"/>
    <col min="1567" max="1567" width="9.42578125" style="13" customWidth="1"/>
    <col min="1568" max="1792" width="9.140625" style="13"/>
    <col min="1793" max="1793" width="12.28515625" style="13" customWidth="1"/>
    <col min="1794" max="1794" width="2.42578125" style="13" customWidth="1"/>
    <col min="1795" max="1795" width="3.42578125" style="13" customWidth="1"/>
    <col min="1796" max="1796" width="13.28515625" style="13" customWidth="1"/>
    <col min="1797" max="1797" width="3.140625" style="13" customWidth="1"/>
    <col min="1798" max="1798" width="5.140625" style="13" customWidth="1"/>
    <col min="1799" max="1799" width="16.42578125" style="13" customWidth="1"/>
    <col min="1800" max="1806" width="0" style="13" hidden="1" customWidth="1"/>
    <col min="1807" max="1807" width="4.140625" style="13" customWidth="1"/>
    <col min="1808" max="1808" width="5.7109375" style="13" customWidth="1"/>
    <col min="1809" max="1809" width="0" style="13" hidden="1" customWidth="1"/>
    <col min="1810" max="1810" width="15.7109375" style="13" customWidth="1"/>
    <col min="1811" max="1811" width="7.7109375" style="13" customWidth="1"/>
    <col min="1812" max="1812" width="9.140625" style="13"/>
    <col min="1813" max="1813" width="10.85546875" style="13" customWidth="1"/>
    <col min="1814" max="1814" width="9.7109375" style="13" customWidth="1"/>
    <col min="1815" max="1815" width="8.85546875" style="13" customWidth="1"/>
    <col min="1816" max="1816" width="10.7109375" style="13" customWidth="1"/>
    <col min="1817" max="1817" width="16" style="13" customWidth="1"/>
    <col min="1818" max="1818" width="8.7109375" style="13" customWidth="1"/>
    <col min="1819" max="1819" width="6.5703125" style="13" bestFit="1" customWidth="1"/>
    <col min="1820" max="1820" width="8.7109375" style="13" customWidth="1"/>
    <col min="1821" max="1821" width="16" style="13" customWidth="1"/>
    <col min="1822" max="1822" width="15" style="13" customWidth="1"/>
    <col min="1823" max="1823" width="9.42578125" style="13" customWidth="1"/>
    <col min="1824" max="2048" width="9.140625" style="13"/>
    <col min="2049" max="2049" width="12.28515625" style="13" customWidth="1"/>
    <col min="2050" max="2050" width="2.42578125" style="13" customWidth="1"/>
    <col min="2051" max="2051" width="3.42578125" style="13" customWidth="1"/>
    <col min="2052" max="2052" width="13.28515625" style="13" customWidth="1"/>
    <col min="2053" max="2053" width="3.140625" style="13" customWidth="1"/>
    <col min="2054" max="2054" width="5.140625" style="13" customWidth="1"/>
    <col min="2055" max="2055" width="16.42578125" style="13" customWidth="1"/>
    <col min="2056" max="2062" width="0" style="13" hidden="1" customWidth="1"/>
    <col min="2063" max="2063" width="4.140625" style="13" customWidth="1"/>
    <col min="2064" max="2064" width="5.7109375" style="13" customWidth="1"/>
    <col min="2065" max="2065" width="0" style="13" hidden="1" customWidth="1"/>
    <col min="2066" max="2066" width="15.7109375" style="13" customWidth="1"/>
    <col min="2067" max="2067" width="7.7109375" style="13" customWidth="1"/>
    <col min="2068" max="2068" width="9.140625" style="13"/>
    <col min="2069" max="2069" width="10.85546875" style="13" customWidth="1"/>
    <col min="2070" max="2070" width="9.7109375" style="13" customWidth="1"/>
    <col min="2071" max="2071" width="8.85546875" style="13" customWidth="1"/>
    <col min="2072" max="2072" width="10.7109375" style="13" customWidth="1"/>
    <col min="2073" max="2073" width="16" style="13" customWidth="1"/>
    <col min="2074" max="2074" width="8.7109375" style="13" customWidth="1"/>
    <col min="2075" max="2075" width="6.5703125" style="13" bestFit="1" customWidth="1"/>
    <col min="2076" max="2076" width="8.7109375" style="13" customWidth="1"/>
    <col min="2077" max="2077" width="16" style="13" customWidth="1"/>
    <col min="2078" max="2078" width="15" style="13" customWidth="1"/>
    <col min="2079" max="2079" width="9.42578125" style="13" customWidth="1"/>
    <col min="2080" max="2304" width="9.140625" style="13"/>
    <col min="2305" max="2305" width="12.28515625" style="13" customWidth="1"/>
    <col min="2306" max="2306" width="2.42578125" style="13" customWidth="1"/>
    <col min="2307" max="2307" width="3.42578125" style="13" customWidth="1"/>
    <col min="2308" max="2308" width="13.28515625" style="13" customWidth="1"/>
    <col min="2309" max="2309" width="3.140625" style="13" customWidth="1"/>
    <col min="2310" max="2310" width="5.140625" style="13" customWidth="1"/>
    <col min="2311" max="2311" width="16.42578125" style="13" customWidth="1"/>
    <col min="2312" max="2318" width="0" style="13" hidden="1" customWidth="1"/>
    <col min="2319" max="2319" width="4.140625" style="13" customWidth="1"/>
    <col min="2320" max="2320" width="5.7109375" style="13" customWidth="1"/>
    <col min="2321" max="2321" width="0" style="13" hidden="1" customWidth="1"/>
    <col min="2322" max="2322" width="15.7109375" style="13" customWidth="1"/>
    <col min="2323" max="2323" width="7.7109375" style="13" customWidth="1"/>
    <col min="2324" max="2324" width="9.140625" style="13"/>
    <col min="2325" max="2325" width="10.85546875" style="13" customWidth="1"/>
    <col min="2326" max="2326" width="9.7109375" style="13" customWidth="1"/>
    <col min="2327" max="2327" width="8.85546875" style="13" customWidth="1"/>
    <col min="2328" max="2328" width="10.7109375" style="13" customWidth="1"/>
    <col min="2329" max="2329" width="16" style="13" customWidth="1"/>
    <col min="2330" max="2330" width="8.7109375" style="13" customWidth="1"/>
    <col min="2331" max="2331" width="6.5703125" style="13" bestFit="1" customWidth="1"/>
    <col min="2332" max="2332" width="8.7109375" style="13" customWidth="1"/>
    <col min="2333" max="2333" width="16" style="13" customWidth="1"/>
    <col min="2334" max="2334" width="15" style="13" customWidth="1"/>
    <col min="2335" max="2335" width="9.42578125" style="13" customWidth="1"/>
    <col min="2336" max="2560" width="9.140625" style="13"/>
    <col min="2561" max="2561" width="12.28515625" style="13" customWidth="1"/>
    <col min="2562" max="2562" width="2.42578125" style="13" customWidth="1"/>
    <col min="2563" max="2563" width="3.42578125" style="13" customWidth="1"/>
    <col min="2564" max="2564" width="13.28515625" style="13" customWidth="1"/>
    <col min="2565" max="2565" width="3.140625" style="13" customWidth="1"/>
    <col min="2566" max="2566" width="5.140625" style="13" customWidth="1"/>
    <col min="2567" max="2567" width="16.42578125" style="13" customWidth="1"/>
    <col min="2568" max="2574" width="0" style="13" hidden="1" customWidth="1"/>
    <col min="2575" max="2575" width="4.140625" style="13" customWidth="1"/>
    <col min="2576" max="2576" width="5.7109375" style="13" customWidth="1"/>
    <col min="2577" max="2577" width="0" style="13" hidden="1" customWidth="1"/>
    <col min="2578" max="2578" width="15.7109375" style="13" customWidth="1"/>
    <col min="2579" max="2579" width="7.7109375" style="13" customWidth="1"/>
    <col min="2580" max="2580" width="9.140625" style="13"/>
    <col min="2581" max="2581" width="10.85546875" style="13" customWidth="1"/>
    <col min="2582" max="2582" width="9.7109375" style="13" customWidth="1"/>
    <col min="2583" max="2583" width="8.85546875" style="13" customWidth="1"/>
    <col min="2584" max="2584" width="10.7109375" style="13" customWidth="1"/>
    <col min="2585" max="2585" width="16" style="13" customWidth="1"/>
    <col min="2586" max="2586" width="8.7109375" style="13" customWidth="1"/>
    <col min="2587" max="2587" width="6.5703125" style="13" bestFit="1" customWidth="1"/>
    <col min="2588" max="2588" width="8.7109375" style="13" customWidth="1"/>
    <col min="2589" max="2589" width="16" style="13" customWidth="1"/>
    <col min="2590" max="2590" width="15" style="13" customWidth="1"/>
    <col min="2591" max="2591" width="9.42578125" style="13" customWidth="1"/>
    <col min="2592" max="2816" width="9.140625" style="13"/>
    <col min="2817" max="2817" width="12.28515625" style="13" customWidth="1"/>
    <col min="2818" max="2818" width="2.42578125" style="13" customWidth="1"/>
    <col min="2819" max="2819" width="3.42578125" style="13" customWidth="1"/>
    <col min="2820" max="2820" width="13.28515625" style="13" customWidth="1"/>
    <col min="2821" max="2821" width="3.140625" style="13" customWidth="1"/>
    <col min="2822" max="2822" width="5.140625" style="13" customWidth="1"/>
    <col min="2823" max="2823" width="16.42578125" style="13" customWidth="1"/>
    <col min="2824" max="2830" width="0" style="13" hidden="1" customWidth="1"/>
    <col min="2831" max="2831" width="4.140625" style="13" customWidth="1"/>
    <col min="2832" max="2832" width="5.7109375" style="13" customWidth="1"/>
    <col min="2833" max="2833" width="0" style="13" hidden="1" customWidth="1"/>
    <col min="2834" max="2834" width="15.7109375" style="13" customWidth="1"/>
    <col min="2835" max="2835" width="7.7109375" style="13" customWidth="1"/>
    <col min="2836" max="2836" width="9.140625" style="13"/>
    <col min="2837" max="2837" width="10.85546875" style="13" customWidth="1"/>
    <col min="2838" max="2838" width="9.7109375" style="13" customWidth="1"/>
    <col min="2839" max="2839" width="8.85546875" style="13" customWidth="1"/>
    <col min="2840" max="2840" width="10.7109375" style="13" customWidth="1"/>
    <col min="2841" max="2841" width="16" style="13" customWidth="1"/>
    <col min="2842" max="2842" width="8.7109375" style="13" customWidth="1"/>
    <col min="2843" max="2843" width="6.5703125" style="13" bestFit="1" customWidth="1"/>
    <col min="2844" max="2844" width="8.7109375" style="13" customWidth="1"/>
    <col min="2845" max="2845" width="16" style="13" customWidth="1"/>
    <col min="2846" max="2846" width="15" style="13" customWidth="1"/>
    <col min="2847" max="2847" width="9.42578125" style="13" customWidth="1"/>
    <col min="2848" max="3072" width="9.140625" style="13"/>
    <col min="3073" max="3073" width="12.28515625" style="13" customWidth="1"/>
    <col min="3074" max="3074" width="2.42578125" style="13" customWidth="1"/>
    <col min="3075" max="3075" width="3.42578125" style="13" customWidth="1"/>
    <col min="3076" max="3076" width="13.28515625" style="13" customWidth="1"/>
    <col min="3077" max="3077" width="3.140625" style="13" customWidth="1"/>
    <col min="3078" max="3078" width="5.140625" style="13" customWidth="1"/>
    <col min="3079" max="3079" width="16.42578125" style="13" customWidth="1"/>
    <col min="3080" max="3086" width="0" style="13" hidden="1" customWidth="1"/>
    <col min="3087" max="3087" width="4.140625" style="13" customWidth="1"/>
    <col min="3088" max="3088" width="5.7109375" style="13" customWidth="1"/>
    <col min="3089" max="3089" width="0" style="13" hidden="1" customWidth="1"/>
    <col min="3090" max="3090" width="15.7109375" style="13" customWidth="1"/>
    <col min="3091" max="3091" width="7.7109375" style="13" customWidth="1"/>
    <col min="3092" max="3092" width="9.140625" style="13"/>
    <col min="3093" max="3093" width="10.85546875" style="13" customWidth="1"/>
    <col min="3094" max="3094" width="9.7109375" style="13" customWidth="1"/>
    <col min="3095" max="3095" width="8.85546875" style="13" customWidth="1"/>
    <col min="3096" max="3096" width="10.7109375" style="13" customWidth="1"/>
    <col min="3097" max="3097" width="16" style="13" customWidth="1"/>
    <col min="3098" max="3098" width="8.7109375" style="13" customWidth="1"/>
    <col min="3099" max="3099" width="6.5703125" style="13" bestFit="1" customWidth="1"/>
    <col min="3100" max="3100" width="8.7109375" style="13" customWidth="1"/>
    <col min="3101" max="3101" width="16" style="13" customWidth="1"/>
    <col min="3102" max="3102" width="15" style="13" customWidth="1"/>
    <col min="3103" max="3103" width="9.42578125" style="13" customWidth="1"/>
    <col min="3104" max="3328" width="9.140625" style="13"/>
    <col min="3329" max="3329" width="12.28515625" style="13" customWidth="1"/>
    <col min="3330" max="3330" width="2.42578125" style="13" customWidth="1"/>
    <col min="3331" max="3331" width="3.42578125" style="13" customWidth="1"/>
    <col min="3332" max="3332" width="13.28515625" style="13" customWidth="1"/>
    <col min="3333" max="3333" width="3.140625" style="13" customWidth="1"/>
    <col min="3334" max="3334" width="5.140625" style="13" customWidth="1"/>
    <col min="3335" max="3335" width="16.42578125" style="13" customWidth="1"/>
    <col min="3336" max="3342" width="0" style="13" hidden="1" customWidth="1"/>
    <col min="3343" max="3343" width="4.140625" style="13" customWidth="1"/>
    <col min="3344" max="3344" width="5.7109375" style="13" customWidth="1"/>
    <col min="3345" max="3345" width="0" style="13" hidden="1" customWidth="1"/>
    <col min="3346" max="3346" width="15.7109375" style="13" customWidth="1"/>
    <col min="3347" max="3347" width="7.7109375" style="13" customWidth="1"/>
    <col min="3348" max="3348" width="9.140625" style="13"/>
    <col min="3349" max="3349" width="10.85546875" style="13" customWidth="1"/>
    <col min="3350" max="3350" width="9.7109375" style="13" customWidth="1"/>
    <col min="3351" max="3351" width="8.85546875" style="13" customWidth="1"/>
    <col min="3352" max="3352" width="10.7109375" style="13" customWidth="1"/>
    <col min="3353" max="3353" width="16" style="13" customWidth="1"/>
    <col min="3354" max="3354" width="8.7109375" style="13" customWidth="1"/>
    <col min="3355" max="3355" width="6.5703125" style="13" bestFit="1" customWidth="1"/>
    <col min="3356" max="3356" width="8.7109375" style="13" customWidth="1"/>
    <col min="3357" max="3357" width="16" style="13" customWidth="1"/>
    <col min="3358" max="3358" width="15" style="13" customWidth="1"/>
    <col min="3359" max="3359" width="9.42578125" style="13" customWidth="1"/>
    <col min="3360" max="3584" width="9.140625" style="13"/>
    <col min="3585" max="3585" width="12.28515625" style="13" customWidth="1"/>
    <col min="3586" max="3586" width="2.42578125" style="13" customWidth="1"/>
    <col min="3587" max="3587" width="3.42578125" style="13" customWidth="1"/>
    <col min="3588" max="3588" width="13.28515625" style="13" customWidth="1"/>
    <col min="3589" max="3589" width="3.140625" style="13" customWidth="1"/>
    <col min="3590" max="3590" width="5.140625" style="13" customWidth="1"/>
    <col min="3591" max="3591" width="16.42578125" style="13" customWidth="1"/>
    <col min="3592" max="3598" width="0" style="13" hidden="1" customWidth="1"/>
    <col min="3599" max="3599" width="4.140625" style="13" customWidth="1"/>
    <col min="3600" max="3600" width="5.7109375" style="13" customWidth="1"/>
    <col min="3601" max="3601" width="0" style="13" hidden="1" customWidth="1"/>
    <col min="3602" max="3602" width="15.7109375" style="13" customWidth="1"/>
    <col min="3603" max="3603" width="7.7109375" style="13" customWidth="1"/>
    <col min="3604" max="3604" width="9.140625" style="13"/>
    <col min="3605" max="3605" width="10.85546875" style="13" customWidth="1"/>
    <col min="3606" max="3606" width="9.7109375" style="13" customWidth="1"/>
    <col min="3607" max="3607" width="8.85546875" style="13" customWidth="1"/>
    <col min="3608" max="3608" width="10.7109375" style="13" customWidth="1"/>
    <col min="3609" max="3609" width="16" style="13" customWidth="1"/>
    <col min="3610" max="3610" width="8.7109375" style="13" customWidth="1"/>
    <col min="3611" max="3611" width="6.5703125" style="13" bestFit="1" customWidth="1"/>
    <col min="3612" max="3612" width="8.7109375" style="13" customWidth="1"/>
    <col min="3613" max="3613" width="16" style="13" customWidth="1"/>
    <col min="3614" max="3614" width="15" style="13" customWidth="1"/>
    <col min="3615" max="3615" width="9.42578125" style="13" customWidth="1"/>
    <col min="3616" max="3840" width="9.140625" style="13"/>
    <col min="3841" max="3841" width="12.28515625" style="13" customWidth="1"/>
    <col min="3842" max="3842" width="2.42578125" style="13" customWidth="1"/>
    <col min="3843" max="3843" width="3.42578125" style="13" customWidth="1"/>
    <col min="3844" max="3844" width="13.28515625" style="13" customWidth="1"/>
    <col min="3845" max="3845" width="3.140625" style="13" customWidth="1"/>
    <col min="3846" max="3846" width="5.140625" style="13" customWidth="1"/>
    <col min="3847" max="3847" width="16.42578125" style="13" customWidth="1"/>
    <col min="3848" max="3854" width="0" style="13" hidden="1" customWidth="1"/>
    <col min="3855" max="3855" width="4.140625" style="13" customWidth="1"/>
    <col min="3856" max="3856" width="5.7109375" style="13" customWidth="1"/>
    <col min="3857" max="3857" width="0" style="13" hidden="1" customWidth="1"/>
    <col min="3858" max="3858" width="15.7109375" style="13" customWidth="1"/>
    <col min="3859" max="3859" width="7.7109375" style="13" customWidth="1"/>
    <col min="3860" max="3860" width="9.140625" style="13"/>
    <col min="3861" max="3861" width="10.85546875" style="13" customWidth="1"/>
    <col min="3862" max="3862" width="9.7109375" style="13" customWidth="1"/>
    <col min="3863" max="3863" width="8.85546875" style="13" customWidth="1"/>
    <col min="3864" max="3864" width="10.7109375" style="13" customWidth="1"/>
    <col min="3865" max="3865" width="16" style="13" customWidth="1"/>
    <col min="3866" max="3866" width="8.7109375" style="13" customWidth="1"/>
    <col min="3867" max="3867" width="6.5703125" style="13" bestFit="1" customWidth="1"/>
    <col min="3868" max="3868" width="8.7109375" style="13" customWidth="1"/>
    <col min="3869" max="3869" width="16" style="13" customWidth="1"/>
    <col min="3870" max="3870" width="15" style="13" customWidth="1"/>
    <col min="3871" max="3871" width="9.42578125" style="13" customWidth="1"/>
    <col min="3872" max="4096" width="9.140625" style="13"/>
    <col min="4097" max="4097" width="12.28515625" style="13" customWidth="1"/>
    <col min="4098" max="4098" width="2.42578125" style="13" customWidth="1"/>
    <col min="4099" max="4099" width="3.42578125" style="13" customWidth="1"/>
    <col min="4100" max="4100" width="13.28515625" style="13" customWidth="1"/>
    <col min="4101" max="4101" width="3.140625" style="13" customWidth="1"/>
    <col min="4102" max="4102" width="5.140625" style="13" customWidth="1"/>
    <col min="4103" max="4103" width="16.42578125" style="13" customWidth="1"/>
    <col min="4104" max="4110" width="0" style="13" hidden="1" customWidth="1"/>
    <col min="4111" max="4111" width="4.140625" style="13" customWidth="1"/>
    <col min="4112" max="4112" width="5.7109375" style="13" customWidth="1"/>
    <col min="4113" max="4113" width="0" style="13" hidden="1" customWidth="1"/>
    <col min="4114" max="4114" width="15.7109375" style="13" customWidth="1"/>
    <col min="4115" max="4115" width="7.7109375" style="13" customWidth="1"/>
    <col min="4116" max="4116" width="9.140625" style="13"/>
    <col min="4117" max="4117" width="10.85546875" style="13" customWidth="1"/>
    <col min="4118" max="4118" width="9.7109375" style="13" customWidth="1"/>
    <col min="4119" max="4119" width="8.85546875" style="13" customWidth="1"/>
    <col min="4120" max="4120" width="10.7109375" style="13" customWidth="1"/>
    <col min="4121" max="4121" width="16" style="13" customWidth="1"/>
    <col min="4122" max="4122" width="8.7109375" style="13" customWidth="1"/>
    <col min="4123" max="4123" width="6.5703125" style="13" bestFit="1" customWidth="1"/>
    <col min="4124" max="4124" width="8.7109375" style="13" customWidth="1"/>
    <col min="4125" max="4125" width="16" style="13" customWidth="1"/>
    <col min="4126" max="4126" width="15" style="13" customWidth="1"/>
    <col min="4127" max="4127" width="9.42578125" style="13" customWidth="1"/>
    <col min="4128" max="4352" width="9.140625" style="13"/>
    <col min="4353" max="4353" width="12.28515625" style="13" customWidth="1"/>
    <col min="4354" max="4354" width="2.42578125" style="13" customWidth="1"/>
    <col min="4355" max="4355" width="3.42578125" style="13" customWidth="1"/>
    <col min="4356" max="4356" width="13.28515625" style="13" customWidth="1"/>
    <col min="4357" max="4357" width="3.140625" style="13" customWidth="1"/>
    <col min="4358" max="4358" width="5.140625" style="13" customWidth="1"/>
    <col min="4359" max="4359" width="16.42578125" style="13" customWidth="1"/>
    <col min="4360" max="4366" width="0" style="13" hidden="1" customWidth="1"/>
    <col min="4367" max="4367" width="4.140625" style="13" customWidth="1"/>
    <col min="4368" max="4368" width="5.7109375" style="13" customWidth="1"/>
    <col min="4369" max="4369" width="0" style="13" hidden="1" customWidth="1"/>
    <col min="4370" max="4370" width="15.7109375" style="13" customWidth="1"/>
    <col min="4371" max="4371" width="7.7109375" style="13" customWidth="1"/>
    <col min="4372" max="4372" width="9.140625" style="13"/>
    <col min="4373" max="4373" width="10.85546875" style="13" customWidth="1"/>
    <col min="4374" max="4374" width="9.7109375" style="13" customWidth="1"/>
    <col min="4375" max="4375" width="8.85546875" style="13" customWidth="1"/>
    <col min="4376" max="4376" width="10.7109375" style="13" customWidth="1"/>
    <col min="4377" max="4377" width="16" style="13" customWidth="1"/>
    <col min="4378" max="4378" width="8.7109375" style="13" customWidth="1"/>
    <col min="4379" max="4379" width="6.5703125" style="13" bestFit="1" customWidth="1"/>
    <col min="4380" max="4380" width="8.7109375" style="13" customWidth="1"/>
    <col min="4381" max="4381" width="16" style="13" customWidth="1"/>
    <col min="4382" max="4382" width="15" style="13" customWidth="1"/>
    <col min="4383" max="4383" width="9.42578125" style="13" customWidth="1"/>
    <col min="4384" max="4608" width="9.140625" style="13"/>
    <col min="4609" max="4609" width="12.28515625" style="13" customWidth="1"/>
    <col min="4610" max="4610" width="2.42578125" style="13" customWidth="1"/>
    <col min="4611" max="4611" width="3.42578125" style="13" customWidth="1"/>
    <col min="4612" max="4612" width="13.28515625" style="13" customWidth="1"/>
    <col min="4613" max="4613" width="3.140625" style="13" customWidth="1"/>
    <col min="4614" max="4614" width="5.140625" style="13" customWidth="1"/>
    <col min="4615" max="4615" width="16.42578125" style="13" customWidth="1"/>
    <col min="4616" max="4622" width="0" style="13" hidden="1" customWidth="1"/>
    <col min="4623" max="4623" width="4.140625" style="13" customWidth="1"/>
    <col min="4624" max="4624" width="5.7109375" style="13" customWidth="1"/>
    <col min="4625" max="4625" width="0" style="13" hidden="1" customWidth="1"/>
    <col min="4626" max="4626" width="15.7109375" style="13" customWidth="1"/>
    <col min="4627" max="4627" width="7.7109375" style="13" customWidth="1"/>
    <col min="4628" max="4628" width="9.140625" style="13"/>
    <col min="4629" max="4629" width="10.85546875" style="13" customWidth="1"/>
    <col min="4630" max="4630" width="9.7109375" style="13" customWidth="1"/>
    <col min="4631" max="4631" width="8.85546875" style="13" customWidth="1"/>
    <col min="4632" max="4632" width="10.7109375" style="13" customWidth="1"/>
    <col min="4633" max="4633" width="16" style="13" customWidth="1"/>
    <col min="4634" max="4634" width="8.7109375" style="13" customWidth="1"/>
    <col min="4635" max="4635" width="6.5703125" style="13" bestFit="1" customWidth="1"/>
    <col min="4636" max="4636" width="8.7109375" style="13" customWidth="1"/>
    <col min="4637" max="4637" width="16" style="13" customWidth="1"/>
    <col min="4638" max="4638" width="15" style="13" customWidth="1"/>
    <col min="4639" max="4639" width="9.42578125" style="13" customWidth="1"/>
    <col min="4640" max="4864" width="9.140625" style="13"/>
    <col min="4865" max="4865" width="12.28515625" style="13" customWidth="1"/>
    <col min="4866" max="4866" width="2.42578125" style="13" customWidth="1"/>
    <col min="4867" max="4867" width="3.42578125" style="13" customWidth="1"/>
    <col min="4868" max="4868" width="13.28515625" style="13" customWidth="1"/>
    <col min="4869" max="4869" width="3.140625" style="13" customWidth="1"/>
    <col min="4870" max="4870" width="5.140625" style="13" customWidth="1"/>
    <col min="4871" max="4871" width="16.42578125" style="13" customWidth="1"/>
    <col min="4872" max="4878" width="0" style="13" hidden="1" customWidth="1"/>
    <col min="4879" max="4879" width="4.140625" style="13" customWidth="1"/>
    <col min="4880" max="4880" width="5.7109375" style="13" customWidth="1"/>
    <col min="4881" max="4881" width="0" style="13" hidden="1" customWidth="1"/>
    <col min="4882" max="4882" width="15.7109375" style="13" customWidth="1"/>
    <col min="4883" max="4883" width="7.7109375" style="13" customWidth="1"/>
    <col min="4884" max="4884" width="9.140625" style="13"/>
    <col min="4885" max="4885" width="10.85546875" style="13" customWidth="1"/>
    <col min="4886" max="4886" width="9.7109375" style="13" customWidth="1"/>
    <col min="4887" max="4887" width="8.85546875" style="13" customWidth="1"/>
    <col min="4888" max="4888" width="10.7109375" style="13" customWidth="1"/>
    <col min="4889" max="4889" width="16" style="13" customWidth="1"/>
    <col min="4890" max="4890" width="8.7109375" style="13" customWidth="1"/>
    <col min="4891" max="4891" width="6.5703125" style="13" bestFit="1" customWidth="1"/>
    <col min="4892" max="4892" width="8.7109375" style="13" customWidth="1"/>
    <col min="4893" max="4893" width="16" style="13" customWidth="1"/>
    <col min="4894" max="4894" width="15" style="13" customWidth="1"/>
    <col min="4895" max="4895" width="9.42578125" style="13" customWidth="1"/>
    <col min="4896" max="5120" width="9.140625" style="13"/>
    <col min="5121" max="5121" width="12.28515625" style="13" customWidth="1"/>
    <col min="5122" max="5122" width="2.42578125" style="13" customWidth="1"/>
    <col min="5123" max="5123" width="3.42578125" style="13" customWidth="1"/>
    <col min="5124" max="5124" width="13.28515625" style="13" customWidth="1"/>
    <col min="5125" max="5125" width="3.140625" style="13" customWidth="1"/>
    <col min="5126" max="5126" width="5.140625" style="13" customWidth="1"/>
    <col min="5127" max="5127" width="16.42578125" style="13" customWidth="1"/>
    <col min="5128" max="5134" width="0" style="13" hidden="1" customWidth="1"/>
    <col min="5135" max="5135" width="4.140625" style="13" customWidth="1"/>
    <col min="5136" max="5136" width="5.7109375" style="13" customWidth="1"/>
    <col min="5137" max="5137" width="0" style="13" hidden="1" customWidth="1"/>
    <col min="5138" max="5138" width="15.7109375" style="13" customWidth="1"/>
    <col min="5139" max="5139" width="7.7109375" style="13" customWidth="1"/>
    <col min="5140" max="5140" width="9.140625" style="13"/>
    <col min="5141" max="5141" width="10.85546875" style="13" customWidth="1"/>
    <col min="5142" max="5142" width="9.7109375" style="13" customWidth="1"/>
    <col min="5143" max="5143" width="8.85546875" style="13" customWidth="1"/>
    <col min="5144" max="5144" width="10.7109375" style="13" customWidth="1"/>
    <col min="5145" max="5145" width="16" style="13" customWidth="1"/>
    <col min="5146" max="5146" width="8.7109375" style="13" customWidth="1"/>
    <col min="5147" max="5147" width="6.5703125" style="13" bestFit="1" customWidth="1"/>
    <col min="5148" max="5148" width="8.7109375" style="13" customWidth="1"/>
    <col min="5149" max="5149" width="16" style="13" customWidth="1"/>
    <col min="5150" max="5150" width="15" style="13" customWidth="1"/>
    <col min="5151" max="5151" width="9.42578125" style="13" customWidth="1"/>
    <col min="5152" max="5376" width="9.140625" style="13"/>
    <col min="5377" max="5377" width="12.28515625" style="13" customWidth="1"/>
    <col min="5378" max="5378" width="2.42578125" style="13" customWidth="1"/>
    <col min="5379" max="5379" width="3.42578125" style="13" customWidth="1"/>
    <col min="5380" max="5380" width="13.28515625" style="13" customWidth="1"/>
    <col min="5381" max="5381" width="3.140625" style="13" customWidth="1"/>
    <col min="5382" max="5382" width="5.140625" style="13" customWidth="1"/>
    <col min="5383" max="5383" width="16.42578125" style="13" customWidth="1"/>
    <col min="5384" max="5390" width="0" style="13" hidden="1" customWidth="1"/>
    <col min="5391" max="5391" width="4.140625" style="13" customWidth="1"/>
    <col min="5392" max="5392" width="5.7109375" style="13" customWidth="1"/>
    <col min="5393" max="5393" width="0" style="13" hidden="1" customWidth="1"/>
    <col min="5394" max="5394" width="15.7109375" style="13" customWidth="1"/>
    <col min="5395" max="5395" width="7.7109375" style="13" customWidth="1"/>
    <col min="5396" max="5396" width="9.140625" style="13"/>
    <col min="5397" max="5397" width="10.85546875" style="13" customWidth="1"/>
    <col min="5398" max="5398" width="9.7109375" style="13" customWidth="1"/>
    <col min="5399" max="5399" width="8.85546875" style="13" customWidth="1"/>
    <col min="5400" max="5400" width="10.7109375" style="13" customWidth="1"/>
    <col min="5401" max="5401" width="16" style="13" customWidth="1"/>
    <col min="5402" max="5402" width="8.7109375" style="13" customWidth="1"/>
    <col min="5403" max="5403" width="6.5703125" style="13" bestFit="1" customWidth="1"/>
    <col min="5404" max="5404" width="8.7109375" style="13" customWidth="1"/>
    <col min="5405" max="5405" width="16" style="13" customWidth="1"/>
    <col min="5406" max="5406" width="15" style="13" customWidth="1"/>
    <col min="5407" max="5407" width="9.42578125" style="13" customWidth="1"/>
    <col min="5408" max="5632" width="9.140625" style="13"/>
    <col min="5633" max="5633" width="12.28515625" style="13" customWidth="1"/>
    <col min="5634" max="5634" width="2.42578125" style="13" customWidth="1"/>
    <col min="5635" max="5635" width="3.42578125" style="13" customWidth="1"/>
    <col min="5636" max="5636" width="13.28515625" style="13" customWidth="1"/>
    <col min="5637" max="5637" width="3.140625" style="13" customWidth="1"/>
    <col min="5638" max="5638" width="5.140625" style="13" customWidth="1"/>
    <col min="5639" max="5639" width="16.42578125" style="13" customWidth="1"/>
    <col min="5640" max="5646" width="0" style="13" hidden="1" customWidth="1"/>
    <col min="5647" max="5647" width="4.140625" style="13" customWidth="1"/>
    <col min="5648" max="5648" width="5.7109375" style="13" customWidth="1"/>
    <col min="5649" max="5649" width="0" style="13" hidden="1" customWidth="1"/>
    <col min="5650" max="5650" width="15.7109375" style="13" customWidth="1"/>
    <col min="5651" max="5651" width="7.7109375" style="13" customWidth="1"/>
    <col min="5652" max="5652" width="9.140625" style="13"/>
    <col min="5653" max="5653" width="10.85546875" style="13" customWidth="1"/>
    <col min="5654" max="5654" width="9.7109375" style="13" customWidth="1"/>
    <col min="5655" max="5655" width="8.85546875" style="13" customWidth="1"/>
    <col min="5656" max="5656" width="10.7109375" style="13" customWidth="1"/>
    <col min="5657" max="5657" width="16" style="13" customWidth="1"/>
    <col min="5658" max="5658" width="8.7109375" style="13" customWidth="1"/>
    <col min="5659" max="5659" width="6.5703125" style="13" bestFit="1" customWidth="1"/>
    <col min="5660" max="5660" width="8.7109375" style="13" customWidth="1"/>
    <col min="5661" max="5661" width="16" style="13" customWidth="1"/>
    <col min="5662" max="5662" width="15" style="13" customWidth="1"/>
    <col min="5663" max="5663" width="9.42578125" style="13" customWidth="1"/>
    <col min="5664" max="5888" width="9.140625" style="13"/>
    <col min="5889" max="5889" width="12.28515625" style="13" customWidth="1"/>
    <col min="5890" max="5890" width="2.42578125" style="13" customWidth="1"/>
    <col min="5891" max="5891" width="3.42578125" style="13" customWidth="1"/>
    <col min="5892" max="5892" width="13.28515625" style="13" customWidth="1"/>
    <col min="5893" max="5893" width="3.140625" style="13" customWidth="1"/>
    <col min="5894" max="5894" width="5.140625" style="13" customWidth="1"/>
    <col min="5895" max="5895" width="16.42578125" style="13" customWidth="1"/>
    <col min="5896" max="5902" width="0" style="13" hidden="1" customWidth="1"/>
    <col min="5903" max="5903" width="4.140625" style="13" customWidth="1"/>
    <col min="5904" max="5904" width="5.7109375" style="13" customWidth="1"/>
    <col min="5905" max="5905" width="0" style="13" hidden="1" customWidth="1"/>
    <col min="5906" max="5906" width="15.7109375" style="13" customWidth="1"/>
    <col min="5907" max="5907" width="7.7109375" style="13" customWidth="1"/>
    <col min="5908" max="5908" width="9.140625" style="13"/>
    <col min="5909" max="5909" width="10.85546875" style="13" customWidth="1"/>
    <col min="5910" max="5910" width="9.7109375" style="13" customWidth="1"/>
    <col min="5911" max="5911" width="8.85546875" style="13" customWidth="1"/>
    <col min="5912" max="5912" width="10.7109375" style="13" customWidth="1"/>
    <col min="5913" max="5913" width="16" style="13" customWidth="1"/>
    <col min="5914" max="5914" width="8.7109375" style="13" customWidth="1"/>
    <col min="5915" max="5915" width="6.5703125" style="13" bestFit="1" customWidth="1"/>
    <col min="5916" max="5916" width="8.7109375" style="13" customWidth="1"/>
    <col min="5917" max="5917" width="16" style="13" customWidth="1"/>
    <col min="5918" max="5918" width="15" style="13" customWidth="1"/>
    <col min="5919" max="5919" width="9.42578125" style="13" customWidth="1"/>
    <col min="5920" max="6144" width="9.140625" style="13"/>
    <col min="6145" max="6145" width="12.28515625" style="13" customWidth="1"/>
    <col min="6146" max="6146" width="2.42578125" style="13" customWidth="1"/>
    <col min="6147" max="6147" width="3.42578125" style="13" customWidth="1"/>
    <col min="6148" max="6148" width="13.28515625" style="13" customWidth="1"/>
    <col min="6149" max="6149" width="3.140625" style="13" customWidth="1"/>
    <col min="6150" max="6150" width="5.140625" style="13" customWidth="1"/>
    <col min="6151" max="6151" width="16.42578125" style="13" customWidth="1"/>
    <col min="6152" max="6158" width="0" style="13" hidden="1" customWidth="1"/>
    <col min="6159" max="6159" width="4.140625" style="13" customWidth="1"/>
    <col min="6160" max="6160" width="5.7109375" style="13" customWidth="1"/>
    <col min="6161" max="6161" width="0" style="13" hidden="1" customWidth="1"/>
    <col min="6162" max="6162" width="15.7109375" style="13" customWidth="1"/>
    <col min="6163" max="6163" width="7.7109375" style="13" customWidth="1"/>
    <col min="6164" max="6164" width="9.140625" style="13"/>
    <col min="6165" max="6165" width="10.85546875" style="13" customWidth="1"/>
    <col min="6166" max="6166" width="9.7109375" style="13" customWidth="1"/>
    <col min="6167" max="6167" width="8.85546875" style="13" customWidth="1"/>
    <col min="6168" max="6168" width="10.7109375" style="13" customWidth="1"/>
    <col min="6169" max="6169" width="16" style="13" customWidth="1"/>
    <col min="6170" max="6170" width="8.7109375" style="13" customWidth="1"/>
    <col min="6171" max="6171" width="6.5703125" style="13" bestFit="1" customWidth="1"/>
    <col min="6172" max="6172" width="8.7109375" style="13" customWidth="1"/>
    <col min="6173" max="6173" width="16" style="13" customWidth="1"/>
    <col min="6174" max="6174" width="15" style="13" customWidth="1"/>
    <col min="6175" max="6175" width="9.42578125" style="13" customWidth="1"/>
    <col min="6176" max="6400" width="9.140625" style="13"/>
    <col min="6401" max="6401" width="12.28515625" style="13" customWidth="1"/>
    <col min="6402" max="6402" width="2.42578125" style="13" customWidth="1"/>
    <col min="6403" max="6403" width="3.42578125" style="13" customWidth="1"/>
    <col min="6404" max="6404" width="13.28515625" style="13" customWidth="1"/>
    <col min="6405" max="6405" width="3.140625" style="13" customWidth="1"/>
    <col min="6406" max="6406" width="5.140625" style="13" customWidth="1"/>
    <col min="6407" max="6407" width="16.42578125" style="13" customWidth="1"/>
    <col min="6408" max="6414" width="0" style="13" hidden="1" customWidth="1"/>
    <col min="6415" max="6415" width="4.140625" style="13" customWidth="1"/>
    <col min="6416" max="6416" width="5.7109375" style="13" customWidth="1"/>
    <col min="6417" max="6417" width="0" style="13" hidden="1" customWidth="1"/>
    <col min="6418" max="6418" width="15.7109375" style="13" customWidth="1"/>
    <col min="6419" max="6419" width="7.7109375" style="13" customWidth="1"/>
    <col min="6420" max="6420" width="9.140625" style="13"/>
    <col min="6421" max="6421" width="10.85546875" style="13" customWidth="1"/>
    <col min="6422" max="6422" width="9.7109375" style="13" customWidth="1"/>
    <col min="6423" max="6423" width="8.85546875" style="13" customWidth="1"/>
    <col min="6424" max="6424" width="10.7109375" style="13" customWidth="1"/>
    <col min="6425" max="6425" width="16" style="13" customWidth="1"/>
    <col min="6426" max="6426" width="8.7109375" style="13" customWidth="1"/>
    <col min="6427" max="6427" width="6.5703125" style="13" bestFit="1" customWidth="1"/>
    <col min="6428" max="6428" width="8.7109375" style="13" customWidth="1"/>
    <col min="6429" max="6429" width="16" style="13" customWidth="1"/>
    <col min="6430" max="6430" width="15" style="13" customWidth="1"/>
    <col min="6431" max="6431" width="9.42578125" style="13" customWidth="1"/>
    <col min="6432" max="6656" width="9.140625" style="13"/>
    <col min="6657" max="6657" width="12.28515625" style="13" customWidth="1"/>
    <col min="6658" max="6658" width="2.42578125" style="13" customWidth="1"/>
    <col min="6659" max="6659" width="3.42578125" style="13" customWidth="1"/>
    <col min="6660" max="6660" width="13.28515625" style="13" customWidth="1"/>
    <col min="6661" max="6661" width="3.140625" style="13" customWidth="1"/>
    <col min="6662" max="6662" width="5.140625" style="13" customWidth="1"/>
    <col min="6663" max="6663" width="16.42578125" style="13" customWidth="1"/>
    <col min="6664" max="6670" width="0" style="13" hidden="1" customWidth="1"/>
    <col min="6671" max="6671" width="4.140625" style="13" customWidth="1"/>
    <col min="6672" max="6672" width="5.7109375" style="13" customWidth="1"/>
    <col min="6673" max="6673" width="0" style="13" hidden="1" customWidth="1"/>
    <col min="6674" max="6674" width="15.7109375" style="13" customWidth="1"/>
    <col min="6675" max="6675" width="7.7109375" style="13" customWidth="1"/>
    <col min="6676" max="6676" width="9.140625" style="13"/>
    <col min="6677" max="6677" width="10.85546875" style="13" customWidth="1"/>
    <col min="6678" max="6678" width="9.7109375" style="13" customWidth="1"/>
    <col min="6679" max="6679" width="8.85546875" style="13" customWidth="1"/>
    <col min="6680" max="6680" width="10.7109375" style="13" customWidth="1"/>
    <col min="6681" max="6681" width="16" style="13" customWidth="1"/>
    <col min="6682" max="6682" width="8.7109375" style="13" customWidth="1"/>
    <col min="6683" max="6683" width="6.5703125" style="13" bestFit="1" customWidth="1"/>
    <col min="6684" max="6684" width="8.7109375" style="13" customWidth="1"/>
    <col min="6685" max="6685" width="16" style="13" customWidth="1"/>
    <col min="6686" max="6686" width="15" style="13" customWidth="1"/>
    <col min="6687" max="6687" width="9.42578125" style="13" customWidth="1"/>
    <col min="6688" max="6912" width="9.140625" style="13"/>
    <col min="6913" max="6913" width="12.28515625" style="13" customWidth="1"/>
    <col min="6914" max="6914" width="2.42578125" style="13" customWidth="1"/>
    <col min="6915" max="6915" width="3.42578125" style="13" customWidth="1"/>
    <col min="6916" max="6916" width="13.28515625" style="13" customWidth="1"/>
    <col min="6917" max="6917" width="3.140625" style="13" customWidth="1"/>
    <col min="6918" max="6918" width="5.140625" style="13" customWidth="1"/>
    <col min="6919" max="6919" width="16.42578125" style="13" customWidth="1"/>
    <col min="6920" max="6926" width="0" style="13" hidden="1" customWidth="1"/>
    <col min="6927" max="6927" width="4.140625" style="13" customWidth="1"/>
    <col min="6928" max="6928" width="5.7109375" style="13" customWidth="1"/>
    <col min="6929" max="6929" width="0" style="13" hidden="1" customWidth="1"/>
    <col min="6930" max="6930" width="15.7109375" style="13" customWidth="1"/>
    <col min="6931" max="6931" width="7.7109375" style="13" customWidth="1"/>
    <col min="6932" max="6932" width="9.140625" style="13"/>
    <col min="6933" max="6933" width="10.85546875" style="13" customWidth="1"/>
    <col min="6934" max="6934" width="9.7109375" style="13" customWidth="1"/>
    <col min="6935" max="6935" width="8.85546875" style="13" customWidth="1"/>
    <col min="6936" max="6936" width="10.7109375" style="13" customWidth="1"/>
    <col min="6937" max="6937" width="16" style="13" customWidth="1"/>
    <col min="6938" max="6938" width="8.7109375" style="13" customWidth="1"/>
    <col min="6939" max="6939" width="6.5703125" style="13" bestFit="1" customWidth="1"/>
    <col min="6940" max="6940" width="8.7109375" style="13" customWidth="1"/>
    <col min="6941" max="6941" width="16" style="13" customWidth="1"/>
    <col min="6942" max="6942" width="15" style="13" customWidth="1"/>
    <col min="6943" max="6943" width="9.42578125" style="13" customWidth="1"/>
    <col min="6944" max="7168" width="9.140625" style="13"/>
    <col min="7169" max="7169" width="12.28515625" style="13" customWidth="1"/>
    <col min="7170" max="7170" width="2.42578125" style="13" customWidth="1"/>
    <col min="7171" max="7171" width="3.42578125" style="13" customWidth="1"/>
    <col min="7172" max="7172" width="13.28515625" style="13" customWidth="1"/>
    <col min="7173" max="7173" width="3.140625" style="13" customWidth="1"/>
    <col min="7174" max="7174" width="5.140625" style="13" customWidth="1"/>
    <col min="7175" max="7175" width="16.42578125" style="13" customWidth="1"/>
    <col min="7176" max="7182" width="0" style="13" hidden="1" customWidth="1"/>
    <col min="7183" max="7183" width="4.140625" style="13" customWidth="1"/>
    <col min="7184" max="7184" width="5.7109375" style="13" customWidth="1"/>
    <col min="7185" max="7185" width="0" style="13" hidden="1" customWidth="1"/>
    <col min="7186" max="7186" width="15.7109375" style="13" customWidth="1"/>
    <col min="7187" max="7187" width="7.7109375" style="13" customWidth="1"/>
    <col min="7188" max="7188" width="9.140625" style="13"/>
    <col min="7189" max="7189" width="10.85546875" style="13" customWidth="1"/>
    <col min="7190" max="7190" width="9.7109375" style="13" customWidth="1"/>
    <col min="7191" max="7191" width="8.85546875" style="13" customWidth="1"/>
    <col min="7192" max="7192" width="10.7109375" style="13" customWidth="1"/>
    <col min="7193" max="7193" width="16" style="13" customWidth="1"/>
    <col min="7194" max="7194" width="8.7109375" style="13" customWidth="1"/>
    <col min="7195" max="7195" width="6.5703125" style="13" bestFit="1" customWidth="1"/>
    <col min="7196" max="7196" width="8.7109375" style="13" customWidth="1"/>
    <col min="7197" max="7197" width="16" style="13" customWidth="1"/>
    <col min="7198" max="7198" width="15" style="13" customWidth="1"/>
    <col min="7199" max="7199" width="9.42578125" style="13" customWidth="1"/>
    <col min="7200" max="7424" width="9.140625" style="13"/>
    <col min="7425" max="7425" width="12.28515625" style="13" customWidth="1"/>
    <col min="7426" max="7426" width="2.42578125" style="13" customWidth="1"/>
    <col min="7427" max="7427" width="3.42578125" style="13" customWidth="1"/>
    <col min="7428" max="7428" width="13.28515625" style="13" customWidth="1"/>
    <col min="7429" max="7429" width="3.140625" style="13" customWidth="1"/>
    <col min="7430" max="7430" width="5.140625" style="13" customWidth="1"/>
    <col min="7431" max="7431" width="16.42578125" style="13" customWidth="1"/>
    <col min="7432" max="7438" width="0" style="13" hidden="1" customWidth="1"/>
    <col min="7439" max="7439" width="4.140625" style="13" customWidth="1"/>
    <col min="7440" max="7440" width="5.7109375" style="13" customWidth="1"/>
    <col min="7441" max="7441" width="0" style="13" hidden="1" customWidth="1"/>
    <col min="7442" max="7442" width="15.7109375" style="13" customWidth="1"/>
    <col min="7443" max="7443" width="7.7109375" style="13" customWidth="1"/>
    <col min="7444" max="7444" width="9.140625" style="13"/>
    <col min="7445" max="7445" width="10.85546875" style="13" customWidth="1"/>
    <col min="7446" max="7446" width="9.7109375" style="13" customWidth="1"/>
    <col min="7447" max="7447" width="8.85546875" style="13" customWidth="1"/>
    <col min="7448" max="7448" width="10.7109375" style="13" customWidth="1"/>
    <col min="7449" max="7449" width="16" style="13" customWidth="1"/>
    <col min="7450" max="7450" width="8.7109375" style="13" customWidth="1"/>
    <col min="7451" max="7451" width="6.5703125" style="13" bestFit="1" customWidth="1"/>
    <col min="7452" max="7452" width="8.7109375" style="13" customWidth="1"/>
    <col min="7453" max="7453" width="16" style="13" customWidth="1"/>
    <col min="7454" max="7454" width="15" style="13" customWidth="1"/>
    <col min="7455" max="7455" width="9.42578125" style="13" customWidth="1"/>
    <col min="7456" max="7680" width="9.140625" style="13"/>
    <col min="7681" max="7681" width="12.28515625" style="13" customWidth="1"/>
    <col min="7682" max="7682" width="2.42578125" style="13" customWidth="1"/>
    <col min="7683" max="7683" width="3.42578125" style="13" customWidth="1"/>
    <col min="7684" max="7684" width="13.28515625" style="13" customWidth="1"/>
    <col min="7685" max="7685" width="3.140625" style="13" customWidth="1"/>
    <col min="7686" max="7686" width="5.140625" style="13" customWidth="1"/>
    <col min="7687" max="7687" width="16.42578125" style="13" customWidth="1"/>
    <col min="7688" max="7694" width="0" style="13" hidden="1" customWidth="1"/>
    <col min="7695" max="7695" width="4.140625" style="13" customWidth="1"/>
    <col min="7696" max="7696" width="5.7109375" style="13" customWidth="1"/>
    <col min="7697" max="7697" width="0" style="13" hidden="1" customWidth="1"/>
    <col min="7698" max="7698" width="15.7109375" style="13" customWidth="1"/>
    <col min="7699" max="7699" width="7.7109375" style="13" customWidth="1"/>
    <col min="7700" max="7700" width="9.140625" style="13"/>
    <col min="7701" max="7701" width="10.85546875" style="13" customWidth="1"/>
    <col min="7702" max="7702" width="9.7109375" style="13" customWidth="1"/>
    <col min="7703" max="7703" width="8.85546875" style="13" customWidth="1"/>
    <col min="7704" max="7704" width="10.7109375" style="13" customWidth="1"/>
    <col min="7705" max="7705" width="16" style="13" customWidth="1"/>
    <col min="7706" max="7706" width="8.7109375" style="13" customWidth="1"/>
    <col min="7707" max="7707" width="6.5703125" style="13" bestFit="1" customWidth="1"/>
    <col min="7708" max="7708" width="8.7109375" style="13" customWidth="1"/>
    <col min="7709" max="7709" width="16" style="13" customWidth="1"/>
    <col min="7710" max="7710" width="15" style="13" customWidth="1"/>
    <col min="7711" max="7711" width="9.42578125" style="13" customWidth="1"/>
    <col min="7712" max="7936" width="9.140625" style="13"/>
    <col min="7937" max="7937" width="12.28515625" style="13" customWidth="1"/>
    <col min="7938" max="7938" width="2.42578125" style="13" customWidth="1"/>
    <col min="7939" max="7939" width="3.42578125" style="13" customWidth="1"/>
    <col min="7940" max="7940" width="13.28515625" style="13" customWidth="1"/>
    <col min="7941" max="7941" width="3.140625" style="13" customWidth="1"/>
    <col min="7942" max="7942" width="5.140625" style="13" customWidth="1"/>
    <col min="7943" max="7943" width="16.42578125" style="13" customWidth="1"/>
    <col min="7944" max="7950" width="0" style="13" hidden="1" customWidth="1"/>
    <col min="7951" max="7951" width="4.140625" style="13" customWidth="1"/>
    <col min="7952" max="7952" width="5.7109375" style="13" customWidth="1"/>
    <col min="7953" max="7953" width="0" style="13" hidden="1" customWidth="1"/>
    <col min="7954" max="7954" width="15.7109375" style="13" customWidth="1"/>
    <col min="7955" max="7955" width="7.7109375" style="13" customWidth="1"/>
    <col min="7956" max="7956" width="9.140625" style="13"/>
    <col min="7957" max="7957" width="10.85546875" style="13" customWidth="1"/>
    <col min="7958" max="7958" width="9.7109375" style="13" customWidth="1"/>
    <col min="7959" max="7959" width="8.85546875" style="13" customWidth="1"/>
    <col min="7960" max="7960" width="10.7109375" style="13" customWidth="1"/>
    <col min="7961" max="7961" width="16" style="13" customWidth="1"/>
    <col min="7962" max="7962" width="8.7109375" style="13" customWidth="1"/>
    <col min="7963" max="7963" width="6.5703125" style="13" bestFit="1" customWidth="1"/>
    <col min="7964" max="7964" width="8.7109375" style="13" customWidth="1"/>
    <col min="7965" max="7965" width="16" style="13" customWidth="1"/>
    <col min="7966" max="7966" width="15" style="13" customWidth="1"/>
    <col min="7967" max="7967" width="9.42578125" style="13" customWidth="1"/>
    <col min="7968" max="8192" width="9.140625" style="13"/>
    <col min="8193" max="8193" width="12.28515625" style="13" customWidth="1"/>
    <col min="8194" max="8194" width="2.42578125" style="13" customWidth="1"/>
    <col min="8195" max="8195" width="3.42578125" style="13" customWidth="1"/>
    <col min="8196" max="8196" width="13.28515625" style="13" customWidth="1"/>
    <col min="8197" max="8197" width="3.140625" style="13" customWidth="1"/>
    <col min="8198" max="8198" width="5.140625" style="13" customWidth="1"/>
    <col min="8199" max="8199" width="16.42578125" style="13" customWidth="1"/>
    <col min="8200" max="8206" width="0" style="13" hidden="1" customWidth="1"/>
    <col min="8207" max="8207" width="4.140625" style="13" customWidth="1"/>
    <col min="8208" max="8208" width="5.7109375" style="13" customWidth="1"/>
    <col min="8209" max="8209" width="0" style="13" hidden="1" customWidth="1"/>
    <col min="8210" max="8210" width="15.7109375" style="13" customWidth="1"/>
    <col min="8211" max="8211" width="7.7109375" style="13" customWidth="1"/>
    <col min="8212" max="8212" width="9.140625" style="13"/>
    <col min="8213" max="8213" width="10.85546875" style="13" customWidth="1"/>
    <col min="8214" max="8214" width="9.7109375" style="13" customWidth="1"/>
    <col min="8215" max="8215" width="8.85546875" style="13" customWidth="1"/>
    <col min="8216" max="8216" width="10.7109375" style="13" customWidth="1"/>
    <col min="8217" max="8217" width="16" style="13" customWidth="1"/>
    <col min="8218" max="8218" width="8.7109375" style="13" customWidth="1"/>
    <col min="8219" max="8219" width="6.5703125" style="13" bestFit="1" customWidth="1"/>
    <col min="8220" max="8220" width="8.7109375" style="13" customWidth="1"/>
    <col min="8221" max="8221" width="16" style="13" customWidth="1"/>
    <col min="8222" max="8222" width="15" style="13" customWidth="1"/>
    <col min="8223" max="8223" width="9.42578125" style="13" customWidth="1"/>
    <col min="8224" max="8448" width="9.140625" style="13"/>
    <col min="8449" max="8449" width="12.28515625" style="13" customWidth="1"/>
    <col min="8450" max="8450" width="2.42578125" style="13" customWidth="1"/>
    <col min="8451" max="8451" width="3.42578125" style="13" customWidth="1"/>
    <col min="8452" max="8452" width="13.28515625" style="13" customWidth="1"/>
    <col min="8453" max="8453" width="3.140625" style="13" customWidth="1"/>
    <col min="8454" max="8454" width="5.140625" style="13" customWidth="1"/>
    <col min="8455" max="8455" width="16.42578125" style="13" customWidth="1"/>
    <col min="8456" max="8462" width="0" style="13" hidden="1" customWidth="1"/>
    <col min="8463" max="8463" width="4.140625" style="13" customWidth="1"/>
    <col min="8464" max="8464" width="5.7109375" style="13" customWidth="1"/>
    <col min="8465" max="8465" width="0" style="13" hidden="1" customWidth="1"/>
    <col min="8466" max="8466" width="15.7109375" style="13" customWidth="1"/>
    <col min="8467" max="8467" width="7.7109375" style="13" customWidth="1"/>
    <col min="8468" max="8468" width="9.140625" style="13"/>
    <col min="8469" max="8469" width="10.85546875" style="13" customWidth="1"/>
    <col min="8470" max="8470" width="9.7109375" style="13" customWidth="1"/>
    <col min="8471" max="8471" width="8.85546875" style="13" customWidth="1"/>
    <col min="8472" max="8472" width="10.7109375" style="13" customWidth="1"/>
    <col min="8473" max="8473" width="16" style="13" customWidth="1"/>
    <col min="8474" max="8474" width="8.7109375" style="13" customWidth="1"/>
    <col min="8475" max="8475" width="6.5703125" style="13" bestFit="1" customWidth="1"/>
    <col min="8476" max="8476" width="8.7109375" style="13" customWidth="1"/>
    <col min="8477" max="8477" width="16" style="13" customWidth="1"/>
    <col min="8478" max="8478" width="15" style="13" customWidth="1"/>
    <col min="8479" max="8479" width="9.42578125" style="13" customWidth="1"/>
    <col min="8480" max="8704" width="9.140625" style="13"/>
    <col min="8705" max="8705" width="12.28515625" style="13" customWidth="1"/>
    <col min="8706" max="8706" width="2.42578125" style="13" customWidth="1"/>
    <col min="8707" max="8707" width="3.42578125" style="13" customWidth="1"/>
    <col min="8708" max="8708" width="13.28515625" style="13" customWidth="1"/>
    <col min="8709" max="8709" width="3.140625" style="13" customWidth="1"/>
    <col min="8710" max="8710" width="5.140625" style="13" customWidth="1"/>
    <col min="8711" max="8711" width="16.42578125" style="13" customWidth="1"/>
    <col min="8712" max="8718" width="0" style="13" hidden="1" customWidth="1"/>
    <col min="8719" max="8719" width="4.140625" style="13" customWidth="1"/>
    <col min="8720" max="8720" width="5.7109375" style="13" customWidth="1"/>
    <col min="8721" max="8721" width="0" style="13" hidden="1" customWidth="1"/>
    <col min="8722" max="8722" width="15.7109375" style="13" customWidth="1"/>
    <col min="8723" max="8723" width="7.7109375" style="13" customWidth="1"/>
    <col min="8724" max="8724" width="9.140625" style="13"/>
    <col min="8725" max="8725" width="10.85546875" style="13" customWidth="1"/>
    <col min="8726" max="8726" width="9.7109375" style="13" customWidth="1"/>
    <col min="8727" max="8727" width="8.85546875" style="13" customWidth="1"/>
    <col min="8728" max="8728" width="10.7109375" style="13" customWidth="1"/>
    <col min="8729" max="8729" width="16" style="13" customWidth="1"/>
    <col min="8730" max="8730" width="8.7109375" style="13" customWidth="1"/>
    <col min="8731" max="8731" width="6.5703125" style="13" bestFit="1" customWidth="1"/>
    <col min="8732" max="8732" width="8.7109375" style="13" customWidth="1"/>
    <col min="8733" max="8733" width="16" style="13" customWidth="1"/>
    <col min="8734" max="8734" width="15" style="13" customWidth="1"/>
    <col min="8735" max="8735" width="9.42578125" style="13" customWidth="1"/>
    <col min="8736" max="8960" width="9.140625" style="13"/>
    <col min="8961" max="8961" width="12.28515625" style="13" customWidth="1"/>
    <col min="8962" max="8962" width="2.42578125" style="13" customWidth="1"/>
    <col min="8963" max="8963" width="3.42578125" style="13" customWidth="1"/>
    <col min="8964" max="8964" width="13.28515625" style="13" customWidth="1"/>
    <col min="8965" max="8965" width="3.140625" style="13" customWidth="1"/>
    <col min="8966" max="8966" width="5.140625" style="13" customWidth="1"/>
    <col min="8967" max="8967" width="16.42578125" style="13" customWidth="1"/>
    <col min="8968" max="8974" width="0" style="13" hidden="1" customWidth="1"/>
    <col min="8975" max="8975" width="4.140625" style="13" customWidth="1"/>
    <col min="8976" max="8976" width="5.7109375" style="13" customWidth="1"/>
    <col min="8977" max="8977" width="0" style="13" hidden="1" customWidth="1"/>
    <col min="8978" max="8978" width="15.7109375" style="13" customWidth="1"/>
    <col min="8979" max="8979" width="7.7109375" style="13" customWidth="1"/>
    <col min="8980" max="8980" width="9.140625" style="13"/>
    <col min="8981" max="8981" width="10.85546875" style="13" customWidth="1"/>
    <col min="8982" max="8982" width="9.7109375" style="13" customWidth="1"/>
    <col min="8983" max="8983" width="8.85546875" style="13" customWidth="1"/>
    <col min="8984" max="8984" width="10.7109375" style="13" customWidth="1"/>
    <col min="8985" max="8985" width="16" style="13" customWidth="1"/>
    <col min="8986" max="8986" width="8.7109375" style="13" customWidth="1"/>
    <col min="8987" max="8987" width="6.5703125" style="13" bestFit="1" customWidth="1"/>
    <col min="8988" max="8988" width="8.7109375" style="13" customWidth="1"/>
    <col min="8989" max="8989" width="16" style="13" customWidth="1"/>
    <col min="8990" max="8990" width="15" style="13" customWidth="1"/>
    <col min="8991" max="8991" width="9.42578125" style="13" customWidth="1"/>
    <col min="8992" max="9216" width="9.140625" style="13"/>
    <col min="9217" max="9217" width="12.28515625" style="13" customWidth="1"/>
    <col min="9218" max="9218" width="2.42578125" style="13" customWidth="1"/>
    <col min="9219" max="9219" width="3.42578125" style="13" customWidth="1"/>
    <col min="9220" max="9220" width="13.28515625" style="13" customWidth="1"/>
    <col min="9221" max="9221" width="3.140625" style="13" customWidth="1"/>
    <col min="9222" max="9222" width="5.140625" style="13" customWidth="1"/>
    <col min="9223" max="9223" width="16.42578125" style="13" customWidth="1"/>
    <col min="9224" max="9230" width="0" style="13" hidden="1" customWidth="1"/>
    <col min="9231" max="9231" width="4.140625" style="13" customWidth="1"/>
    <col min="9232" max="9232" width="5.7109375" style="13" customWidth="1"/>
    <col min="9233" max="9233" width="0" style="13" hidden="1" customWidth="1"/>
    <col min="9234" max="9234" width="15.7109375" style="13" customWidth="1"/>
    <col min="9235" max="9235" width="7.7109375" style="13" customWidth="1"/>
    <col min="9236" max="9236" width="9.140625" style="13"/>
    <col min="9237" max="9237" width="10.85546875" style="13" customWidth="1"/>
    <col min="9238" max="9238" width="9.7109375" style="13" customWidth="1"/>
    <col min="9239" max="9239" width="8.85546875" style="13" customWidth="1"/>
    <col min="9240" max="9240" width="10.7109375" style="13" customWidth="1"/>
    <col min="9241" max="9241" width="16" style="13" customWidth="1"/>
    <col min="9242" max="9242" width="8.7109375" style="13" customWidth="1"/>
    <col min="9243" max="9243" width="6.5703125" style="13" bestFit="1" customWidth="1"/>
    <col min="9244" max="9244" width="8.7109375" style="13" customWidth="1"/>
    <col min="9245" max="9245" width="16" style="13" customWidth="1"/>
    <col min="9246" max="9246" width="15" style="13" customWidth="1"/>
    <col min="9247" max="9247" width="9.42578125" style="13" customWidth="1"/>
    <col min="9248" max="9472" width="9.140625" style="13"/>
    <col min="9473" max="9473" width="12.28515625" style="13" customWidth="1"/>
    <col min="9474" max="9474" width="2.42578125" style="13" customWidth="1"/>
    <col min="9475" max="9475" width="3.42578125" style="13" customWidth="1"/>
    <col min="9476" max="9476" width="13.28515625" style="13" customWidth="1"/>
    <col min="9477" max="9477" width="3.140625" style="13" customWidth="1"/>
    <col min="9478" max="9478" width="5.140625" style="13" customWidth="1"/>
    <col min="9479" max="9479" width="16.42578125" style="13" customWidth="1"/>
    <col min="9480" max="9486" width="0" style="13" hidden="1" customWidth="1"/>
    <col min="9487" max="9487" width="4.140625" style="13" customWidth="1"/>
    <col min="9488" max="9488" width="5.7109375" style="13" customWidth="1"/>
    <col min="9489" max="9489" width="0" style="13" hidden="1" customWidth="1"/>
    <col min="9490" max="9490" width="15.7109375" style="13" customWidth="1"/>
    <col min="9491" max="9491" width="7.7109375" style="13" customWidth="1"/>
    <col min="9492" max="9492" width="9.140625" style="13"/>
    <col min="9493" max="9493" width="10.85546875" style="13" customWidth="1"/>
    <col min="9494" max="9494" width="9.7109375" style="13" customWidth="1"/>
    <col min="9495" max="9495" width="8.85546875" style="13" customWidth="1"/>
    <col min="9496" max="9496" width="10.7109375" style="13" customWidth="1"/>
    <col min="9497" max="9497" width="16" style="13" customWidth="1"/>
    <col min="9498" max="9498" width="8.7109375" style="13" customWidth="1"/>
    <col min="9499" max="9499" width="6.5703125" style="13" bestFit="1" customWidth="1"/>
    <col min="9500" max="9500" width="8.7109375" style="13" customWidth="1"/>
    <col min="9501" max="9501" width="16" style="13" customWidth="1"/>
    <col min="9502" max="9502" width="15" style="13" customWidth="1"/>
    <col min="9503" max="9503" width="9.42578125" style="13" customWidth="1"/>
    <col min="9504" max="9728" width="9.140625" style="13"/>
    <col min="9729" max="9729" width="12.28515625" style="13" customWidth="1"/>
    <col min="9730" max="9730" width="2.42578125" style="13" customWidth="1"/>
    <col min="9731" max="9731" width="3.42578125" style="13" customWidth="1"/>
    <col min="9732" max="9732" width="13.28515625" style="13" customWidth="1"/>
    <col min="9733" max="9733" width="3.140625" style="13" customWidth="1"/>
    <col min="9734" max="9734" width="5.140625" style="13" customWidth="1"/>
    <col min="9735" max="9735" width="16.42578125" style="13" customWidth="1"/>
    <col min="9736" max="9742" width="0" style="13" hidden="1" customWidth="1"/>
    <col min="9743" max="9743" width="4.140625" style="13" customWidth="1"/>
    <col min="9744" max="9744" width="5.7109375" style="13" customWidth="1"/>
    <col min="9745" max="9745" width="0" style="13" hidden="1" customWidth="1"/>
    <col min="9746" max="9746" width="15.7109375" style="13" customWidth="1"/>
    <col min="9747" max="9747" width="7.7109375" style="13" customWidth="1"/>
    <col min="9748" max="9748" width="9.140625" style="13"/>
    <col min="9749" max="9749" width="10.85546875" style="13" customWidth="1"/>
    <col min="9750" max="9750" width="9.7109375" style="13" customWidth="1"/>
    <col min="9751" max="9751" width="8.85546875" style="13" customWidth="1"/>
    <col min="9752" max="9752" width="10.7109375" style="13" customWidth="1"/>
    <col min="9753" max="9753" width="16" style="13" customWidth="1"/>
    <col min="9754" max="9754" width="8.7109375" style="13" customWidth="1"/>
    <col min="9755" max="9755" width="6.5703125" style="13" bestFit="1" customWidth="1"/>
    <col min="9756" max="9756" width="8.7109375" style="13" customWidth="1"/>
    <col min="9757" max="9757" width="16" style="13" customWidth="1"/>
    <col min="9758" max="9758" width="15" style="13" customWidth="1"/>
    <col min="9759" max="9759" width="9.42578125" style="13" customWidth="1"/>
    <col min="9760" max="9984" width="9.140625" style="13"/>
    <col min="9985" max="9985" width="12.28515625" style="13" customWidth="1"/>
    <col min="9986" max="9986" width="2.42578125" style="13" customWidth="1"/>
    <col min="9987" max="9987" width="3.42578125" style="13" customWidth="1"/>
    <col min="9988" max="9988" width="13.28515625" style="13" customWidth="1"/>
    <col min="9989" max="9989" width="3.140625" style="13" customWidth="1"/>
    <col min="9990" max="9990" width="5.140625" style="13" customWidth="1"/>
    <col min="9991" max="9991" width="16.42578125" style="13" customWidth="1"/>
    <col min="9992" max="9998" width="0" style="13" hidden="1" customWidth="1"/>
    <col min="9999" max="9999" width="4.140625" style="13" customWidth="1"/>
    <col min="10000" max="10000" width="5.7109375" style="13" customWidth="1"/>
    <col min="10001" max="10001" width="0" style="13" hidden="1" customWidth="1"/>
    <col min="10002" max="10002" width="15.7109375" style="13" customWidth="1"/>
    <col min="10003" max="10003" width="7.7109375" style="13" customWidth="1"/>
    <col min="10004" max="10004" width="9.140625" style="13"/>
    <col min="10005" max="10005" width="10.85546875" style="13" customWidth="1"/>
    <col min="10006" max="10006" width="9.7109375" style="13" customWidth="1"/>
    <col min="10007" max="10007" width="8.85546875" style="13" customWidth="1"/>
    <col min="10008" max="10008" width="10.7109375" style="13" customWidth="1"/>
    <col min="10009" max="10009" width="16" style="13" customWidth="1"/>
    <col min="10010" max="10010" width="8.7109375" style="13" customWidth="1"/>
    <col min="10011" max="10011" width="6.5703125" style="13" bestFit="1" customWidth="1"/>
    <col min="10012" max="10012" width="8.7109375" style="13" customWidth="1"/>
    <col min="10013" max="10013" width="16" style="13" customWidth="1"/>
    <col min="10014" max="10014" width="15" style="13" customWidth="1"/>
    <col min="10015" max="10015" width="9.42578125" style="13" customWidth="1"/>
    <col min="10016" max="10240" width="9.140625" style="13"/>
    <col min="10241" max="10241" width="12.28515625" style="13" customWidth="1"/>
    <col min="10242" max="10242" width="2.42578125" style="13" customWidth="1"/>
    <col min="10243" max="10243" width="3.42578125" style="13" customWidth="1"/>
    <col min="10244" max="10244" width="13.28515625" style="13" customWidth="1"/>
    <col min="10245" max="10245" width="3.140625" style="13" customWidth="1"/>
    <col min="10246" max="10246" width="5.140625" style="13" customWidth="1"/>
    <col min="10247" max="10247" width="16.42578125" style="13" customWidth="1"/>
    <col min="10248" max="10254" width="0" style="13" hidden="1" customWidth="1"/>
    <col min="10255" max="10255" width="4.140625" style="13" customWidth="1"/>
    <col min="10256" max="10256" width="5.7109375" style="13" customWidth="1"/>
    <col min="10257" max="10257" width="0" style="13" hidden="1" customWidth="1"/>
    <col min="10258" max="10258" width="15.7109375" style="13" customWidth="1"/>
    <col min="10259" max="10259" width="7.7109375" style="13" customWidth="1"/>
    <col min="10260" max="10260" width="9.140625" style="13"/>
    <col min="10261" max="10261" width="10.85546875" style="13" customWidth="1"/>
    <col min="10262" max="10262" width="9.7109375" style="13" customWidth="1"/>
    <col min="10263" max="10263" width="8.85546875" style="13" customWidth="1"/>
    <col min="10264" max="10264" width="10.7109375" style="13" customWidth="1"/>
    <col min="10265" max="10265" width="16" style="13" customWidth="1"/>
    <col min="10266" max="10266" width="8.7109375" style="13" customWidth="1"/>
    <col min="10267" max="10267" width="6.5703125" style="13" bestFit="1" customWidth="1"/>
    <col min="10268" max="10268" width="8.7109375" style="13" customWidth="1"/>
    <col min="10269" max="10269" width="16" style="13" customWidth="1"/>
    <col min="10270" max="10270" width="15" style="13" customWidth="1"/>
    <col min="10271" max="10271" width="9.42578125" style="13" customWidth="1"/>
    <col min="10272" max="10496" width="9.140625" style="13"/>
    <col min="10497" max="10497" width="12.28515625" style="13" customWidth="1"/>
    <col min="10498" max="10498" width="2.42578125" style="13" customWidth="1"/>
    <col min="10499" max="10499" width="3.42578125" style="13" customWidth="1"/>
    <col min="10500" max="10500" width="13.28515625" style="13" customWidth="1"/>
    <col min="10501" max="10501" width="3.140625" style="13" customWidth="1"/>
    <col min="10502" max="10502" width="5.140625" style="13" customWidth="1"/>
    <col min="10503" max="10503" width="16.42578125" style="13" customWidth="1"/>
    <col min="10504" max="10510" width="0" style="13" hidden="1" customWidth="1"/>
    <col min="10511" max="10511" width="4.140625" style="13" customWidth="1"/>
    <col min="10512" max="10512" width="5.7109375" style="13" customWidth="1"/>
    <col min="10513" max="10513" width="0" style="13" hidden="1" customWidth="1"/>
    <col min="10514" max="10514" width="15.7109375" style="13" customWidth="1"/>
    <col min="10515" max="10515" width="7.7109375" style="13" customWidth="1"/>
    <col min="10516" max="10516" width="9.140625" style="13"/>
    <col min="10517" max="10517" width="10.85546875" style="13" customWidth="1"/>
    <col min="10518" max="10518" width="9.7109375" style="13" customWidth="1"/>
    <col min="10519" max="10519" width="8.85546875" style="13" customWidth="1"/>
    <col min="10520" max="10520" width="10.7109375" style="13" customWidth="1"/>
    <col min="10521" max="10521" width="16" style="13" customWidth="1"/>
    <col min="10522" max="10522" width="8.7109375" style="13" customWidth="1"/>
    <col min="10523" max="10523" width="6.5703125" style="13" bestFit="1" customWidth="1"/>
    <col min="10524" max="10524" width="8.7109375" style="13" customWidth="1"/>
    <col min="10525" max="10525" width="16" style="13" customWidth="1"/>
    <col min="10526" max="10526" width="15" style="13" customWidth="1"/>
    <col min="10527" max="10527" width="9.42578125" style="13" customWidth="1"/>
    <col min="10528" max="10752" width="9.140625" style="13"/>
    <col min="10753" max="10753" width="12.28515625" style="13" customWidth="1"/>
    <col min="10754" max="10754" width="2.42578125" style="13" customWidth="1"/>
    <col min="10755" max="10755" width="3.42578125" style="13" customWidth="1"/>
    <col min="10756" max="10756" width="13.28515625" style="13" customWidth="1"/>
    <col min="10757" max="10757" width="3.140625" style="13" customWidth="1"/>
    <col min="10758" max="10758" width="5.140625" style="13" customWidth="1"/>
    <col min="10759" max="10759" width="16.42578125" style="13" customWidth="1"/>
    <col min="10760" max="10766" width="0" style="13" hidden="1" customWidth="1"/>
    <col min="10767" max="10767" width="4.140625" style="13" customWidth="1"/>
    <col min="10768" max="10768" width="5.7109375" style="13" customWidth="1"/>
    <col min="10769" max="10769" width="0" style="13" hidden="1" customWidth="1"/>
    <col min="10770" max="10770" width="15.7109375" style="13" customWidth="1"/>
    <col min="10771" max="10771" width="7.7109375" style="13" customWidth="1"/>
    <col min="10772" max="10772" width="9.140625" style="13"/>
    <col min="10773" max="10773" width="10.85546875" style="13" customWidth="1"/>
    <col min="10774" max="10774" width="9.7109375" style="13" customWidth="1"/>
    <col min="10775" max="10775" width="8.85546875" style="13" customWidth="1"/>
    <col min="10776" max="10776" width="10.7109375" style="13" customWidth="1"/>
    <col min="10777" max="10777" width="16" style="13" customWidth="1"/>
    <col min="10778" max="10778" width="8.7109375" style="13" customWidth="1"/>
    <col min="10779" max="10779" width="6.5703125" style="13" bestFit="1" customWidth="1"/>
    <col min="10780" max="10780" width="8.7109375" style="13" customWidth="1"/>
    <col min="10781" max="10781" width="16" style="13" customWidth="1"/>
    <col min="10782" max="10782" width="15" style="13" customWidth="1"/>
    <col min="10783" max="10783" width="9.42578125" style="13" customWidth="1"/>
    <col min="10784" max="11008" width="9.140625" style="13"/>
    <col min="11009" max="11009" width="12.28515625" style="13" customWidth="1"/>
    <col min="11010" max="11010" width="2.42578125" style="13" customWidth="1"/>
    <col min="11011" max="11011" width="3.42578125" style="13" customWidth="1"/>
    <col min="11012" max="11012" width="13.28515625" style="13" customWidth="1"/>
    <col min="11013" max="11013" width="3.140625" style="13" customWidth="1"/>
    <col min="11014" max="11014" width="5.140625" style="13" customWidth="1"/>
    <col min="11015" max="11015" width="16.42578125" style="13" customWidth="1"/>
    <col min="11016" max="11022" width="0" style="13" hidden="1" customWidth="1"/>
    <col min="11023" max="11023" width="4.140625" style="13" customWidth="1"/>
    <col min="11024" max="11024" width="5.7109375" style="13" customWidth="1"/>
    <col min="11025" max="11025" width="0" style="13" hidden="1" customWidth="1"/>
    <col min="11026" max="11026" width="15.7109375" style="13" customWidth="1"/>
    <col min="11027" max="11027" width="7.7109375" style="13" customWidth="1"/>
    <col min="11028" max="11028" width="9.140625" style="13"/>
    <col min="11029" max="11029" width="10.85546875" style="13" customWidth="1"/>
    <col min="11030" max="11030" width="9.7109375" style="13" customWidth="1"/>
    <col min="11031" max="11031" width="8.85546875" style="13" customWidth="1"/>
    <col min="11032" max="11032" width="10.7109375" style="13" customWidth="1"/>
    <col min="11033" max="11033" width="16" style="13" customWidth="1"/>
    <col min="11034" max="11034" width="8.7109375" style="13" customWidth="1"/>
    <col min="11035" max="11035" width="6.5703125" style="13" bestFit="1" customWidth="1"/>
    <col min="11036" max="11036" width="8.7109375" style="13" customWidth="1"/>
    <col min="11037" max="11037" width="16" style="13" customWidth="1"/>
    <col min="11038" max="11038" width="15" style="13" customWidth="1"/>
    <col min="11039" max="11039" width="9.42578125" style="13" customWidth="1"/>
    <col min="11040" max="11264" width="9.140625" style="13"/>
    <col min="11265" max="11265" width="12.28515625" style="13" customWidth="1"/>
    <col min="11266" max="11266" width="2.42578125" style="13" customWidth="1"/>
    <col min="11267" max="11267" width="3.42578125" style="13" customWidth="1"/>
    <col min="11268" max="11268" width="13.28515625" style="13" customWidth="1"/>
    <col min="11269" max="11269" width="3.140625" style="13" customWidth="1"/>
    <col min="11270" max="11270" width="5.140625" style="13" customWidth="1"/>
    <col min="11271" max="11271" width="16.42578125" style="13" customWidth="1"/>
    <col min="11272" max="11278" width="0" style="13" hidden="1" customWidth="1"/>
    <col min="11279" max="11279" width="4.140625" style="13" customWidth="1"/>
    <col min="11280" max="11280" width="5.7109375" style="13" customWidth="1"/>
    <col min="11281" max="11281" width="0" style="13" hidden="1" customWidth="1"/>
    <col min="11282" max="11282" width="15.7109375" style="13" customWidth="1"/>
    <col min="11283" max="11283" width="7.7109375" style="13" customWidth="1"/>
    <col min="11284" max="11284" width="9.140625" style="13"/>
    <col min="11285" max="11285" width="10.85546875" style="13" customWidth="1"/>
    <col min="11286" max="11286" width="9.7109375" style="13" customWidth="1"/>
    <col min="11287" max="11287" width="8.85546875" style="13" customWidth="1"/>
    <col min="11288" max="11288" width="10.7109375" style="13" customWidth="1"/>
    <col min="11289" max="11289" width="16" style="13" customWidth="1"/>
    <col min="11290" max="11290" width="8.7109375" style="13" customWidth="1"/>
    <col min="11291" max="11291" width="6.5703125" style="13" bestFit="1" customWidth="1"/>
    <col min="11292" max="11292" width="8.7109375" style="13" customWidth="1"/>
    <col min="11293" max="11293" width="16" style="13" customWidth="1"/>
    <col min="11294" max="11294" width="15" style="13" customWidth="1"/>
    <col min="11295" max="11295" width="9.42578125" style="13" customWidth="1"/>
    <col min="11296" max="11520" width="9.140625" style="13"/>
    <col min="11521" max="11521" width="12.28515625" style="13" customWidth="1"/>
    <col min="11522" max="11522" width="2.42578125" style="13" customWidth="1"/>
    <col min="11523" max="11523" width="3.42578125" style="13" customWidth="1"/>
    <col min="11524" max="11524" width="13.28515625" style="13" customWidth="1"/>
    <col min="11525" max="11525" width="3.140625" style="13" customWidth="1"/>
    <col min="11526" max="11526" width="5.140625" style="13" customWidth="1"/>
    <col min="11527" max="11527" width="16.42578125" style="13" customWidth="1"/>
    <col min="11528" max="11534" width="0" style="13" hidden="1" customWidth="1"/>
    <col min="11535" max="11535" width="4.140625" style="13" customWidth="1"/>
    <col min="11536" max="11536" width="5.7109375" style="13" customWidth="1"/>
    <col min="11537" max="11537" width="0" style="13" hidden="1" customWidth="1"/>
    <col min="11538" max="11538" width="15.7109375" style="13" customWidth="1"/>
    <col min="11539" max="11539" width="7.7109375" style="13" customWidth="1"/>
    <col min="11540" max="11540" width="9.140625" style="13"/>
    <col min="11541" max="11541" width="10.85546875" style="13" customWidth="1"/>
    <col min="11542" max="11542" width="9.7109375" style="13" customWidth="1"/>
    <col min="11543" max="11543" width="8.85546875" style="13" customWidth="1"/>
    <col min="11544" max="11544" width="10.7109375" style="13" customWidth="1"/>
    <col min="11545" max="11545" width="16" style="13" customWidth="1"/>
    <col min="11546" max="11546" width="8.7109375" style="13" customWidth="1"/>
    <col min="11547" max="11547" width="6.5703125" style="13" bestFit="1" customWidth="1"/>
    <col min="11548" max="11548" width="8.7109375" style="13" customWidth="1"/>
    <col min="11549" max="11549" width="16" style="13" customWidth="1"/>
    <col min="11550" max="11550" width="15" style="13" customWidth="1"/>
    <col min="11551" max="11551" width="9.42578125" style="13" customWidth="1"/>
    <col min="11552" max="11776" width="9.140625" style="13"/>
    <col min="11777" max="11777" width="12.28515625" style="13" customWidth="1"/>
    <col min="11778" max="11778" width="2.42578125" style="13" customWidth="1"/>
    <col min="11779" max="11779" width="3.42578125" style="13" customWidth="1"/>
    <col min="11780" max="11780" width="13.28515625" style="13" customWidth="1"/>
    <col min="11781" max="11781" width="3.140625" style="13" customWidth="1"/>
    <col min="11782" max="11782" width="5.140625" style="13" customWidth="1"/>
    <col min="11783" max="11783" width="16.42578125" style="13" customWidth="1"/>
    <col min="11784" max="11790" width="0" style="13" hidden="1" customWidth="1"/>
    <col min="11791" max="11791" width="4.140625" style="13" customWidth="1"/>
    <col min="11792" max="11792" width="5.7109375" style="13" customWidth="1"/>
    <col min="11793" max="11793" width="0" style="13" hidden="1" customWidth="1"/>
    <col min="11794" max="11794" width="15.7109375" style="13" customWidth="1"/>
    <col min="11795" max="11795" width="7.7109375" style="13" customWidth="1"/>
    <col min="11796" max="11796" width="9.140625" style="13"/>
    <col min="11797" max="11797" width="10.85546875" style="13" customWidth="1"/>
    <col min="11798" max="11798" width="9.7109375" style="13" customWidth="1"/>
    <col min="11799" max="11799" width="8.85546875" style="13" customWidth="1"/>
    <col min="11800" max="11800" width="10.7109375" style="13" customWidth="1"/>
    <col min="11801" max="11801" width="16" style="13" customWidth="1"/>
    <col min="11802" max="11802" width="8.7109375" style="13" customWidth="1"/>
    <col min="11803" max="11803" width="6.5703125" style="13" bestFit="1" customWidth="1"/>
    <col min="11804" max="11804" width="8.7109375" style="13" customWidth="1"/>
    <col min="11805" max="11805" width="16" style="13" customWidth="1"/>
    <col min="11806" max="11806" width="15" style="13" customWidth="1"/>
    <col min="11807" max="11807" width="9.42578125" style="13" customWidth="1"/>
    <col min="11808" max="12032" width="9.140625" style="13"/>
    <col min="12033" max="12033" width="12.28515625" style="13" customWidth="1"/>
    <col min="12034" max="12034" width="2.42578125" style="13" customWidth="1"/>
    <col min="12035" max="12035" width="3.42578125" style="13" customWidth="1"/>
    <col min="12036" max="12036" width="13.28515625" style="13" customWidth="1"/>
    <col min="12037" max="12037" width="3.140625" style="13" customWidth="1"/>
    <col min="12038" max="12038" width="5.140625" style="13" customWidth="1"/>
    <col min="12039" max="12039" width="16.42578125" style="13" customWidth="1"/>
    <col min="12040" max="12046" width="0" style="13" hidden="1" customWidth="1"/>
    <col min="12047" max="12047" width="4.140625" style="13" customWidth="1"/>
    <col min="12048" max="12048" width="5.7109375" style="13" customWidth="1"/>
    <col min="12049" max="12049" width="0" style="13" hidden="1" customWidth="1"/>
    <col min="12050" max="12050" width="15.7109375" style="13" customWidth="1"/>
    <col min="12051" max="12051" width="7.7109375" style="13" customWidth="1"/>
    <col min="12052" max="12052" width="9.140625" style="13"/>
    <col min="12053" max="12053" width="10.85546875" style="13" customWidth="1"/>
    <col min="12054" max="12054" width="9.7109375" style="13" customWidth="1"/>
    <col min="12055" max="12055" width="8.85546875" style="13" customWidth="1"/>
    <col min="12056" max="12056" width="10.7109375" style="13" customWidth="1"/>
    <col min="12057" max="12057" width="16" style="13" customWidth="1"/>
    <col min="12058" max="12058" width="8.7109375" style="13" customWidth="1"/>
    <col min="12059" max="12059" width="6.5703125" style="13" bestFit="1" customWidth="1"/>
    <col min="12060" max="12060" width="8.7109375" style="13" customWidth="1"/>
    <col min="12061" max="12061" width="16" style="13" customWidth="1"/>
    <col min="12062" max="12062" width="15" style="13" customWidth="1"/>
    <col min="12063" max="12063" width="9.42578125" style="13" customWidth="1"/>
    <col min="12064" max="12288" width="9.140625" style="13"/>
    <col min="12289" max="12289" width="12.28515625" style="13" customWidth="1"/>
    <col min="12290" max="12290" width="2.42578125" style="13" customWidth="1"/>
    <col min="12291" max="12291" width="3.42578125" style="13" customWidth="1"/>
    <col min="12292" max="12292" width="13.28515625" style="13" customWidth="1"/>
    <col min="12293" max="12293" width="3.140625" style="13" customWidth="1"/>
    <col min="12294" max="12294" width="5.140625" style="13" customWidth="1"/>
    <col min="12295" max="12295" width="16.42578125" style="13" customWidth="1"/>
    <col min="12296" max="12302" width="0" style="13" hidden="1" customWidth="1"/>
    <col min="12303" max="12303" width="4.140625" style="13" customWidth="1"/>
    <col min="12304" max="12304" width="5.7109375" style="13" customWidth="1"/>
    <col min="12305" max="12305" width="0" style="13" hidden="1" customWidth="1"/>
    <col min="12306" max="12306" width="15.7109375" style="13" customWidth="1"/>
    <col min="12307" max="12307" width="7.7109375" style="13" customWidth="1"/>
    <col min="12308" max="12308" width="9.140625" style="13"/>
    <col min="12309" max="12309" width="10.85546875" style="13" customWidth="1"/>
    <col min="12310" max="12310" width="9.7109375" style="13" customWidth="1"/>
    <col min="12311" max="12311" width="8.85546875" style="13" customWidth="1"/>
    <col min="12312" max="12312" width="10.7109375" style="13" customWidth="1"/>
    <col min="12313" max="12313" width="16" style="13" customWidth="1"/>
    <col min="12314" max="12314" width="8.7109375" style="13" customWidth="1"/>
    <col min="12315" max="12315" width="6.5703125" style="13" bestFit="1" customWidth="1"/>
    <col min="12316" max="12316" width="8.7109375" style="13" customWidth="1"/>
    <col min="12317" max="12317" width="16" style="13" customWidth="1"/>
    <col min="12318" max="12318" width="15" style="13" customWidth="1"/>
    <col min="12319" max="12319" width="9.42578125" style="13" customWidth="1"/>
    <col min="12320" max="12544" width="9.140625" style="13"/>
    <col min="12545" max="12545" width="12.28515625" style="13" customWidth="1"/>
    <col min="12546" max="12546" width="2.42578125" style="13" customWidth="1"/>
    <col min="12547" max="12547" width="3.42578125" style="13" customWidth="1"/>
    <col min="12548" max="12548" width="13.28515625" style="13" customWidth="1"/>
    <col min="12549" max="12549" width="3.140625" style="13" customWidth="1"/>
    <col min="12550" max="12550" width="5.140625" style="13" customWidth="1"/>
    <col min="12551" max="12551" width="16.42578125" style="13" customWidth="1"/>
    <col min="12552" max="12558" width="0" style="13" hidden="1" customWidth="1"/>
    <col min="12559" max="12559" width="4.140625" style="13" customWidth="1"/>
    <col min="12560" max="12560" width="5.7109375" style="13" customWidth="1"/>
    <col min="12561" max="12561" width="0" style="13" hidden="1" customWidth="1"/>
    <col min="12562" max="12562" width="15.7109375" style="13" customWidth="1"/>
    <col min="12563" max="12563" width="7.7109375" style="13" customWidth="1"/>
    <col min="12564" max="12564" width="9.140625" style="13"/>
    <col min="12565" max="12565" width="10.85546875" style="13" customWidth="1"/>
    <col min="12566" max="12566" width="9.7109375" style="13" customWidth="1"/>
    <col min="12567" max="12567" width="8.85546875" style="13" customWidth="1"/>
    <col min="12568" max="12568" width="10.7109375" style="13" customWidth="1"/>
    <col min="12569" max="12569" width="16" style="13" customWidth="1"/>
    <col min="12570" max="12570" width="8.7109375" style="13" customWidth="1"/>
    <col min="12571" max="12571" width="6.5703125" style="13" bestFit="1" customWidth="1"/>
    <col min="12572" max="12572" width="8.7109375" style="13" customWidth="1"/>
    <col min="12573" max="12573" width="16" style="13" customWidth="1"/>
    <col min="12574" max="12574" width="15" style="13" customWidth="1"/>
    <col min="12575" max="12575" width="9.42578125" style="13" customWidth="1"/>
    <col min="12576" max="12800" width="9.140625" style="13"/>
    <col min="12801" max="12801" width="12.28515625" style="13" customWidth="1"/>
    <col min="12802" max="12802" width="2.42578125" style="13" customWidth="1"/>
    <col min="12803" max="12803" width="3.42578125" style="13" customWidth="1"/>
    <col min="12804" max="12804" width="13.28515625" style="13" customWidth="1"/>
    <col min="12805" max="12805" width="3.140625" style="13" customWidth="1"/>
    <col min="12806" max="12806" width="5.140625" style="13" customWidth="1"/>
    <col min="12807" max="12807" width="16.42578125" style="13" customWidth="1"/>
    <col min="12808" max="12814" width="0" style="13" hidden="1" customWidth="1"/>
    <col min="12815" max="12815" width="4.140625" style="13" customWidth="1"/>
    <col min="12816" max="12816" width="5.7109375" style="13" customWidth="1"/>
    <col min="12817" max="12817" width="0" style="13" hidden="1" customWidth="1"/>
    <col min="12818" max="12818" width="15.7109375" style="13" customWidth="1"/>
    <col min="12819" max="12819" width="7.7109375" style="13" customWidth="1"/>
    <col min="12820" max="12820" width="9.140625" style="13"/>
    <col min="12821" max="12821" width="10.85546875" style="13" customWidth="1"/>
    <col min="12822" max="12822" width="9.7109375" style="13" customWidth="1"/>
    <col min="12823" max="12823" width="8.85546875" style="13" customWidth="1"/>
    <col min="12824" max="12824" width="10.7109375" style="13" customWidth="1"/>
    <col min="12825" max="12825" width="16" style="13" customWidth="1"/>
    <col min="12826" max="12826" width="8.7109375" style="13" customWidth="1"/>
    <col min="12827" max="12827" width="6.5703125" style="13" bestFit="1" customWidth="1"/>
    <col min="12828" max="12828" width="8.7109375" style="13" customWidth="1"/>
    <col min="12829" max="12829" width="16" style="13" customWidth="1"/>
    <col min="12830" max="12830" width="15" style="13" customWidth="1"/>
    <col min="12831" max="12831" width="9.42578125" style="13" customWidth="1"/>
    <col min="12832" max="13056" width="9.140625" style="13"/>
    <col min="13057" max="13057" width="12.28515625" style="13" customWidth="1"/>
    <col min="13058" max="13058" width="2.42578125" style="13" customWidth="1"/>
    <col min="13059" max="13059" width="3.42578125" style="13" customWidth="1"/>
    <col min="13060" max="13060" width="13.28515625" style="13" customWidth="1"/>
    <col min="13061" max="13061" width="3.140625" style="13" customWidth="1"/>
    <col min="13062" max="13062" width="5.140625" style="13" customWidth="1"/>
    <col min="13063" max="13063" width="16.42578125" style="13" customWidth="1"/>
    <col min="13064" max="13070" width="0" style="13" hidden="1" customWidth="1"/>
    <col min="13071" max="13071" width="4.140625" style="13" customWidth="1"/>
    <col min="13072" max="13072" width="5.7109375" style="13" customWidth="1"/>
    <col min="13073" max="13073" width="0" style="13" hidden="1" customWidth="1"/>
    <col min="13074" max="13074" width="15.7109375" style="13" customWidth="1"/>
    <col min="13075" max="13075" width="7.7109375" style="13" customWidth="1"/>
    <col min="13076" max="13076" width="9.140625" style="13"/>
    <col min="13077" max="13077" width="10.85546875" style="13" customWidth="1"/>
    <col min="13078" max="13078" width="9.7109375" style="13" customWidth="1"/>
    <col min="13079" max="13079" width="8.85546875" style="13" customWidth="1"/>
    <col min="13080" max="13080" width="10.7109375" style="13" customWidth="1"/>
    <col min="13081" max="13081" width="16" style="13" customWidth="1"/>
    <col min="13082" max="13082" width="8.7109375" style="13" customWidth="1"/>
    <col min="13083" max="13083" width="6.5703125" style="13" bestFit="1" customWidth="1"/>
    <col min="13084" max="13084" width="8.7109375" style="13" customWidth="1"/>
    <col min="13085" max="13085" width="16" style="13" customWidth="1"/>
    <col min="13086" max="13086" width="15" style="13" customWidth="1"/>
    <col min="13087" max="13087" width="9.42578125" style="13" customWidth="1"/>
    <col min="13088" max="13312" width="9.140625" style="13"/>
    <col min="13313" max="13313" width="12.28515625" style="13" customWidth="1"/>
    <col min="13314" max="13314" width="2.42578125" style="13" customWidth="1"/>
    <col min="13315" max="13315" width="3.42578125" style="13" customWidth="1"/>
    <col min="13316" max="13316" width="13.28515625" style="13" customWidth="1"/>
    <col min="13317" max="13317" width="3.140625" style="13" customWidth="1"/>
    <col min="13318" max="13318" width="5.140625" style="13" customWidth="1"/>
    <col min="13319" max="13319" width="16.42578125" style="13" customWidth="1"/>
    <col min="13320" max="13326" width="0" style="13" hidden="1" customWidth="1"/>
    <col min="13327" max="13327" width="4.140625" style="13" customWidth="1"/>
    <col min="13328" max="13328" width="5.7109375" style="13" customWidth="1"/>
    <col min="13329" max="13329" width="0" style="13" hidden="1" customWidth="1"/>
    <col min="13330" max="13330" width="15.7109375" style="13" customWidth="1"/>
    <col min="13331" max="13331" width="7.7109375" style="13" customWidth="1"/>
    <col min="13332" max="13332" width="9.140625" style="13"/>
    <col min="13333" max="13333" width="10.85546875" style="13" customWidth="1"/>
    <col min="13334" max="13334" width="9.7109375" style="13" customWidth="1"/>
    <col min="13335" max="13335" width="8.85546875" style="13" customWidth="1"/>
    <col min="13336" max="13336" width="10.7109375" style="13" customWidth="1"/>
    <col min="13337" max="13337" width="16" style="13" customWidth="1"/>
    <col min="13338" max="13338" width="8.7109375" style="13" customWidth="1"/>
    <col min="13339" max="13339" width="6.5703125" style="13" bestFit="1" customWidth="1"/>
    <col min="13340" max="13340" width="8.7109375" style="13" customWidth="1"/>
    <col min="13341" max="13341" width="16" style="13" customWidth="1"/>
    <col min="13342" max="13342" width="15" style="13" customWidth="1"/>
    <col min="13343" max="13343" width="9.42578125" style="13" customWidth="1"/>
    <col min="13344" max="13568" width="9.140625" style="13"/>
    <col min="13569" max="13569" width="12.28515625" style="13" customWidth="1"/>
    <col min="13570" max="13570" width="2.42578125" style="13" customWidth="1"/>
    <col min="13571" max="13571" width="3.42578125" style="13" customWidth="1"/>
    <col min="13572" max="13572" width="13.28515625" style="13" customWidth="1"/>
    <col min="13573" max="13573" width="3.140625" style="13" customWidth="1"/>
    <col min="13574" max="13574" width="5.140625" style="13" customWidth="1"/>
    <col min="13575" max="13575" width="16.42578125" style="13" customWidth="1"/>
    <col min="13576" max="13582" width="0" style="13" hidden="1" customWidth="1"/>
    <col min="13583" max="13583" width="4.140625" style="13" customWidth="1"/>
    <col min="13584" max="13584" width="5.7109375" style="13" customWidth="1"/>
    <col min="13585" max="13585" width="0" style="13" hidden="1" customWidth="1"/>
    <col min="13586" max="13586" width="15.7109375" style="13" customWidth="1"/>
    <col min="13587" max="13587" width="7.7109375" style="13" customWidth="1"/>
    <col min="13588" max="13588" width="9.140625" style="13"/>
    <col min="13589" max="13589" width="10.85546875" style="13" customWidth="1"/>
    <col min="13590" max="13590" width="9.7109375" style="13" customWidth="1"/>
    <col min="13591" max="13591" width="8.85546875" style="13" customWidth="1"/>
    <col min="13592" max="13592" width="10.7109375" style="13" customWidth="1"/>
    <col min="13593" max="13593" width="16" style="13" customWidth="1"/>
    <col min="13594" max="13594" width="8.7109375" style="13" customWidth="1"/>
    <col min="13595" max="13595" width="6.5703125" style="13" bestFit="1" customWidth="1"/>
    <col min="13596" max="13596" width="8.7109375" style="13" customWidth="1"/>
    <col min="13597" max="13597" width="16" style="13" customWidth="1"/>
    <col min="13598" max="13598" width="15" style="13" customWidth="1"/>
    <col min="13599" max="13599" width="9.42578125" style="13" customWidth="1"/>
    <col min="13600" max="13824" width="9.140625" style="13"/>
    <col min="13825" max="13825" width="12.28515625" style="13" customWidth="1"/>
    <col min="13826" max="13826" width="2.42578125" style="13" customWidth="1"/>
    <col min="13827" max="13827" width="3.42578125" style="13" customWidth="1"/>
    <col min="13828" max="13828" width="13.28515625" style="13" customWidth="1"/>
    <col min="13829" max="13829" width="3.140625" style="13" customWidth="1"/>
    <col min="13830" max="13830" width="5.140625" style="13" customWidth="1"/>
    <col min="13831" max="13831" width="16.42578125" style="13" customWidth="1"/>
    <col min="13832" max="13838" width="0" style="13" hidden="1" customWidth="1"/>
    <col min="13839" max="13839" width="4.140625" style="13" customWidth="1"/>
    <col min="13840" max="13840" width="5.7109375" style="13" customWidth="1"/>
    <col min="13841" max="13841" width="0" style="13" hidden="1" customWidth="1"/>
    <col min="13842" max="13842" width="15.7109375" style="13" customWidth="1"/>
    <col min="13843" max="13843" width="7.7109375" style="13" customWidth="1"/>
    <col min="13844" max="13844" width="9.140625" style="13"/>
    <col min="13845" max="13845" width="10.85546875" style="13" customWidth="1"/>
    <col min="13846" max="13846" width="9.7109375" style="13" customWidth="1"/>
    <col min="13847" max="13847" width="8.85546875" style="13" customWidth="1"/>
    <col min="13848" max="13848" width="10.7109375" style="13" customWidth="1"/>
    <col min="13849" max="13849" width="16" style="13" customWidth="1"/>
    <col min="13850" max="13850" width="8.7109375" style="13" customWidth="1"/>
    <col min="13851" max="13851" width="6.5703125" style="13" bestFit="1" customWidth="1"/>
    <col min="13852" max="13852" width="8.7109375" style="13" customWidth="1"/>
    <col min="13853" max="13853" width="16" style="13" customWidth="1"/>
    <col min="13854" max="13854" width="15" style="13" customWidth="1"/>
    <col min="13855" max="13855" width="9.42578125" style="13" customWidth="1"/>
    <col min="13856" max="14080" width="9.140625" style="13"/>
    <col min="14081" max="14081" width="12.28515625" style="13" customWidth="1"/>
    <col min="14082" max="14082" width="2.42578125" style="13" customWidth="1"/>
    <col min="14083" max="14083" width="3.42578125" style="13" customWidth="1"/>
    <col min="14084" max="14084" width="13.28515625" style="13" customWidth="1"/>
    <col min="14085" max="14085" width="3.140625" style="13" customWidth="1"/>
    <col min="14086" max="14086" width="5.140625" style="13" customWidth="1"/>
    <col min="14087" max="14087" width="16.42578125" style="13" customWidth="1"/>
    <col min="14088" max="14094" width="0" style="13" hidden="1" customWidth="1"/>
    <col min="14095" max="14095" width="4.140625" style="13" customWidth="1"/>
    <col min="14096" max="14096" width="5.7109375" style="13" customWidth="1"/>
    <col min="14097" max="14097" width="0" style="13" hidden="1" customWidth="1"/>
    <col min="14098" max="14098" width="15.7109375" style="13" customWidth="1"/>
    <col min="14099" max="14099" width="7.7109375" style="13" customWidth="1"/>
    <col min="14100" max="14100" width="9.140625" style="13"/>
    <col min="14101" max="14101" width="10.85546875" style="13" customWidth="1"/>
    <col min="14102" max="14102" width="9.7109375" style="13" customWidth="1"/>
    <col min="14103" max="14103" width="8.85546875" style="13" customWidth="1"/>
    <col min="14104" max="14104" width="10.7109375" style="13" customWidth="1"/>
    <col min="14105" max="14105" width="16" style="13" customWidth="1"/>
    <col min="14106" max="14106" width="8.7109375" style="13" customWidth="1"/>
    <col min="14107" max="14107" width="6.5703125" style="13" bestFit="1" customWidth="1"/>
    <col min="14108" max="14108" width="8.7109375" style="13" customWidth="1"/>
    <col min="14109" max="14109" width="16" style="13" customWidth="1"/>
    <col min="14110" max="14110" width="15" style="13" customWidth="1"/>
    <col min="14111" max="14111" width="9.42578125" style="13" customWidth="1"/>
    <col min="14112" max="14336" width="9.140625" style="13"/>
    <col min="14337" max="14337" width="12.28515625" style="13" customWidth="1"/>
    <col min="14338" max="14338" width="2.42578125" style="13" customWidth="1"/>
    <col min="14339" max="14339" width="3.42578125" style="13" customWidth="1"/>
    <col min="14340" max="14340" width="13.28515625" style="13" customWidth="1"/>
    <col min="14341" max="14341" width="3.140625" style="13" customWidth="1"/>
    <col min="14342" max="14342" width="5.140625" style="13" customWidth="1"/>
    <col min="14343" max="14343" width="16.42578125" style="13" customWidth="1"/>
    <col min="14344" max="14350" width="0" style="13" hidden="1" customWidth="1"/>
    <col min="14351" max="14351" width="4.140625" style="13" customWidth="1"/>
    <col min="14352" max="14352" width="5.7109375" style="13" customWidth="1"/>
    <col min="14353" max="14353" width="0" style="13" hidden="1" customWidth="1"/>
    <col min="14354" max="14354" width="15.7109375" style="13" customWidth="1"/>
    <col min="14355" max="14355" width="7.7109375" style="13" customWidth="1"/>
    <col min="14356" max="14356" width="9.140625" style="13"/>
    <col min="14357" max="14357" width="10.85546875" style="13" customWidth="1"/>
    <col min="14358" max="14358" width="9.7109375" style="13" customWidth="1"/>
    <col min="14359" max="14359" width="8.85546875" style="13" customWidth="1"/>
    <col min="14360" max="14360" width="10.7109375" style="13" customWidth="1"/>
    <col min="14361" max="14361" width="16" style="13" customWidth="1"/>
    <col min="14362" max="14362" width="8.7109375" style="13" customWidth="1"/>
    <col min="14363" max="14363" width="6.5703125" style="13" bestFit="1" customWidth="1"/>
    <col min="14364" max="14364" width="8.7109375" style="13" customWidth="1"/>
    <col min="14365" max="14365" width="16" style="13" customWidth="1"/>
    <col min="14366" max="14366" width="15" style="13" customWidth="1"/>
    <col min="14367" max="14367" width="9.42578125" style="13" customWidth="1"/>
    <col min="14368" max="14592" width="9.140625" style="13"/>
    <col min="14593" max="14593" width="12.28515625" style="13" customWidth="1"/>
    <col min="14594" max="14594" width="2.42578125" style="13" customWidth="1"/>
    <col min="14595" max="14595" width="3.42578125" style="13" customWidth="1"/>
    <col min="14596" max="14596" width="13.28515625" style="13" customWidth="1"/>
    <col min="14597" max="14597" width="3.140625" style="13" customWidth="1"/>
    <col min="14598" max="14598" width="5.140625" style="13" customWidth="1"/>
    <col min="14599" max="14599" width="16.42578125" style="13" customWidth="1"/>
    <col min="14600" max="14606" width="0" style="13" hidden="1" customWidth="1"/>
    <col min="14607" max="14607" width="4.140625" style="13" customWidth="1"/>
    <col min="14608" max="14608" width="5.7109375" style="13" customWidth="1"/>
    <col min="14609" max="14609" width="0" style="13" hidden="1" customWidth="1"/>
    <col min="14610" max="14610" width="15.7109375" style="13" customWidth="1"/>
    <col min="14611" max="14611" width="7.7109375" style="13" customWidth="1"/>
    <col min="14612" max="14612" width="9.140625" style="13"/>
    <col min="14613" max="14613" width="10.85546875" style="13" customWidth="1"/>
    <col min="14614" max="14614" width="9.7109375" style="13" customWidth="1"/>
    <col min="14615" max="14615" width="8.85546875" style="13" customWidth="1"/>
    <col min="14616" max="14616" width="10.7109375" style="13" customWidth="1"/>
    <col min="14617" max="14617" width="16" style="13" customWidth="1"/>
    <col min="14618" max="14618" width="8.7109375" style="13" customWidth="1"/>
    <col min="14619" max="14619" width="6.5703125" style="13" bestFit="1" customWidth="1"/>
    <col min="14620" max="14620" width="8.7109375" style="13" customWidth="1"/>
    <col min="14621" max="14621" width="16" style="13" customWidth="1"/>
    <col min="14622" max="14622" width="15" style="13" customWidth="1"/>
    <col min="14623" max="14623" width="9.42578125" style="13" customWidth="1"/>
    <col min="14624" max="14848" width="9.140625" style="13"/>
    <col min="14849" max="14849" width="12.28515625" style="13" customWidth="1"/>
    <col min="14850" max="14850" width="2.42578125" style="13" customWidth="1"/>
    <col min="14851" max="14851" width="3.42578125" style="13" customWidth="1"/>
    <col min="14852" max="14852" width="13.28515625" style="13" customWidth="1"/>
    <col min="14853" max="14853" width="3.140625" style="13" customWidth="1"/>
    <col min="14854" max="14854" width="5.140625" style="13" customWidth="1"/>
    <col min="14855" max="14855" width="16.42578125" style="13" customWidth="1"/>
    <col min="14856" max="14862" width="0" style="13" hidden="1" customWidth="1"/>
    <col min="14863" max="14863" width="4.140625" style="13" customWidth="1"/>
    <col min="14864" max="14864" width="5.7109375" style="13" customWidth="1"/>
    <col min="14865" max="14865" width="0" style="13" hidden="1" customWidth="1"/>
    <col min="14866" max="14866" width="15.7109375" style="13" customWidth="1"/>
    <col min="14867" max="14867" width="7.7109375" style="13" customWidth="1"/>
    <col min="14868" max="14868" width="9.140625" style="13"/>
    <col min="14869" max="14869" width="10.85546875" style="13" customWidth="1"/>
    <col min="14870" max="14870" width="9.7109375" style="13" customWidth="1"/>
    <col min="14871" max="14871" width="8.85546875" style="13" customWidth="1"/>
    <col min="14872" max="14872" width="10.7109375" style="13" customWidth="1"/>
    <col min="14873" max="14873" width="16" style="13" customWidth="1"/>
    <col min="14874" max="14874" width="8.7109375" style="13" customWidth="1"/>
    <col min="14875" max="14875" width="6.5703125" style="13" bestFit="1" customWidth="1"/>
    <col min="14876" max="14876" width="8.7109375" style="13" customWidth="1"/>
    <col min="14877" max="14877" width="16" style="13" customWidth="1"/>
    <col min="14878" max="14878" width="15" style="13" customWidth="1"/>
    <col min="14879" max="14879" width="9.42578125" style="13" customWidth="1"/>
    <col min="14880" max="15104" width="9.140625" style="13"/>
    <col min="15105" max="15105" width="12.28515625" style="13" customWidth="1"/>
    <col min="15106" max="15106" width="2.42578125" style="13" customWidth="1"/>
    <col min="15107" max="15107" width="3.42578125" style="13" customWidth="1"/>
    <col min="15108" max="15108" width="13.28515625" style="13" customWidth="1"/>
    <col min="15109" max="15109" width="3.140625" style="13" customWidth="1"/>
    <col min="15110" max="15110" width="5.140625" style="13" customWidth="1"/>
    <col min="15111" max="15111" width="16.42578125" style="13" customWidth="1"/>
    <col min="15112" max="15118" width="0" style="13" hidden="1" customWidth="1"/>
    <col min="15119" max="15119" width="4.140625" style="13" customWidth="1"/>
    <col min="15120" max="15120" width="5.7109375" style="13" customWidth="1"/>
    <col min="15121" max="15121" width="0" style="13" hidden="1" customWidth="1"/>
    <col min="15122" max="15122" width="15.7109375" style="13" customWidth="1"/>
    <col min="15123" max="15123" width="7.7109375" style="13" customWidth="1"/>
    <col min="15124" max="15124" width="9.140625" style="13"/>
    <col min="15125" max="15125" width="10.85546875" style="13" customWidth="1"/>
    <col min="15126" max="15126" width="9.7109375" style="13" customWidth="1"/>
    <col min="15127" max="15127" width="8.85546875" style="13" customWidth="1"/>
    <col min="15128" max="15128" width="10.7109375" style="13" customWidth="1"/>
    <col min="15129" max="15129" width="16" style="13" customWidth="1"/>
    <col min="15130" max="15130" width="8.7109375" style="13" customWidth="1"/>
    <col min="15131" max="15131" width="6.5703125" style="13" bestFit="1" customWidth="1"/>
    <col min="15132" max="15132" width="8.7109375" style="13" customWidth="1"/>
    <col min="15133" max="15133" width="16" style="13" customWidth="1"/>
    <col min="15134" max="15134" width="15" style="13" customWidth="1"/>
    <col min="15135" max="15135" width="9.42578125" style="13" customWidth="1"/>
    <col min="15136" max="15360" width="9.140625" style="13"/>
    <col min="15361" max="15361" width="12.28515625" style="13" customWidth="1"/>
    <col min="15362" max="15362" width="2.42578125" style="13" customWidth="1"/>
    <col min="15363" max="15363" width="3.42578125" style="13" customWidth="1"/>
    <col min="15364" max="15364" width="13.28515625" style="13" customWidth="1"/>
    <col min="15365" max="15365" width="3.140625" style="13" customWidth="1"/>
    <col min="15366" max="15366" width="5.140625" style="13" customWidth="1"/>
    <col min="15367" max="15367" width="16.42578125" style="13" customWidth="1"/>
    <col min="15368" max="15374" width="0" style="13" hidden="1" customWidth="1"/>
    <col min="15375" max="15375" width="4.140625" style="13" customWidth="1"/>
    <col min="15376" max="15376" width="5.7109375" style="13" customWidth="1"/>
    <col min="15377" max="15377" width="0" style="13" hidden="1" customWidth="1"/>
    <col min="15378" max="15378" width="15.7109375" style="13" customWidth="1"/>
    <col min="15379" max="15379" width="7.7109375" style="13" customWidth="1"/>
    <col min="15380" max="15380" width="9.140625" style="13"/>
    <col min="15381" max="15381" width="10.85546875" style="13" customWidth="1"/>
    <col min="15382" max="15382" width="9.7109375" style="13" customWidth="1"/>
    <col min="15383" max="15383" width="8.85546875" style="13" customWidth="1"/>
    <col min="15384" max="15384" width="10.7109375" style="13" customWidth="1"/>
    <col min="15385" max="15385" width="16" style="13" customWidth="1"/>
    <col min="15386" max="15386" width="8.7109375" style="13" customWidth="1"/>
    <col min="15387" max="15387" width="6.5703125" style="13" bestFit="1" customWidth="1"/>
    <col min="15388" max="15388" width="8.7109375" style="13" customWidth="1"/>
    <col min="15389" max="15389" width="16" style="13" customWidth="1"/>
    <col min="15390" max="15390" width="15" style="13" customWidth="1"/>
    <col min="15391" max="15391" width="9.42578125" style="13" customWidth="1"/>
    <col min="15392" max="15616" width="9.140625" style="13"/>
    <col min="15617" max="15617" width="12.28515625" style="13" customWidth="1"/>
    <col min="15618" max="15618" width="2.42578125" style="13" customWidth="1"/>
    <col min="15619" max="15619" width="3.42578125" style="13" customWidth="1"/>
    <col min="15620" max="15620" width="13.28515625" style="13" customWidth="1"/>
    <col min="15621" max="15621" width="3.140625" style="13" customWidth="1"/>
    <col min="15622" max="15622" width="5.140625" style="13" customWidth="1"/>
    <col min="15623" max="15623" width="16.42578125" style="13" customWidth="1"/>
    <col min="15624" max="15630" width="0" style="13" hidden="1" customWidth="1"/>
    <col min="15631" max="15631" width="4.140625" style="13" customWidth="1"/>
    <col min="15632" max="15632" width="5.7109375" style="13" customWidth="1"/>
    <col min="15633" max="15633" width="0" style="13" hidden="1" customWidth="1"/>
    <col min="15634" max="15634" width="15.7109375" style="13" customWidth="1"/>
    <col min="15635" max="15635" width="7.7109375" style="13" customWidth="1"/>
    <col min="15636" max="15636" width="9.140625" style="13"/>
    <col min="15637" max="15637" width="10.85546875" style="13" customWidth="1"/>
    <col min="15638" max="15638" width="9.7109375" style="13" customWidth="1"/>
    <col min="15639" max="15639" width="8.85546875" style="13" customWidth="1"/>
    <col min="15640" max="15640" width="10.7109375" style="13" customWidth="1"/>
    <col min="15641" max="15641" width="16" style="13" customWidth="1"/>
    <col min="15642" max="15642" width="8.7109375" style="13" customWidth="1"/>
    <col min="15643" max="15643" width="6.5703125" style="13" bestFit="1" customWidth="1"/>
    <col min="15644" max="15644" width="8.7109375" style="13" customWidth="1"/>
    <col min="15645" max="15645" width="16" style="13" customWidth="1"/>
    <col min="15646" max="15646" width="15" style="13" customWidth="1"/>
    <col min="15647" max="15647" width="9.42578125" style="13" customWidth="1"/>
    <col min="15648" max="15872" width="9.140625" style="13"/>
    <col min="15873" max="15873" width="12.28515625" style="13" customWidth="1"/>
    <col min="15874" max="15874" width="2.42578125" style="13" customWidth="1"/>
    <col min="15875" max="15875" width="3.42578125" style="13" customWidth="1"/>
    <col min="15876" max="15876" width="13.28515625" style="13" customWidth="1"/>
    <col min="15877" max="15877" width="3.140625" style="13" customWidth="1"/>
    <col min="15878" max="15878" width="5.140625" style="13" customWidth="1"/>
    <col min="15879" max="15879" width="16.42578125" style="13" customWidth="1"/>
    <col min="15880" max="15886" width="0" style="13" hidden="1" customWidth="1"/>
    <col min="15887" max="15887" width="4.140625" style="13" customWidth="1"/>
    <col min="15888" max="15888" width="5.7109375" style="13" customWidth="1"/>
    <col min="15889" max="15889" width="0" style="13" hidden="1" customWidth="1"/>
    <col min="15890" max="15890" width="15.7109375" style="13" customWidth="1"/>
    <col min="15891" max="15891" width="7.7109375" style="13" customWidth="1"/>
    <col min="15892" max="15892" width="9.140625" style="13"/>
    <col min="15893" max="15893" width="10.85546875" style="13" customWidth="1"/>
    <col min="15894" max="15894" width="9.7109375" style="13" customWidth="1"/>
    <col min="15895" max="15895" width="8.85546875" style="13" customWidth="1"/>
    <col min="15896" max="15896" width="10.7109375" style="13" customWidth="1"/>
    <col min="15897" max="15897" width="16" style="13" customWidth="1"/>
    <col min="15898" max="15898" width="8.7109375" style="13" customWidth="1"/>
    <col min="15899" max="15899" width="6.5703125" style="13" bestFit="1" customWidth="1"/>
    <col min="15900" max="15900" width="8.7109375" style="13" customWidth="1"/>
    <col min="15901" max="15901" width="16" style="13" customWidth="1"/>
    <col min="15902" max="15902" width="15" style="13" customWidth="1"/>
    <col min="15903" max="15903" width="9.42578125" style="13" customWidth="1"/>
    <col min="15904" max="16128" width="9.140625" style="13"/>
    <col min="16129" max="16129" width="12.28515625" style="13" customWidth="1"/>
    <col min="16130" max="16130" width="2.42578125" style="13" customWidth="1"/>
    <col min="16131" max="16131" width="3.42578125" style="13" customWidth="1"/>
    <col min="16132" max="16132" width="13.28515625" style="13" customWidth="1"/>
    <col min="16133" max="16133" width="3.140625" style="13" customWidth="1"/>
    <col min="16134" max="16134" width="5.140625" style="13" customWidth="1"/>
    <col min="16135" max="16135" width="16.42578125" style="13" customWidth="1"/>
    <col min="16136" max="16142" width="0" style="13" hidden="1" customWidth="1"/>
    <col min="16143" max="16143" width="4.140625" style="13" customWidth="1"/>
    <col min="16144" max="16144" width="5.7109375" style="13" customWidth="1"/>
    <col min="16145" max="16145" width="0" style="13" hidden="1" customWidth="1"/>
    <col min="16146" max="16146" width="15.7109375" style="13" customWidth="1"/>
    <col min="16147" max="16147" width="7.7109375" style="13" customWidth="1"/>
    <col min="16148" max="16148" width="9.140625" style="13"/>
    <col min="16149" max="16149" width="10.85546875" style="13" customWidth="1"/>
    <col min="16150" max="16150" width="9.7109375" style="13" customWidth="1"/>
    <col min="16151" max="16151" width="8.85546875" style="13" customWidth="1"/>
    <col min="16152" max="16152" width="10.7109375" style="13" customWidth="1"/>
    <col min="16153" max="16153" width="16" style="13" customWidth="1"/>
    <col min="16154" max="16154" width="8.7109375" style="13" customWidth="1"/>
    <col min="16155" max="16155" width="6.5703125" style="13" bestFit="1" customWidth="1"/>
    <col min="16156" max="16156" width="8.7109375" style="13" customWidth="1"/>
    <col min="16157" max="16157" width="16" style="13" customWidth="1"/>
    <col min="16158" max="16158" width="15" style="13" customWidth="1"/>
    <col min="16159" max="16159" width="9.42578125" style="13" customWidth="1"/>
    <col min="16160" max="16384" width="9.140625" style="13"/>
  </cols>
  <sheetData>
    <row r="1" spans="1:31" ht="12.95" customHeight="1" x14ac:dyDescent="0.35">
      <c r="A1" s="533"/>
      <c r="B1" s="533"/>
      <c r="C1" s="533"/>
      <c r="D1" s="533"/>
      <c r="E1" s="533"/>
      <c r="F1" s="533"/>
      <c r="G1" s="533"/>
      <c r="H1" s="533"/>
      <c r="I1" s="533"/>
      <c r="J1" s="533"/>
      <c r="K1" s="533"/>
      <c r="L1" s="533"/>
      <c r="M1" s="533"/>
      <c r="N1" s="533"/>
      <c r="O1" s="533"/>
      <c r="P1" s="533"/>
      <c r="Q1" s="533"/>
      <c r="R1" s="533"/>
      <c r="S1" s="533"/>
    </row>
    <row r="2" spans="1:31" s="14" customFormat="1" ht="15" customHeight="1" x14ac:dyDescent="0.35">
      <c r="A2" s="533" t="s">
        <v>31</v>
      </c>
      <c r="B2" s="533"/>
      <c r="C2" s="533"/>
      <c r="D2" s="533"/>
      <c r="E2" s="533"/>
      <c r="F2" s="533"/>
      <c r="G2" s="533"/>
      <c r="H2" s="533"/>
      <c r="I2" s="533"/>
      <c r="J2" s="533"/>
      <c r="K2" s="533"/>
      <c r="L2" s="533"/>
      <c r="M2" s="533"/>
      <c r="N2" s="533"/>
      <c r="O2" s="533"/>
      <c r="P2" s="533"/>
      <c r="Q2" s="533"/>
      <c r="R2" s="533"/>
      <c r="S2" s="533"/>
      <c r="T2" s="533"/>
      <c r="U2" s="533"/>
      <c r="V2" s="533"/>
      <c r="W2" s="533"/>
      <c r="X2" s="533"/>
      <c r="Y2" s="533"/>
      <c r="Z2" s="533"/>
      <c r="AA2" s="533"/>
      <c r="AB2" s="533"/>
      <c r="AC2" s="533"/>
      <c r="AD2" s="533"/>
      <c r="AE2" s="533"/>
    </row>
    <row r="3" spans="1:31" s="14" customFormat="1" ht="15" customHeight="1" x14ac:dyDescent="0.35">
      <c r="A3" s="534" t="s">
        <v>274</v>
      </c>
      <c r="B3" s="533"/>
      <c r="C3" s="533"/>
      <c r="D3" s="533"/>
      <c r="E3" s="533"/>
      <c r="F3" s="533"/>
      <c r="G3" s="533"/>
      <c r="H3" s="533"/>
      <c r="I3" s="533"/>
      <c r="J3" s="533"/>
      <c r="K3" s="533"/>
      <c r="L3" s="533"/>
      <c r="M3" s="533"/>
      <c r="N3" s="533"/>
      <c r="O3" s="533"/>
      <c r="P3" s="533"/>
      <c r="Q3" s="533"/>
      <c r="R3" s="533"/>
      <c r="S3" s="533"/>
      <c r="T3" s="533"/>
      <c r="U3" s="533"/>
      <c r="V3" s="533"/>
      <c r="W3" s="533"/>
      <c r="X3" s="533"/>
      <c r="Y3" s="533"/>
      <c r="Z3" s="533"/>
      <c r="AA3" s="533"/>
      <c r="AB3" s="533"/>
      <c r="AC3" s="533"/>
      <c r="AD3" s="533"/>
      <c r="AE3" s="533"/>
    </row>
    <row r="4" spans="1:31" s="14" customFormat="1" ht="12.95" customHeight="1" x14ac:dyDescent="0.35">
      <c r="A4" s="498"/>
      <c r="B4" s="498"/>
      <c r="C4" s="498"/>
      <c r="D4" s="498"/>
      <c r="E4" s="498"/>
      <c r="F4" s="498"/>
      <c r="G4" s="498"/>
      <c r="H4" s="498"/>
      <c r="I4" s="498"/>
      <c r="J4" s="498"/>
      <c r="K4" s="498"/>
      <c r="L4" s="498"/>
      <c r="M4" s="498"/>
      <c r="N4" s="498"/>
      <c r="O4" s="498"/>
      <c r="P4" s="498"/>
      <c r="Q4" s="498"/>
      <c r="R4" s="498"/>
      <c r="S4" s="498"/>
    </row>
    <row r="5" spans="1:31" s="14" customFormat="1" ht="12.95" customHeight="1" x14ac:dyDescent="0.35">
      <c r="A5" s="16" t="s">
        <v>32</v>
      </c>
      <c r="B5" s="498"/>
      <c r="C5" s="498"/>
      <c r="D5" s="498"/>
      <c r="E5" s="498" t="s">
        <v>33</v>
      </c>
      <c r="F5" s="16" t="s">
        <v>34</v>
      </c>
      <c r="G5" s="498"/>
      <c r="H5" s="498"/>
      <c r="I5" s="498"/>
      <c r="J5" s="498"/>
      <c r="K5" s="498"/>
      <c r="L5" s="498"/>
      <c r="M5" s="498"/>
      <c r="N5" s="498"/>
      <c r="O5" s="498"/>
      <c r="P5" s="498"/>
      <c r="Q5" s="498"/>
      <c r="R5" s="498"/>
      <c r="S5" s="498"/>
    </row>
    <row r="6" spans="1:31" s="14" customFormat="1" ht="12.95" customHeight="1" x14ac:dyDescent="0.35">
      <c r="A6" s="16" t="s">
        <v>35</v>
      </c>
      <c r="B6" s="498"/>
      <c r="C6" s="498"/>
      <c r="D6" s="498"/>
      <c r="E6" s="498" t="s">
        <v>33</v>
      </c>
      <c r="F6" s="16" t="s">
        <v>179</v>
      </c>
      <c r="G6" s="498"/>
      <c r="H6" s="498"/>
      <c r="I6" s="498"/>
      <c r="J6" s="498"/>
      <c r="K6" s="498"/>
      <c r="L6" s="498"/>
      <c r="M6" s="498"/>
      <c r="N6" s="498"/>
      <c r="O6" s="498"/>
      <c r="P6" s="498"/>
      <c r="Q6" s="498"/>
      <c r="R6" s="498"/>
      <c r="S6" s="498"/>
    </row>
    <row r="7" spans="1:31" s="14" customFormat="1" ht="12.95" customHeight="1" x14ac:dyDescent="0.35">
      <c r="A7" s="16" t="s">
        <v>36</v>
      </c>
      <c r="B7" s="498"/>
      <c r="C7" s="498"/>
      <c r="D7" s="498"/>
      <c r="E7" s="498" t="s">
        <v>33</v>
      </c>
      <c r="F7" s="535">
        <v>2239183000</v>
      </c>
      <c r="G7" s="535"/>
      <c r="H7" s="17"/>
      <c r="I7" s="17"/>
      <c r="J7" s="17"/>
      <c r="K7" s="17"/>
      <c r="L7" s="17"/>
      <c r="M7" s="17"/>
      <c r="N7" s="17"/>
      <c r="O7" s="17"/>
      <c r="P7" s="17"/>
      <c r="Q7" s="498"/>
      <c r="R7" s="498"/>
      <c r="S7" s="498"/>
    </row>
    <row r="8" spans="1:31" s="14" customFormat="1" ht="12.95" customHeight="1" x14ac:dyDescent="0.35">
      <c r="A8" s="16" t="s">
        <v>37</v>
      </c>
      <c r="B8" s="498"/>
      <c r="C8" s="498"/>
      <c r="D8" s="498"/>
      <c r="E8" s="498" t="s">
        <v>33</v>
      </c>
      <c r="F8" s="16" t="s">
        <v>38</v>
      </c>
      <c r="G8" s="498"/>
      <c r="H8" s="498"/>
      <c r="I8" s="498"/>
      <c r="J8" s="498"/>
      <c r="K8" s="498"/>
      <c r="L8" s="498"/>
      <c r="M8" s="498"/>
      <c r="N8" s="498"/>
      <c r="O8" s="498"/>
      <c r="P8" s="498"/>
      <c r="Q8" s="498"/>
      <c r="R8" s="498"/>
      <c r="S8" s="498"/>
    </row>
    <row r="9" spans="1:31" s="14" customFormat="1" ht="12.95" customHeight="1" x14ac:dyDescent="0.35">
      <c r="A9" s="16" t="s">
        <v>39</v>
      </c>
      <c r="B9" s="498"/>
      <c r="C9" s="498"/>
      <c r="D9" s="498"/>
      <c r="E9" s="498" t="s">
        <v>33</v>
      </c>
      <c r="F9" s="16" t="s">
        <v>40</v>
      </c>
      <c r="G9" s="498"/>
      <c r="H9" s="498"/>
      <c r="I9" s="498"/>
      <c r="J9" s="498"/>
      <c r="K9" s="498"/>
      <c r="L9" s="498"/>
      <c r="M9" s="498"/>
      <c r="N9" s="498"/>
      <c r="O9" s="498"/>
      <c r="P9" s="498"/>
      <c r="Q9" s="498"/>
      <c r="R9" s="498"/>
      <c r="S9" s="498"/>
    </row>
    <row r="10" spans="1:31" ht="12.95" customHeight="1" x14ac:dyDescent="0.35">
      <c r="A10" s="497"/>
      <c r="B10" s="497"/>
      <c r="C10" s="497"/>
      <c r="D10" s="497"/>
      <c r="E10" s="497"/>
      <c r="F10" s="497"/>
      <c r="G10" s="497"/>
      <c r="H10" s="497"/>
      <c r="I10" s="497"/>
      <c r="J10" s="497"/>
      <c r="K10" s="497"/>
      <c r="L10" s="497"/>
      <c r="M10" s="497"/>
      <c r="N10" s="497"/>
      <c r="O10" s="497"/>
      <c r="P10" s="497"/>
      <c r="Q10" s="497"/>
      <c r="R10" s="497"/>
      <c r="S10" s="497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</row>
    <row r="11" spans="1:31" ht="12.95" customHeight="1" x14ac:dyDescent="0.35">
      <c r="A11" s="19"/>
      <c r="B11" s="20"/>
      <c r="C11" s="21"/>
      <c r="D11" s="21"/>
      <c r="E11" s="21"/>
      <c r="F11" s="21"/>
      <c r="G11" s="22"/>
      <c r="H11" s="23"/>
      <c r="I11" s="23"/>
      <c r="J11" s="24"/>
      <c r="K11" s="25"/>
      <c r="L11" s="23"/>
      <c r="M11" s="23"/>
      <c r="N11" s="23"/>
      <c r="O11" s="20"/>
      <c r="P11" s="22"/>
      <c r="Q11" s="23"/>
      <c r="R11" s="23"/>
      <c r="S11" s="26"/>
      <c r="T11" s="21"/>
      <c r="U11" s="22"/>
      <c r="V11" s="22"/>
      <c r="W11" s="536" t="s">
        <v>41</v>
      </c>
      <c r="X11" s="537"/>
      <c r="Y11" s="540" t="s">
        <v>42</v>
      </c>
      <c r="Z11" s="541"/>
      <c r="AA11" s="542" t="s">
        <v>43</v>
      </c>
      <c r="AB11" s="543"/>
      <c r="AC11" s="536" t="s">
        <v>44</v>
      </c>
      <c r="AD11" s="544"/>
      <c r="AE11" s="546" t="s">
        <v>45</v>
      </c>
    </row>
    <row r="12" spans="1:31" s="28" customFormat="1" ht="12.95" customHeight="1" x14ac:dyDescent="0.35">
      <c r="A12" s="549" t="s">
        <v>46</v>
      </c>
      <c r="B12" s="551" t="s">
        <v>47</v>
      </c>
      <c r="C12" s="551"/>
      <c r="D12" s="551"/>
      <c r="E12" s="551"/>
      <c r="F12" s="551"/>
      <c r="G12" s="551"/>
      <c r="H12" s="518" t="s">
        <v>48</v>
      </c>
      <c r="I12" s="519"/>
      <c r="J12" s="519"/>
      <c r="K12" s="553"/>
      <c r="O12" s="554" t="s">
        <v>49</v>
      </c>
      <c r="P12" s="551"/>
      <c r="Q12" s="556" t="s">
        <v>50</v>
      </c>
      <c r="R12" s="558" t="s">
        <v>51</v>
      </c>
      <c r="S12" s="531" t="s">
        <v>52</v>
      </c>
      <c r="T12" s="518" t="s">
        <v>53</v>
      </c>
      <c r="U12" s="553"/>
      <c r="V12" s="29" t="s">
        <v>54</v>
      </c>
      <c r="W12" s="538"/>
      <c r="X12" s="539"/>
      <c r="Y12" s="518" t="s">
        <v>55</v>
      </c>
      <c r="Z12" s="519"/>
      <c r="AA12" s="520" t="s">
        <v>56</v>
      </c>
      <c r="AB12" s="521"/>
      <c r="AC12" s="538"/>
      <c r="AD12" s="545"/>
      <c r="AE12" s="547"/>
    </row>
    <row r="13" spans="1:31" s="30" customFormat="1" ht="12.95" customHeight="1" x14ac:dyDescent="0.35">
      <c r="A13" s="549"/>
      <c r="B13" s="551"/>
      <c r="C13" s="551"/>
      <c r="D13" s="551"/>
      <c r="E13" s="551"/>
      <c r="F13" s="551"/>
      <c r="G13" s="551"/>
      <c r="H13" s="522" t="s">
        <v>49</v>
      </c>
      <c r="I13" s="522"/>
      <c r="J13" s="525" t="s">
        <v>50</v>
      </c>
      <c r="K13" s="528" t="s">
        <v>57</v>
      </c>
      <c r="O13" s="554"/>
      <c r="P13" s="551"/>
      <c r="Q13" s="556"/>
      <c r="R13" s="558"/>
      <c r="S13" s="531"/>
      <c r="T13" s="31" t="s">
        <v>58</v>
      </c>
      <c r="U13" s="31" t="s">
        <v>59</v>
      </c>
      <c r="V13" s="32"/>
      <c r="W13" s="32"/>
      <c r="X13" s="32" t="s">
        <v>60</v>
      </c>
      <c r="Y13" s="32"/>
      <c r="Z13" s="32" t="s">
        <v>61</v>
      </c>
      <c r="AA13" s="32" t="s">
        <v>62</v>
      </c>
      <c r="AB13" s="32" t="s">
        <v>63</v>
      </c>
      <c r="AC13" s="32" t="s">
        <v>64</v>
      </c>
      <c r="AD13" s="33" t="s">
        <v>65</v>
      </c>
      <c r="AE13" s="547"/>
    </row>
    <row r="14" spans="1:31" s="30" customFormat="1" ht="12.95" customHeight="1" x14ac:dyDescent="0.35">
      <c r="A14" s="549"/>
      <c r="B14" s="551"/>
      <c r="C14" s="551"/>
      <c r="D14" s="551"/>
      <c r="E14" s="551"/>
      <c r="F14" s="551"/>
      <c r="G14" s="551"/>
      <c r="H14" s="523"/>
      <c r="I14" s="523"/>
      <c r="J14" s="526"/>
      <c r="K14" s="529"/>
      <c r="O14" s="554"/>
      <c r="P14" s="551"/>
      <c r="Q14" s="556"/>
      <c r="R14" s="558"/>
      <c r="S14" s="531"/>
      <c r="T14" s="31" t="s">
        <v>66</v>
      </c>
      <c r="U14" s="31" t="s">
        <v>67</v>
      </c>
      <c r="V14" s="31" t="s">
        <v>68</v>
      </c>
      <c r="W14" s="32" t="s">
        <v>69</v>
      </c>
      <c r="X14" s="32" t="s">
        <v>60</v>
      </c>
      <c r="Y14" s="32" t="s">
        <v>70</v>
      </c>
      <c r="Z14" s="32" t="s">
        <v>71</v>
      </c>
      <c r="AA14" s="32" t="s">
        <v>72</v>
      </c>
      <c r="AB14" s="32" t="s">
        <v>73</v>
      </c>
      <c r="AC14" s="32" t="s">
        <v>74</v>
      </c>
      <c r="AD14" s="33" t="s">
        <v>75</v>
      </c>
      <c r="AE14" s="547"/>
    </row>
    <row r="15" spans="1:31" s="30" customFormat="1" ht="12.95" customHeight="1" thickBot="1" x14ac:dyDescent="0.4">
      <c r="A15" s="550"/>
      <c r="B15" s="552"/>
      <c r="C15" s="552"/>
      <c r="D15" s="552"/>
      <c r="E15" s="552"/>
      <c r="F15" s="552"/>
      <c r="G15" s="552"/>
      <c r="H15" s="524"/>
      <c r="I15" s="524"/>
      <c r="J15" s="527"/>
      <c r="K15" s="530"/>
      <c r="O15" s="555"/>
      <c r="P15" s="552"/>
      <c r="Q15" s="557"/>
      <c r="R15" s="559"/>
      <c r="S15" s="532"/>
      <c r="T15" s="34" t="s">
        <v>76</v>
      </c>
      <c r="U15" s="34"/>
      <c r="V15" s="35"/>
      <c r="W15" s="35"/>
      <c r="X15" s="35"/>
      <c r="Y15" s="35"/>
      <c r="Z15" s="35"/>
      <c r="AA15" s="35"/>
      <c r="AB15" s="35"/>
      <c r="AC15" s="35" t="s">
        <v>77</v>
      </c>
      <c r="AD15" s="36" t="s">
        <v>78</v>
      </c>
      <c r="AE15" s="548"/>
    </row>
    <row r="16" spans="1:31" s="40" customFormat="1" ht="12.95" customHeight="1" thickTop="1" x14ac:dyDescent="0.35">
      <c r="A16" s="37">
        <v>1</v>
      </c>
      <c r="B16" s="503">
        <v>2</v>
      </c>
      <c r="C16" s="504"/>
      <c r="D16" s="504"/>
      <c r="E16" s="504"/>
      <c r="F16" s="504"/>
      <c r="G16" s="505"/>
      <c r="H16" s="503">
        <v>3</v>
      </c>
      <c r="I16" s="505"/>
      <c r="J16" s="489">
        <v>4</v>
      </c>
      <c r="K16" s="39">
        <v>5</v>
      </c>
      <c r="O16" s="503">
        <v>3</v>
      </c>
      <c r="P16" s="505"/>
      <c r="Q16" s="489">
        <v>4</v>
      </c>
      <c r="R16" s="41">
        <v>4</v>
      </c>
      <c r="S16" s="42">
        <v>5</v>
      </c>
      <c r="T16" s="43">
        <v>6</v>
      </c>
      <c r="U16" s="43">
        <v>7</v>
      </c>
      <c r="V16" s="43">
        <v>8</v>
      </c>
      <c r="W16" s="43">
        <v>9</v>
      </c>
      <c r="X16" s="43">
        <v>10</v>
      </c>
      <c r="Y16" s="43">
        <v>11</v>
      </c>
      <c r="Z16" s="43">
        <v>12</v>
      </c>
      <c r="AA16" s="43">
        <v>13</v>
      </c>
      <c r="AB16" s="43">
        <v>14</v>
      </c>
      <c r="AC16" s="43">
        <v>15</v>
      </c>
      <c r="AD16" s="43">
        <v>16</v>
      </c>
      <c r="AE16" s="43">
        <v>17</v>
      </c>
    </row>
    <row r="17" spans="1:37" ht="12" customHeight="1" x14ac:dyDescent="0.35">
      <c r="A17" s="44"/>
      <c r="B17" s="45"/>
      <c r="C17" s="45"/>
      <c r="D17" s="45"/>
      <c r="E17" s="45"/>
      <c r="F17" s="45"/>
      <c r="G17" s="46"/>
      <c r="H17" s="47"/>
      <c r="I17" s="46"/>
      <c r="J17" s="48"/>
      <c r="K17" s="49"/>
      <c r="L17" s="50"/>
      <c r="M17" s="50"/>
      <c r="N17" s="50"/>
      <c r="O17" s="51"/>
      <c r="P17" s="52"/>
      <c r="Q17" s="53"/>
      <c r="R17" s="54"/>
      <c r="S17" s="55"/>
      <c r="T17" s="56"/>
      <c r="U17" s="57"/>
      <c r="V17" s="57"/>
      <c r="W17" s="57"/>
      <c r="X17" s="57"/>
      <c r="Y17" s="58"/>
      <c r="Z17" s="56"/>
      <c r="AA17" s="56"/>
      <c r="AB17" s="56"/>
      <c r="AC17" s="58"/>
      <c r="AD17" s="58"/>
      <c r="AE17" s="56"/>
    </row>
    <row r="18" spans="1:37" ht="12" customHeight="1" x14ac:dyDescent="0.35">
      <c r="A18" s="59" t="s">
        <v>79</v>
      </c>
      <c r="B18" s="60" t="s">
        <v>80</v>
      </c>
      <c r="C18" s="60"/>
      <c r="D18" s="60"/>
      <c r="E18" s="60"/>
      <c r="F18" s="60"/>
      <c r="G18" s="61"/>
      <c r="H18" s="62"/>
      <c r="I18" s="63"/>
      <c r="J18" s="64"/>
      <c r="K18" s="65"/>
      <c r="L18" s="66"/>
      <c r="M18" s="66"/>
      <c r="N18" s="66"/>
      <c r="O18" s="67"/>
      <c r="P18" s="60"/>
      <c r="Q18" s="68"/>
      <c r="R18" s="69"/>
      <c r="S18" s="70"/>
      <c r="T18" s="71"/>
      <c r="U18" s="72"/>
      <c r="V18" s="72"/>
      <c r="W18" s="72"/>
      <c r="X18" s="72"/>
      <c r="Y18" s="73"/>
      <c r="Z18" s="71"/>
      <c r="AA18" s="71"/>
      <c r="AB18" s="71"/>
      <c r="AC18" s="73"/>
      <c r="AD18" s="73"/>
      <c r="AE18" s="71"/>
    </row>
    <row r="19" spans="1:37" ht="12" customHeight="1" x14ac:dyDescent="0.35">
      <c r="A19" s="74"/>
      <c r="B19" s="75"/>
      <c r="C19" s="75"/>
      <c r="D19" s="75"/>
      <c r="E19" s="75"/>
      <c r="F19" s="75"/>
      <c r="G19" s="76"/>
      <c r="H19" s="77"/>
      <c r="I19" s="78"/>
      <c r="J19" s="79"/>
      <c r="K19" s="80"/>
      <c r="L19" s="81"/>
      <c r="M19" s="81"/>
      <c r="N19" s="81"/>
      <c r="O19" s="82"/>
      <c r="P19" s="75"/>
      <c r="Q19" s="83"/>
      <c r="R19" s="84"/>
      <c r="S19" s="85"/>
      <c r="T19" s="86"/>
      <c r="U19" s="87"/>
      <c r="V19" s="87"/>
      <c r="W19" s="87"/>
      <c r="X19" s="87"/>
      <c r="Y19" s="88"/>
      <c r="Z19" s="86"/>
      <c r="AA19" s="86"/>
      <c r="AB19" s="86"/>
      <c r="AC19" s="88"/>
      <c r="AD19" s="88"/>
      <c r="AE19" s="86"/>
    </row>
    <row r="20" spans="1:37" ht="12" customHeight="1" x14ac:dyDescent="0.35">
      <c r="A20" s="89" t="s">
        <v>180</v>
      </c>
      <c r="B20" s="60" t="s">
        <v>181</v>
      </c>
      <c r="C20" s="60"/>
      <c r="D20" s="60"/>
      <c r="E20" s="60"/>
      <c r="F20" s="60"/>
      <c r="G20" s="61"/>
      <c r="H20" s="62"/>
      <c r="I20" s="63"/>
      <c r="J20" s="64"/>
      <c r="K20" s="65"/>
      <c r="L20" s="66"/>
      <c r="M20" s="66"/>
      <c r="N20" s="66"/>
      <c r="O20" s="67"/>
      <c r="P20" s="60"/>
      <c r="Q20" s="68"/>
      <c r="R20" s="69"/>
      <c r="S20" s="70"/>
      <c r="T20" s="71"/>
      <c r="U20" s="72"/>
      <c r="V20" s="72"/>
      <c r="W20" s="72"/>
      <c r="X20" s="72"/>
      <c r="Y20" s="73"/>
      <c r="Z20" s="71"/>
      <c r="AA20" s="71"/>
      <c r="AB20" s="71"/>
      <c r="AC20" s="73"/>
      <c r="AD20" s="73"/>
      <c r="AE20" s="71"/>
      <c r="AF20" s="90"/>
      <c r="AG20" s="90"/>
      <c r="AH20" s="90"/>
      <c r="AI20" s="90"/>
      <c r="AJ20" s="90"/>
      <c r="AK20" s="90"/>
    </row>
    <row r="21" spans="1:37" ht="12" customHeight="1" x14ac:dyDescent="0.35">
      <c r="A21" s="74"/>
      <c r="B21" s="75"/>
      <c r="C21" s="75"/>
      <c r="D21" s="75"/>
      <c r="E21" s="75"/>
      <c r="F21" s="75"/>
      <c r="G21" s="76"/>
      <c r="H21" s="77"/>
      <c r="I21" s="78"/>
      <c r="J21" s="79"/>
      <c r="K21" s="80"/>
      <c r="L21" s="81"/>
      <c r="M21" s="81"/>
      <c r="N21" s="81"/>
      <c r="O21" s="82"/>
      <c r="P21" s="75"/>
      <c r="Q21" s="83"/>
      <c r="R21" s="84"/>
      <c r="S21" s="85"/>
      <c r="T21" s="86"/>
      <c r="U21" s="87"/>
      <c r="V21" s="87"/>
      <c r="W21" s="87"/>
      <c r="X21" s="87"/>
      <c r="Y21" s="88"/>
      <c r="Z21" s="86"/>
      <c r="AA21" s="86"/>
      <c r="AB21" s="86"/>
      <c r="AC21" s="88"/>
      <c r="AD21" s="88"/>
      <c r="AE21" s="86"/>
    </row>
    <row r="22" spans="1:37" ht="12" customHeight="1" x14ac:dyDescent="0.35">
      <c r="A22" s="91" t="s">
        <v>182</v>
      </c>
      <c r="B22" s="75" t="s">
        <v>183</v>
      </c>
      <c r="C22" s="75"/>
      <c r="D22" s="75"/>
      <c r="E22" s="75"/>
      <c r="F22" s="75"/>
      <c r="G22" s="76"/>
      <c r="H22" s="77"/>
      <c r="I22" s="78"/>
      <c r="J22" s="79"/>
      <c r="K22" s="80"/>
      <c r="L22" s="81"/>
      <c r="M22" s="81"/>
      <c r="N22" s="81"/>
      <c r="O22" s="82"/>
      <c r="P22" s="75"/>
      <c r="Q22" s="83"/>
      <c r="R22" s="84"/>
      <c r="S22" s="85"/>
      <c r="T22" s="86"/>
      <c r="U22" s="87"/>
      <c r="V22" s="87"/>
      <c r="W22" s="87"/>
      <c r="X22" s="87"/>
      <c r="Y22" s="88"/>
      <c r="Z22" s="86"/>
      <c r="AA22" s="86"/>
      <c r="AB22" s="86"/>
      <c r="AC22" s="88"/>
      <c r="AD22" s="88"/>
      <c r="AE22" s="86"/>
    </row>
    <row r="23" spans="1:37" ht="12" customHeight="1" x14ac:dyDescent="0.35">
      <c r="A23" s="74"/>
      <c r="B23" s="75"/>
      <c r="C23" s="75"/>
      <c r="D23" s="75"/>
      <c r="E23" s="75"/>
      <c r="F23" s="75"/>
      <c r="G23" s="76"/>
      <c r="H23" s="77"/>
      <c r="I23" s="78"/>
      <c r="J23" s="79"/>
      <c r="K23" s="80"/>
      <c r="L23" s="81"/>
      <c r="M23" s="81"/>
      <c r="N23" s="81"/>
      <c r="O23" s="82"/>
      <c r="P23" s="75"/>
      <c r="Q23" s="83"/>
      <c r="R23" s="84"/>
      <c r="S23" s="85"/>
      <c r="T23" s="86"/>
      <c r="U23" s="87"/>
      <c r="V23" s="87"/>
      <c r="W23" s="87"/>
      <c r="X23" s="87"/>
      <c r="Y23" s="88"/>
      <c r="Z23" s="86"/>
      <c r="AA23" s="86"/>
      <c r="AB23" s="86"/>
      <c r="AC23" s="88"/>
      <c r="AD23" s="88"/>
      <c r="AE23" s="86"/>
    </row>
    <row r="24" spans="1:37" ht="12" customHeight="1" x14ac:dyDescent="0.35">
      <c r="A24" s="92" t="s">
        <v>184</v>
      </c>
      <c r="B24" s="75" t="s">
        <v>185</v>
      </c>
      <c r="C24" s="75"/>
      <c r="D24" s="75"/>
      <c r="E24" s="75"/>
      <c r="F24" s="75"/>
      <c r="G24" s="76"/>
      <c r="H24" s="77"/>
      <c r="I24" s="78"/>
      <c r="J24" s="79"/>
      <c r="K24" s="80"/>
      <c r="L24" s="81"/>
      <c r="M24" s="81"/>
      <c r="N24" s="81"/>
      <c r="O24" s="82"/>
      <c r="P24" s="75"/>
      <c r="Q24" s="83"/>
      <c r="R24" s="84"/>
      <c r="S24" s="85"/>
      <c r="T24" s="86"/>
      <c r="U24" s="87"/>
      <c r="V24" s="87"/>
      <c r="W24" s="87"/>
      <c r="X24" s="87"/>
      <c r="Y24" s="88"/>
      <c r="Z24" s="86"/>
      <c r="AA24" s="86"/>
      <c r="AB24" s="86"/>
      <c r="AC24" s="88"/>
      <c r="AD24" s="88"/>
      <c r="AE24" s="86"/>
    </row>
    <row r="25" spans="1:37" ht="12" customHeight="1" x14ac:dyDescent="0.35">
      <c r="A25" s="284">
        <v>521211</v>
      </c>
      <c r="B25" s="285" t="s">
        <v>186</v>
      </c>
      <c r="C25" s="94"/>
      <c r="D25" s="94"/>
      <c r="E25" s="94"/>
      <c r="F25" s="94"/>
      <c r="G25" s="95"/>
      <c r="H25" s="77"/>
      <c r="I25" s="78"/>
      <c r="J25" s="79"/>
      <c r="K25" s="80"/>
      <c r="L25" s="81"/>
      <c r="M25" s="81"/>
      <c r="N25" s="81"/>
      <c r="O25" s="82"/>
      <c r="P25" s="75"/>
      <c r="Q25" s="83"/>
      <c r="R25" s="84"/>
      <c r="S25" s="85"/>
      <c r="T25" s="86"/>
      <c r="U25" s="87"/>
      <c r="V25" s="87"/>
      <c r="W25" s="87"/>
      <c r="X25" s="87"/>
      <c r="Y25" s="88"/>
      <c r="Z25" s="86"/>
      <c r="AA25" s="86"/>
      <c r="AB25" s="86"/>
      <c r="AC25" s="88"/>
      <c r="AD25" s="88"/>
      <c r="AE25" s="86"/>
    </row>
    <row r="26" spans="1:37" ht="12" customHeight="1" x14ac:dyDescent="0.35">
      <c r="A26" s="93"/>
      <c r="B26" s="102" t="s">
        <v>82</v>
      </c>
      <c r="C26" s="94" t="s">
        <v>189</v>
      </c>
      <c r="D26" s="94"/>
      <c r="E26" s="94"/>
      <c r="F26" s="94"/>
      <c r="G26" s="95"/>
      <c r="H26" s="77"/>
      <c r="I26" s="78"/>
      <c r="J26" s="79"/>
      <c r="K26" s="80"/>
      <c r="L26" s="81"/>
      <c r="M26" s="81"/>
      <c r="N26" s="81"/>
      <c r="O26" s="96">
        <v>1</v>
      </c>
      <c r="P26" s="94" t="s">
        <v>83</v>
      </c>
      <c r="Q26" s="97"/>
      <c r="R26" s="98">
        <f>O26*2730000</f>
        <v>2730000</v>
      </c>
      <c r="S26" s="85">
        <f>+R26/$R$184*100</f>
        <v>0.12191946794880097</v>
      </c>
      <c r="T26" s="99">
        <v>0</v>
      </c>
      <c r="U26" s="87"/>
      <c r="V26" s="87"/>
      <c r="W26" s="87"/>
      <c r="X26" s="87"/>
      <c r="Y26" s="88">
        <v>2730000</v>
      </c>
      <c r="Z26" s="99">
        <f>+Y26/R26*100</f>
        <v>100</v>
      </c>
      <c r="AA26" s="100">
        <f>Z26</f>
        <v>100</v>
      </c>
      <c r="AB26" s="99">
        <f>AA26*S26/100</f>
        <v>0.12191946794880097</v>
      </c>
      <c r="AC26" s="88"/>
      <c r="AD26" s="88">
        <f>+R26-Y26</f>
        <v>0</v>
      </c>
      <c r="AE26" s="86"/>
    </row>
    <row r="27" spans="1:37" ht="12" customHeight="1" x14ac:dyDescent="0.35">
      <c r="A27" s="93"/>
      <c r="B27" s="102" t="s">
        <v>82</v>
      </c>
      <c r="C27" s="94" t="s">
        <v>187</v>
      </c>
      <c r="D27" s="94"/>
      <c r="E27" s="94"/>
      <c r="F27" s="94"/>
      <c r="G27" s="95"/>
      <c r="H27" s="77"/>
      <c r="I27" s="78"/>
      <c r="J27" s="79"/>
      <c r="K27" s="80"/>
      <c r="L27" s="81"/>
      <c r="M27" s="81"/>
      <c r="N27" s="81"/>
      <c r="O27" s="96">
        <v>1</v>
      </c>
      <c r="P27" s="94" t="s">
        <v>83</v>
      </c>
      <c r="Q27" s="97"/>
      <c r="R27" s="98">
        <f>O27*2810000</f>
        <v>2810000</v>
      </c>
      <c r="S27" s="85">
        <f>+R27/$R$184*100</f>
        <v>0.12549219961030428</v>
      </c>
      <c r="T27" s="99"/>
      <c r="U27" s="87"/>
      <c r="V27" s="87"/>
      <c r="W27" s="87"/>
      <c r="X27" s="87"/>
      <c r="Y27" s="88">
        <v>0</v>
      </c>
      <c r="Z27" s="99">
        <f t="shared" ref="Z27:Z30" si="0">+Y27/R27*100</f>
        <v>0</v>
      </c>
      <c r="AA27" s="100">
        <f t="shared" ref="AA27:AA61" si="1">Z27</f>
        <v>0</v>
      </c>
      <c r="AB27" s="99">
        <f t="shared" ref="AB27:AB30" si="2">AA27*S27/100</f>
        <v>0</v>
      </c>
      <c r="AC27" s="88"/>
      <c r="AD27" s="88">
        <f t="shared" ref="AD27:AD34" si="3">+R27-Y27</f>
        <v>2810000</v>
      </c>
      <c r="AE27" s="86"/>
    </row>
    <row r="28" spans="1:37" ht="12" customHeight="1" x14ac:dyDescent="0.35">
      <c r="A28" s="93"/>
      <c r="B28" s="102" t="s">
        <v>82</v>
      </c>
      <c r="C28" s="94" t="s">
        <v>190</v>
      </c>
      <c r="D28" s="94"/>
      <c r="E28" s="94"/>
      <c r="F28" s="94"/>
      <c r="G28" s="95"/>
      <c r="H28" s="77"/>
      <c r="I28" s="78"/>
      <c r="J28" s="79"/>
      <c r="K28" s="80"/>
      <c r="L28" s="81"/>
      <c r="M28" s="81"/>
      <c r="N28" s="81"/>
      <c r="O28" s="96">
        <v>1</v>
      </c>
      <c r="P28" s="94" t="s">
        <v>83</v>
      </c>
      <c r="Q28" s="97"/>
      <c r="R28" s="98">
        <f>O28*8490000</f>
        <v>8490000</v>
      </c>
      <c r="S28" s="85">
        <f>+R28/$R$184*100</f>
        <v>0.37915614757704036</v>
      </c>
      <c r="T28" s="99"/>
      <c r="U28" s="87"/>
      <c r="V28" s="87"/>
      <c r="W28" s="87"/>
      <c r="X28" s="87"/>
      <c r="Y28" s="88">
        <v>8490000</v>
      </c>
      <c r="Z28" s="99">
        <f t="shared" si="0"/>
        <v>100</v>
      </c>
      <c r="AA28" s="100">
        <f t="shared" si="1"/>
        <v>100</v>
      </c>
      <c r="AB28" s="99">
        <f t="shared" si="2"/>
        <v>0.37915614757704036</v>
      </c>
      <c r="AC28" s="88"/>
      <c r="AD28" s="88">
        <f t="shared" si="3"/>
        <v>0</v>
      </c>
      <c r="AE28" s="86"/>
    </row>
    <row r="29" spans="1:37" ht="12" customHeight="1" x14ac:dyDescent="0.35">
      <c r="A29" s="93"/>
      <c r="B29" s="102" t="s">
        <v>82</v>
      </c>
      <c r="C29" s="94" t="s">
        <v>188</v>
      </c>
      <c r="D29" s="94"/>
      <c r="E29" s="94"/>
      <c r="F29" s="94"/>
      <c r="G29" s="95"/>
      <c r="H29" s="77"/>
      <c r="I29" s="78"/>
      <c r="J29" s="79"/>
      <c r="K29" s="80"/>
      <c r="L29" s="81"/>
      <c r="M29" s="81"/>
      <c r="N29" s="81"/>
      <c r="O29" s="96">
        <v>1</v>
      </c>
      <c r="P29" s="94" t="s">
        <v>83</v>
      </c>
      <c r="Q29" s="97"/>
      <c r="R29" s="98">
        <f>O29*9990000</f>
        <v>9990000</v>
      </c>
      <c r="S29" s="85">
        <f>+R29/$R$184*100</f>
        <v>0.4461448662302277</v>
      </c>
      <c r="T29" s="99"/>
      <c r="U29" s="87"/>
      <c r="V29" s="87"/>
      <c r="W29" s="87"/>
      <c r="X29" s="87"/>
      <c r="Y29" s="88">
        <v>0</v>
      </c>
      <c r="Z29" s="99">
        <f t="shared" si="0"/>
        <v>0</v>
      </c>
      <c r="AA29" s="100">
        <f t="shared" si="1"/>
        <v>0</v>
      </c>
      <c r="AB29" s="99">
        <f t="shared" si="2"/>
        <v>0</v>
      </c>
      <c r="AC29" s="88"/>
      <c r="AD29" s="88">
        <f t="shared" si="3"/>
        <v>9990000</v>
      </c>
      <c r="AE29" s="86"/>
    </row>
    <row r="30" spans="1:37" ht="12" customHeight="1" x14ac:dyDescent="0.35">
      <c r="A30" s="93"/>
      <c r="B30" s="102" t="s">
        <v>191</v>
      </c>
      <c r="C30" s="94" t="s">
        <v>192</v>
      </c>
      <c r="D30" s="94"/>
      <c r="E30" s="94"/>
      <c r="F30" s="94"/>
      <c r="G30" s="95"/>
      <c r="H30" s="77"/>
      <c r="I30" s="78"/>
      <c r="J30" s="79"/>
      <c r="K30" s="80"/>
      <c r="L30" s="81"/>
      <c r="M30" s="81"/>
      <c r="N30" s="81"/>
      <c r="O30" s="96">
        <v>1</v>
      </c>
      <c r="P30" s="94" t="s">
        <v>83</v>
      </c>
      <c r="Q30" s="97"/>
      <c r="R30" s="98">
        <f>O30*2480000</f>
        <v>2480000</v>
      </c>
      <c r="S30" s="85">
        <f>+R30/$R$184*100</f>
        <v>0.11075468150660307</v>
      </c>
      <c r="T30" s="99"/>
      <c r="U30" s="87"/>
      <c r="V30" s="87"/>
      <c r="W30" s="87"/>
      <c r="X30" s="87"/>
      <c r="Y30" s="88">
        <f>210000+240000+240000+272000</f>
        <v>962000</v>
      </c>
      <c r="Z30" s="99">
        <f t="shared" si="0"/>
        <v>38.79032258064516</v>
      </c>
      <c r="AA30" s="100">
        <f t="shared" si="1"/>
        <v>38.79032258064516</v>
      </c>
      <c r="AB30" s="99">
        <f t="shared" si="2"/>
        <v>4.2962098229577486E-2</v>
      </c>
      <c r="AC30" s="88"/>
      <c r="AD30" s="88">
        <f t="shared" si="3"/>
        <v>1518000</v>
      </c>
      <c r="AE30" s="86"/>
    </row>
    <row r="31" spans="1:37" ht="12" customHeight="1" x14ac:dyDescent="0.35">
      <c r="A31" s="284">
        <v>521213</v>
      </c>
      <c r="B31" s="285" t="s">
        <v>193</v>
      </c>
      <c r="C31" s="94"/>
      <c r="D31" s="94"/>
      <c r="E31" s="94"/>
      <c r="F31" s="94"/>
      <c r="G31" s="95"/>
      <c r="H31" s="77"/>
      <c r="I31" s="78"/>
      <c r="J31" s="79"/>
      <c r="K31" s="80"/>
      <c r="L31" s="81"/>
      <c r="M31" s="81"/>
      <c r="N31" s="81"/>
      <c r="O31" s="96"/>
      <c r="P31" s="94"/>
      <c r="Q31" s="97"/>
      <c r="R31" s="98"/>
      <c r="S31" s="85"/>
      <c r="T31" s="99"/>
      <c r="U31" s="87"/>
      <c r="V31" s="87"/>
      <c r="W31" s="87"/>
      <c r="X31" s="87"/>
      <c r="Y31" s="88"/>
      <c r="Z31" s="99"/>
      <c r="AA31" s="100"/>
      <c r="AB31" s="99"/>
      <c r="AC31" s="88"/>
      <c r="AD31" s="88"/>
      <c r="AE31" s="86"/>
    </row>
    <row r="32" spans="1:37" ht="12" customHeight="1" x14ac:dyDescent="0.35">
      <c r="A32" s="93"/>
      <c r="B32" s="102" t="s">
        <v>82</v>
      </c>
      <c r="C32" s="94" t="s">
        <v>194</v>
      </c>
      <c r="D32" s="94"/>
      <c r="E32" s="94"/>
      <c r="F32" s="94"/>
      <c r="G32" s="95"/>
      <c r="H32" s="77"/>
      <c r="I32" s="78"/>
      <c r="J32" s="79"/>
      <c r="K32" s="80"/>
      <c r="L32" s="81"/>
      <c r="M32" s="81"/>
      <c r="N32" s="81"/>
      <c r="O32" s="96">
        <v>6</v>
      </c>
      <c r="P32" s="94" t="s">
        <v>147</v>
      </c>
      <c r="Q32" s="97"/>
      <c r="R32" s="98">
        <f>O32*300000</f>
        <v>1800000</v>
      </c>
      <c r="S32" s="85">
        <f>+R32/$R$184*100</f>
        <v>8.0386462383824811E-2</v>
      </c>
      <c r="T32" s="99"/>
      <c r="U32" s="87"/>
      <c r="V32" s="87"/>
      <c r="W32" s="87"/>
      <c r="X32" s="87"/>
      <c r="Y32" s="88">
        <v>0</v>
      </c>
      <c r="Z32" s="99">
        <f t="shared" ref="Z32:Z34" si="4">+Y32/R32*100</f>
        <v>0</v>
      </c>
      <c r="AA32" s="100">
        <f t="shared" si="1"/>
        <v>0</v>
      </c>
      <c r="AB32" s="99">
        <f t="shared" ref="AB32:AB34" si="5">AA32*S32/100</f>
        <v>0</v>
      </c>
      <c r="AC32" s="88"/>
      <c r="AD32" s="88">
        <f t="shared" si="3"/>
        <v>1800000</v>
      </c>
      <c r="AE32" s="86"/>
    </row>
    <row r="33" spans="1:32" ht="12" customHeight="1" x14ac:dyDescent="0.35">
      <c r="A33" s="93"/>
      <c r="B33" s="102" t="s">
        <v>82</v>
      </c>
      <c r="C33" s="94" t="s">
        <v>195</v>
      </c>
      <c r="D33" s="94"/>
      <c r="E33" s="94"/>
      <c r="F33" s="94"/>
      <c r="G33" s="95"/>
      <c r="H33" s="77"/>
      <c r="I33" s="78"/>
      <c r="J33" s="79"/>
      <c r="K33" s="80"/>
      <c r="L33" s="81"/>
      <c r="M33" s="81"/>
      <c r="N33" s="81"/>
      <c r="O33" s="96">
        <v>6</v>
      </c>
      <c r="P33" s="94" t="s">
        <v>147</v>
      </c>
      <c r="Q33" s="97"/>
      <c r="R33" s="98">
        <f>O33*250000</f>
        <v>1500000</v>
      </c>
      <c r="S33" s="85">
        <f>+R33/$R$184*100</f>
        <v>6.6988718653187354E-2</v>
      </c>
      <c r="T33" s="99"/>
      <c r="U33" s="87"/>
      <c r="V33" s="87"/>
      <c r="W33" s="87"/>
      <c r="X33" s="87"/>
      <c r="Y33" s="88">
        <v>0</v>
      </c>
      <c r="Z33" s="99">
        <f t="shared" si="4"/>
        <v>0</v>
      </c>
      <c r="AA33" s="100">
        <f t="shared" si="1"/>
        <v>0</v>
      </c>
      <c r="AB33" s="99">
        <f t="shared" si="5"/>
        <v>0</v>
      </c>
      <c r="AC33" s="88"/>
      <c r="AD33" s="88">
        <f t="shared" si="3"/>
        <v>1500000</v>
      </c>
      <c r="AE33" s="86"/>
    </row>
    <row r="34" spans="1:32" ht="12" customHeight="1" x14ac:dyDescent="0.35">
      <c r="A34" s="93"/>
      <c r="B34" s="102" t="s">
        <v>82</v>
      </c>
      <c r="C34" s="94" t="s">
        <v>196</v>
      </c>
      <c r="D34" s="94"/>
      <c r="E34" s="94"/>
      <c r="F34" s="94"/>
      <c r="G34" s="95"/>
      <c r="H34" s="77"/>
      <c r="I34" s="78"/>
      <c r="J34" s="79"/>
      <c r="K34" s="80"/>
      <c r="L34" s="81"/>
      <c r="M34" s="81"/>
      <c r="N34" s="81"/>
      <c r="O34" s="96">
        <v>30</v>
      </c>
      <c r="P34" s="94" t="s">
        <v>147</v>
      </c>
      <c r="Q34" s="97"/>
      <c r="R34" s="98">
        <f>O34*200000</f>
        <v>6000000</v>
      </c>
      <c r="S34" s="85">
        <f>+R34/$R$184*100</f>
        <v>0.26795487461274942</v>
      </c>
      <c r="T34" s="99"/>
      <c r="U34" s="87"/>
      <c r="V34" s="87"/>
      <c r="W34" s="87"/>
      <c r="X34" s="87"/>
      <c r="Y34" s="88">
        <v>0</v>
      </c>
      <c r="Z34" s="99">
        <f t="shared" si="4"/>
        <v>0</v>
      </c>
      <c r="AA34" s="100">
        <f t="shared" si="1"/>
        <v>0</v>
      </c>
      <c r="AB34" s="99">
        <f t="shared" si="5"/>
        <v>0</v>
      </c>
      <c r="AC34" s="88"/>
      <c r="AD34" s="88">
        <f t="shared" si="3"/>
        <v>6000000</v>
      </c>
      <c r="AE34" s="86"/>
    </row>
    <row r="35" spans="1:32" ht="12" customHeight="1" x14ac:dyDescent="0.35">
      <c r="A35" s="284">
        <v>521219</v>
      </c>
      <c r="B35" s="285" t="s">
        <v>197</v>
      </c>
      <c r="C35" s="94"/>
      <c r="D35" s="94"/>
      <c r="E35" s="94"/>
      <c r="F35" s="94"/>
      <c r="G35" s="95"/>
      <c r="H35" s="77"/>
      <c r="I35" s="78"/>
      <c r="J35" s="79"/>
      <c r="K35" s="80"/>
      <c r="L35" s="81"/>
      <c r="M35" s="81"/>
      <c r="N35" s="81"/>
      <c r="O35" s="96"/>
      <c r="P35" s="94"/>
      <c r="Q35" s="97"/>
      <c r="R35" s="98"/>
      <c r="S35" s="85"/>
      <c r="T35" s="99"/>
      <c r="U35" s="87"/>
      <c r="V35" s="87"/>
      <c r="W35" s="87"/>
      <c r="X35" s="87"/>
      <c r="Y35" s="88"/>
      <c r="Z35" s="99"/>
      <c r="AA35" s="100"/>
      <c r="AB35" s="99"/>
      <c r="AC35" s="88"/>
      <c r="AD35" s="88"/>
      <c r="AE35" s="86"/>
    </row>
    <row r="36" spans="1:32" ht="12" customHeight="1" x14ac:dyDescent="0.35">
      <c r="A36" s="93"/>
      <c r="B36" s="102" t="s">
        <v>82</v>
      </c>
      <c r="C36" s="94" t="s">
        <v>198</v>
      </c>
      <c r="D36" s="94"/>
      <c r="E36" s="94"/>
      <c r="F36" s="94"/>
      <c r="G36" s="95"/>
      <c r="H36" s="77"/>
      <c r="I36" s="78"/>
      <c r="J36" s="79"/>
      <c r="K36" s="80"/>
      <c r="L36" s="81"/>
      <c r="M36" s="81"/>
      <c r="N36" s="81"/>
      <c r="O36" s="96">
        <v>25</v>
      </c>
      <c r="P36" s="94" t="s">
        <v>200</v>
      </c>
      <c r="Q36" s="83"/>
      <c r="R36" s="98">
        <f>O36*50000</f>
        <v>1250000</v>
      </c>
      <c r="S36" s="85">
        <f>+R36/$R$184*100</f>
        <v>5.5823932210989448E-2</v>
      </c>
      <c r="T36" s="99"/>
      <c r="U36" s="87"/>
      <c r="V36" s="87"/>
      <c r="W36" s="87"/>
      <c r="X36" s="87"/>
      <c r="Y36" s="88">
        <v>1250000</v>
      </c>
      <c r="Z36" s="99">
        <f t="shared" ref="Z36:Z37" si="6">+Y36/R36*100</f>
        <v>100</v>
      </c>
      <c r="AA36" s="100">
        <f t="shared" si="1"/>
        <v>100</v>
      </c>
      <c r="AB36" s="99">
        <f t="shared" ref="AB36:AB37" si="7">AA36*S36/100</f>
        <v>5.5823932210989448E-2</v>
      </c>
      <c r="AC36" s="88"/>
      <c r="AD36" s="88">
        <f t="shared" ref="AD36:AD37" si="8">+R36-Y36</f>
        <v>0</v>
      </c>
      <c r="AE36" s="86"/>
    </row>
    <row r="37" spans="1:32" ht="12" customHeight="1" x14ac:dyDescent="0.35">
      <c r="A37" s="93"/>
      <c r="B37" s="102" t="s">
        <v>82</v>
      </c>
      <c r="C37" s="94" t="s">
        <v>199</v>
      </c>
      <c r="D37" s="94"/>
      <c r="E37" s="94"/>
      <c r="F37" s="94"/>
      <c r="G37" s="95"/>
      <c r="H37" s="77"/>
      <c r="I37" s="78"/>
      <c r="J37" s="79"/>
      <c r="K37" s="80"/>
      <c r="L37" s="81"/>
      <c r="M37" s="81"/>
      <c r="N37" s="81"/>
      <c r="O37" s="96">
        <v>30</v>
      </c>
      <c r="P37" s="94" t="s">
        <v>200</v>
      </c>
      <c r="Q37" s="97"/>
      <c r="R37" s="98">
        <f>O37*50000</f>
        <v>1500000</v>
      </c>
      <c r="S37" s="85">
        <f>+R37/$R$184*100</f>
        <v>6.6988718653187354E-2</v>
      </c>
      <c r="T37" s="99"/>
      <c r="U37" s="87"/>
      <c r="V37" s="87"/>
      <c r="W37" s="87"/>
      <c r="X37" s="87"/>
      <c r="Y37" s="88">
        <v>0</v>
      </c>
      <c r="Z37" s="99">
        <f t="shared" si="6"/>
        <v>0</v>
      </c>
      <c r="AA37" s="100">
        <f t="shared" si="1"/>
        <v>0</v>
      </c>
      <c r="AB37" s="99">
        <f t="shared" si="7"/>
        <v>0</v>
      </c>
      <c r="AC37" s="88"/>
      <c r="AD37" s="88">
        <f t="shared" si="8"/>
        <v>1500000</v>
      </c>
      <c r="AE37" s="86"/>
    </row>
    <row r="38" spans="1:32" ht="12" customHeight="1" x14ac:dyDescent="0.35">
      <c r="A38" s="284">
        <v>522141</v>
      </c>
      <c r="B38" s="285" t="s">
        <v>168</v>
      </c>
      <c r="C38" s="94"/>
      <c r="D38" s="94"/>
      <c r="E38" s="94"/>
      <c r="F38" s="94"/>
      <c r="G38" s="95"/>
      <c r="H38" s="77"/>
      <c r="I38" s="78"/>
      <c r="J38" s="79"/>
      <c r="K38" s="80"/>
      <c r="L38" s="81"/>
      <c r="M38" s="81"/>
      <c r="N38" s="81"/>
      <c r="O38" s="82"/>
      <c r="P38" s="75"/>
      <c r="Q38" s="83"/>
      <c r="R38" s="84"/>
      <c r="S38" s="85"/>
      <c r="T38" s="86"/>
      <c r="U38" s="87"/>
      <c r="V38" s="87"/>
      <c r="W38" s="87"/>
      <c r="X38" s="87"/>
      <c r="Y38" s="88"/>
      <c r="Z38" s="86"/>
      <c r="AA38" s="86"/>
      <c r="AB38" s="86"/>
      <c r="AC38" s="88"/>
      <c r="AD38" s="88"/>
      <c r="AE38" s="86"/>
    </row>
    <row r="39" spans="1:32" ht="12" customHeight="1" x14ac:dyDescent="0.35">
      <c r="A39" s="93"/>
      <c r="B39" s="102" t="s">
        <v>82</v>
      </c>
      <c r="C39" s="94" t="s">
        <v>201</v>
      </c>
      <c r="D39" s="94"/>
      <c r="E39" s="94"/>
      <c r="F39" s="94"/>
      <c r="G39" s="95"/>
      <c r="H39" s="77"/>
      <c r="I39" s="78"/>
      <c r="J39" s="79"/>
      <c r="K39" s="80"/>
      <c r="L39" s="81"/>
      <c r="M39" s="81"/>
      <c r="N39" s="81"/>
      <c r="O39" s="96">
        <v>1</v>
      </c>
      <c r="P39" s="94" t="s">
        <v>205</v>
      </c>
      <c r="Q39" s="97"/>
      <c r="R39" s="98">
        <f>O39*2000000</f>
        <v>2000000</v>
      </c>
      <c r="S39" s="85">
        <f>+R39/$R$184*100</f>
        <v>8.9318291537583125E-2</v>
      </c>
      <c r="T39" s="99"/>
      <c r="U39" s="87"/>
      <c r="V39" s="87"/>
      <c r="W39" s="87"/>
      <c r="X39" s="87"/>
      <c r="Y39" s="88">
        <v>2000000</v>
      </c>
      <c r="Z39" s="99">
        <f t="shared" ref="Z39:Z42" si="9">+Y39/R39*100</f>
        <v>100</v>
      </c>
      <c r="AA39" s="100">
        <f t="shared" si="1"/>
        <v>100</v>
      </c>
      <c r="AB39" s="99">
        <f t="shared" ref="AB39:AB42" si="10">AA39*S39/100</f>
        <v>8.9318291537583139E-2</v>
      </c>
      <c r="AC39" s="88"/>
      <c r="AD39" s="88">
        <f t="shared" ref="AD39:AD42" si="11">+R39-Y39</f>
        <v>0</v>
      </c>
      <c r="AE39" s="86"/>
    </row>
    <row r="40" spans="1:32" ht="12" customHeight="1" x14ac:dyDescent="0.35">
      <c r="A40" s="93"/>
      <c r="B40" s="102" t="s">
        <v>82</v>
      </c>
      <c r="C40" s="94" t="s">
        <v>202</v>
      </c>
      <c r="D40" s="94"/>
      <c r="E40" s="94"/>
      <c r="F40" s="94"/>
      <c r="G40" s="95"/>
      <c r="H40" s="77"/>
      <c r="I40" s="78"/>
      <c r="J40" s="79"/>
      <c r="K40" s="80"/>
      <c r="L40" s="81"/>
      <c r="M40" s="81"/>
      <c r="N40" s="81"/>
      <c r="O40" s="96">
        <v>6</v>
      </c>
      <c r="P40" s="94" t="s">
        <v>205</v>
      </c>
      <c r="Q40" s="97"/>
      <c r="R40" s="98">
        <f>O40*700000</f>
        <v>4200000</v>
      </c>
      <c r="S40" s="85">
        <f>+R40/$R$184*100</f>
        <v>0.18756841222892456</v>
      </c>
      <c r="T40" s="99"/>
      <c r="U40" s="87"/>
      <c r="V40" s="87"/>
      <c r="W40" s="87"/>
      <c r="X40" s="87"/>
      <c r="Y40" s="88">
        <v>4200000</v>
      </c>
      <c r="Z40" s="99">
        <f t="shared" si="9"/>
        <v>100</v>
      </c>
      <c r="AA40" s="100">
        <f t="shared" si="1"/>
        <v>100</v>
      </c>
      <c r="AB40" s="99">
        <f t="shared" si="10"/>
        <v>0.18756841222892459</v>
      </c>
      <c r="AC40" s="88"/>
      <c r="AD40" s="88">
        <f t="shared" si="11"/>
        <v>0</v>
      </c>
      <c r="AE40" s="86"/>
      <c r="AF40" s="90"/>
    </row>
    <row r="41" spans="1:32" ht="12" customHeight="1" x14ac:dyDescent="0.35">
      <c r="A41" s="93"/>
      <c r="B41" s="102" t="s">
        <v>82</v>
      </c>
      <c r="C41" s="94" t="s">
        <v>203</v>
      </c>
      <c r="D41" s="94"/>
      <c r="E41" s="94"/>
      <c r="F41" s="94"/>
      <c r="G41" s="95"/>
      <c r="H41" s="77"/>
      <c r="I41" s="78"/>
      <c r="J41" s="79"/>
      <c r="K41" s="80"/>
      <c r="L41" s="81"/>
      <c r="M41" s="81"/>
      <c r="N41" s="81"/>
      <c r="O41" s="96">
        <v>1</v>
      </c>
      <c r="P41" s="94" t="s">
        <v>205</v>
      </c>
      <c r="Q41" s="97"/>
      <c r="R41" s="98">
        <f>O41*2000000</f>
        <v>2000000</v>
      </c>
      <c r="S41" s="85">
        <f>+R41/$R$184*100</f>
        <v>8.9318291537583125E-2</v>
      </c>
      <c r="T41" s="99"/>
      <c r="U41" s="87"/>
      <c r="V41" s="87"/>
      <c r="W41" s="87"/>
      <c r="X41" s="87"/>
      <c r="Y41" s="88">
        <v>0</v>
      </c>
      <c r="Z41" s="99">
        <f t="shared" si="9"/>
        <v>0</v>
      </c>
      <c r="AA41" s="100">
        <f t="shared" si="1"/>
        <v>0</v>
      </c>
      <c r="AB41" s="99">
        <f t="shared" si="10"/>
        <v>0</v>
      </c>
      <c r="AC41" s="88"/>
      <c r="AD41" s="88">
        <f t="shared" si="11"/>
        <v>2000000</v>
      </c>
      <c r="AE41" s="86"/>
      <c r="AF41" s="90"/>
    </row>
    <row r="42" spans="1:32" ht="12" customHeight="1" x14ac:dyDescent="0.35">
      <c r="A42" s="93"/>
      <c r="B42" s="102" t="s">
        <v>82</v>
      </c>
      <c r="C42" s="94" t="s">
        <v>204</v>
      </c>
      <c r="D42" s="94"/>
      <c r="E42" s="94"/>
      <c r="F42" s="94"/>
      <c r="G42" s="95"/>
      <c r="H42" s="77"/>
      <c r="I42" s="78"/>
      <c r="J42" s="79"/>
      <c r="K42" s="80"/>
      <c r="L42" s="81"/>
      <c r="M42" s="81"/>
      <c r="N42" s="81"/>
      <c r="O42" s="96">
        <v>6</v>
      </c>
      <c r="P42" s="94" t="s">
        <v>205</v>
      </c>
      <c r="Q42" s="97"/>
      <c r="R42" s="98">
        <f>O42*700000</f>
        <v>4200000</v>
      </c>
      <c r="S42" s="85">
        <f>+R42/$R$184*100</f>
        <v>0.18756841222892456</v>
      </c>
      <c r="T42" s="99"/>
      <c r="U42" s="87"/>
      <c r="V42" s="87"/>
      <c r="W42" s="87"/>
      <c r="X42" s="87"/>
      <c r="Y42" s="88">
        <v>0</v>
      </c>
      <c r="Z42" s="99">
        <f t="shared" si="9"/>
        <v>0</v>
      </c>
      <c r="AA42" s="100">
        <f t="shared" si="1"/>
        <v>0</v>
      </c>
      <c r="AB42" s="99">
        <f t="shared" si="10"/>
        <v>0</v>
      </c>
      <c r="AC42" s="88"/>
      <c r="AD42" s="88">
        <f t="shared" si="11"/>
        <v>4200000</v>
      </c>
      <c r="AE42" s="86"/>
      <c r="AF42" s="90"/>
    </row>
    <row r="43" spans="1:32" ht="12" customHeight="1" x14ac:dyDescent="0.35">
      <c r="A43" s="284">
        <v>522151</v>
      </c>
      <c r="B43" s="286" t="s">
        <v>84</v>
      </c>
      <c r="C43" s="94"/>
      <c r="D43" s="94"/>
      <c r="E43" s="94"/>
      <c r="F43" s="94"/>
      <c r="G43" s="95"/>
      <c r="H43" s="77"/>
      <c r="I43" s="78"/>
      <c r="J43" s="79"/>
      <c r="K43" s="80"/>
      <c r="L43" s="81"/>
      <c r="M43" s="81"/>
      <c r="N43" s="81"/>
      <c r="O43" s="96"/>
      <c r="P43" s="94"/>
      <c r="Q43" s="97"/>
      <c r="R43" s="98"/>
      <c r="S43" s="85"/>
      <c r="T43" s="86"/>
      <c r="U43" s="87"/>
      <c r="V43" s="87"/>
      <c r="W43" s="87"/>
      <c r="X43" s="87"/>
      <c r="Y43" s="88"/>
      <c r="Z43" s="86"/>
      <c r="AA43" s="86"/>
      <c r="AB43" s="86"/>
      <c r="AC43" s="88"/>
      <c r="AD43" s="88"/>
      <c r="AE43" s="86"/>
      <c r="AF43" s="90"/>
    </row>
    <row r="44" spans="1:32" ht="12" customHeight="1" x14ac:dyDescent="0.35">
      <c r="A44" s="93"/>
      <c r="B44" s="102" t="s">
        <v>82</v>
      </c>
      <c r="C44" s="94" t="s">
        <v>206</v>
      </c>
      <c r="D44" s="94"/>
      <c r="E44" s="94"/>
      <c r="F44" s="94"/>
      <c r="G44" s="95"/>
      <c r="H44" s="77"/>
      <c r="I44" s="78"/>
      <c r="J44" s="79"/>
      <c r="K44" s="80"/>
      <c r="L44" s="81"/>
      <c r="M44" s="81"/>
      <c r="N44" s="81"/>
      <c r="O44" s="96">
        <v>2</v>
      </c>
      <c r="P44" s="94" t="s">
        <v>210</v>
      </c>
      <c r="Q44" s="97"/>
      <c r="R44" s="98">
        <f>O44*1300000</f>
        <v>2600000</v>
      </c>
      <c r="S44" s="85">
        <f>+R44/$R$184*100</f>
        <v>0.11611377899885807</v>
      </c>
      <c r="T44" s="99"/>
      <c r="U44" s="87"/>
      <c r="V44" s="87"/>
      <c r="W44" s="87"/>
      <c r="X44" s="87"/>
      <c r="Y44" s="88">
        <v>2600000</v>
      </c>
      <c r="Z44" s="99">
        <f t="shared" ref="Z44:Z47" si="12">+Y44/R44*100</f>
        <v>100</v>
      </c>
      <c r="AA44" s="100">
        <f t="shared" si="1"/>
        <v>100</v>
      </c>
      <c r="AB44" s="99">
        <f t="shared" ref="AB44:AB47" si="13">AA44*S44/100</f>
        <v>0.11611377899885805</v>
      </c>
      <c r="AC44" s="88"/>
      <c r="AD44" s="88">
        <f t="shared" ref="AD44:AD47" si="14">+R44-Y44</f>
        <v>0</v>
      </c>
      <c r="AE44" s="86"/>
      <c r="AF44" s="90"/>
    </row>
    <row r="45" spans="1:32" ht="12" customHeight="1" x14ac:dyDescent="0.35">
      <c r="A45" s="93"/>
      <c r="B45" s="102" t="s">
        <v>82</v>
      </c>
      <c r="C45" s="94" t="s">
        <v>207</v>
      </c>
      <c r="D45" s="94"/>
      <c r="E45" s="94"/>
      <c r="F45" s="94"/>
      <c r="G45" s="95"/>
      <c r="H45" s="77"/>
      <c r="I45" s="78"/>
      <c r="J45" s="79"/>
      <c r="K45" s="80"/>
      <c r="L45" s="81"/>
      <c r="M45" s="81"/>
      <c r="N45" s="81"/>
      <c r="O45" s="96">
        <v>10</v>
      </c>
      <c r="P45" s="94" t="s">
        <v>210</v>
      </c>
      <c r="Q45" s="97"/>
      <c r="R45" s="98">
        <f>O45*900000</f>
        <v>9000000</v>
      </c>
      <c r="S45" s="85">
        <f>+R45/$R$184*100</f>
        <v>0.4019323119191241</v>
      </c>
      <c r="T45" s="99"/>
      <c r="U45" s="87"/>
      <c r="V45" s="87"/>
      <c r="W45" s="87"/>
      <c r="X45" s="87"/>
      <c r="Y45" s="88">
        <v>9000000</v>
      </c>
      <c r="Z45" s="99">
        <f t="shared" si="12"/>
        <v>100</v>
      </c>
      <c r="AA45" s="100">
        <f t="shared" si="1"/>
        <v>100</v>
      </c>
      <c r="AB45" s="99">
        <f t="shared" si="13"/>
        <v>0.4019323119191241</v>
      </c>
      <c r="AC45" s="88"/>
      <c r="AD45" s="88">
        <f t="shared" si="14"/>
        <v>0</v>
      </c>
      <c r="AE45" s="86"/>
      <c r="AF45" s="90"/>
    </row>
    <row r="46" spans="1:32" ht="12" customHeight="1" x14ac:dyDescent="0.35">
      <c r="A46" s="93"/>
      <c r="B46" s="102" t="s">
        <v>82</v>
      </c>
      <c r="C46" s="94" t="s">
        <v>208</v>
      </c>
      <c r="D46" s="94"/>
      <c r="E46" s="94"/>
      <c r="F46" s="94"/>
      <c r="G46" s="95"/>
      <c r="H46" s="77"/>
      <c r="I46" s="78"/>
      <c r="J46" s="79"/>
      <c r="K46" s="80"/>
      <c r="L46" s="81"/>
      <c r="M46" s="81"/>
      <c r="N46" s="81"/>
      <c r="O46" s="96">
        <v>2</v>
      </c>
      <c r="P46" s="94" t="s">
        <v>210</v>
      </c>
      <c r="Q46" s="97"/>
      <c r="R46" s="98">
        <f>O46*1300000</f>
        <v>2600000</v>
      </c>
      <c r="S46" s="85">
        <f>+R46/$R$184*100</f>
        <v>0.11611377899885807</v>
      </c>
      <c r="T46" s="99"/>
      <c r="U46" s="87"/>
      <c r="V46" s="87"/>
      <c r="W46" s="87"/>
      <c r="X46" s="87"/>
      <c r="Y46" s="88">
        <v>0</v>
      </c>
      <c r="Z46" s="99">
        <f t="shared" si="12"/>
        <v>0</v>
      </c>
      <c r="AA46" s="100">
        <f t="shared" si="1"/>
        <v>0</v>
      </c>
      <c r="AB46" s="99">
        <f t="shared" si="13"/>
        <v>0</v>
      </c>
      <c r="AC46" s="88"/>
      <c r="AD46" s="88">
        <f t="shared" si="14"/>
        <v>2600000</v>
      </c>
      <c r="AE46" s="86"/>
      <c r="AF46" s="90"/>
    </row>
    <row r="47" spans="1:32" ht="12" customHeight="1" x14ac:dyDescent="0.35">
      <c r="A47" s="93"/>
      <c r="B47" s="102" t="s">
        <v>82</v>
      </c>
      <c r="C47" s="94" t="s">
        <v>209</v>
      </c>
      <c r="D47" s="94"/>
      <c r="E47" s="94"/>
      <c r="F47" s="94"/>
      <c r="G47" s="95"/>
      <c r="H47" s="77"/>
      <c r="I47" s="78"/>
      <c r="J47" s="79"/>
      <c r="K47" s="80"/>
      <c r="L47" s="81"/>
      <c r="M47" s="81"/>
      <c r="N47" s="81"/>
      <c r="O47" s="96">
        <v>10</v>
      </c>
      <c r="P47" s="94" t="s">
        <v>210</v>
      </c>
      <c r="Q47" s="97"/>
      <c r="R47" s="98">
        <f>O47*900000</f>
        <v>9000000</v>
      </c>
      <c r="S47" s="85">
        <f>+R47/$R$184*100</f>
        <v>0.4019323119191241</v>
      </c>
      <c r="T47" s="99"/>
      <c r="U47" s="87"/>
      <c r="V47" s="87"/>
      <c r="W47" s="87"/>
      <c r="X47" s="87"/>
      <c r="Y47" s="88">
        <v>0</v>
      </c>
      <c r="Z47" s="99">
        <f t="shared" si="12"/>
        <v>0</v>
      </c>
      <c r="AA47" s="100">
        <f t="shared" si="1"/>
        <v>0</v>
      </c>
      <c r="AB47" s="99">
        <f t="shared" si="13"/>
        <v>0</v>
      </c>
      <c r="AC47" s="88"/>
      <c r="AD47" s="88">
        <f t="shared" si="14"/>
        <v>9000000</v>
      </c>
      <c r="AE47" s="86"/>
      <c r="AF47" s="90"/>
    </row>
    <row r="48" spans="1:32" ht="12" customHeight="1" x14ac:dyDescent="0.35">
      <c r="A48" s="284">
        <v>524111</v>
      </c>
      <c r="B48" s="286" t="s">
        <v>85</v>
      </c>
      <c r="C48" s="94"/>
      <c r="D48" s="94"/>
      <c r="E48" s="94"/>
      <c r="F48" s="94"/>
      <c r="G48" s="95"/>
      <c r="H48" s="77"/>
      <c r="I48" s="78"/>
      <c r="J48" s="79"/>
      <c r="K48" s="80"/>
      <c r="L48" s="81"/>
      <c r="M48" s="81"/>
      <c r="N48" s="81"/>
      <c r="O48" s="96"/>
      <c r="P48" s="94"/>
      <c r="Q48" s="97"/>
      <c r="R48" s="98"/>
      <c r="S48" s="85"/>
      <c r="T48" s="99"/>
      <c r="U48" s="87"/>
      <c r="V48" s="87"/>
      <c r="W48" s="87"/>
      <c r="X48" s="87"/>
      <c r="Y48" s="88"/>
      <c r="Z48" s="99"/>
      <c r="AA48" s="100"/>
      <c r="AB48" s="99"/>
      <c r="AC48" s="88"/>
      <c r="AD48" s="88"/>
      <c r="AE48" s="86"/>
      <c r="AF48" s="90"/>
    </row>
    <row r="49" spans="1:32" ht="12" customHeight="1" x14ac:dyDescent="0.35">
      <c r="A49" s="93"/>
      <c r="B49" s="102" t="s">
        <v>82</v>
      </c>
      <c r="C49" s="94" t="s">
        <v>211</v>
      </c>
      <c r="D49" s="94"/>
      <c r="E49" s="94"/>
      <c r="F49" s="94"/>
      <c r="G49" s="95"/>
      <c r="H49" s="77"/>
      <c r="I49" s="78"/>
      <c r="J49" s="79"/>
      <c r="K49" s="80"/>
      <c r="L49" s="81"/>
      <c r="M49" s="81"/>
      <c r="N49" s="81"/>
      <c r="O49" s="96">
        <v>6</v>
      </c>
      <c r="P49" s="94" t="s">
        <v>217</v>
      </c>
      <c r="Q49" s="97"/>
      <c r="R49" s="98">
        <f>O49*430000</f>
        <v>2580000</v>
      </c>
      <c r="S49" s="85">
        <f t="shared" ref="S49:S54" si="15">+R49/$R$184*100</f>
        <v>0.11522059608348224</v>
      </c>
      <c r="T49" s="99"/>
      <c r="U49" s="87"/>
      <c r="V49" s="87"/>
      <c r="W49" s="87"/>
      <c r="X49" s="87"/>
      <c r="Y49" s="88">
        <v>2580000</v>
      </c>
      <c r="Z49" s="99">
        <f t="shared" ref="Z49:Z54" si="16">+Y49/R49*100</f>
        <v>100</v>
      </c>
      <c r="AA49" s="100">
        <f t="shared" si="1"/>
        <v>100</v>
      </c>
      <c r="AB49" s="99">
        <f t="shared" ref="AB49:AB54" si="17">AA49*S49/100</f>
        <v>0.11522059608348224</v>
      </c>
      <c r="AC49" s="88"/>
      <c r="AD49" s="88">
        <f t="shared" ref="AD49:AD54" si="18">+R49-Y49</f>
        <v>0</v>
      </c>
      <c r="AE49" s="86"/>
      <c r="AF49" s="90"/>
    </row>
    <row r="50" spans="1:32" ht="12" customHeight="1" x14ac:dyDescent="0.35">
      <c r="A50" s="93"/>
      <c r="B50" s="102" t="s">
        <v>82</v>
      </c>
      <c r="C50" s="94" t="s">
        <v>212</v>
      </c>
      <c r="D50" s="94"/>
      <c r="E50" s="94"/>
      <c r="F50" s="94"/>
      <c r="G50" s="95"/>
      <c r="H50" s="77"/>
      <c r="I50" s="78"/>
      <c r="J50" s="79"/>
      <c r="K50" s="80"/>
      <c r="L50" s="81"/>
      <c r="M50" s="81"/>
      <c r="N50" s="81"/>
      <c r="O50" s="96">
        <v>4</v>
      </c>
      <c r="P50" s="94" t="s">
        <v>217</v>
      </c>
      <c r="Q50" s="97"/>
      <c r="R50" s="98">
        <f>O50*580000</f>
        <v>2320000</v>
      </c>
      <c r="S50" s="85">
        <f t="shared" si="15"/>
        <v>0.10360921818359642</v>
      </c>
      <c r="T50" s="99"/>
      <c r="U50" s="87"/>
      <c r="V50" s="87"/>
      <c r="W50" s="87"/>
      <c r="X50" s="87"/>
      <c r="Y50" s="88">
        <v>2320000</v>
      </c>
      <c r="Z50" s="99">
        <f t="shared" si="16"/>
        <v>100</v>
      </c>
      <c r="AA50" s="100">
        <f t="shared" si="1"/>
        <v>100</v>
      </c>
      <c r="AB50" s="99">
        <f t="shared" si="17"/>
        <v>0.10360921818359642</v>
      </c>
      <c r="AC50" s="88"/>
      <c r="AD50" s="88">
        <f t="shared" si="18"/>
        <v>0</v>
      </c>
      <c r="AE50" s="86"/>
      <c r="AF50" s="90"/>
    </row>
    <row r="51" spans="1:32" ht="12" customHeight="1" x14ac:dyDescent="0.35">
      <c r="A51" s="93"/>
      <c r="B51" s="102" t="s">
        <v>82</v>
      </c>
      <c r="C51" s="94" t="s">
        <v>213</v>
      </c>
      <c r="D51" s="94"/>
      <c r="E51" s="94"/>
      <c r="F51" s="94"/>
      <c r="G51" s="95"/>
      <c r="H51" s="77"/>
      <c r="I51" s="78"/>
      <c r="J51" s="79"/>
      <c r="K51" s="80"/>
      <c r="L51" s="81"/>
      <c r="M51" s="81"/>
      <c r="N51" s="81"/>
      <c r="O51" s="96">
        <v>2</v>
      </c>
      <c r="P51" s="94" t="s">
        <v>147</v>
      </c>
      <c r="Q51" s="97"/>
      <c r="R51" s="98">
        <f>O51*400000</f>
        <v>800000</v>
      </c>
      <c r="S51" s="85">
        <f t="shared" si="15"/>
        <v>3.5727316615033249E-2</v>
      </c>
      <c r="T51" s="99"/>
      <c r="U51" s="87"/>
      <c r="V51" s="87"/>
      <c r="W51" s="87"/>
      <c r="X51" s="87"/>
      <c r="Y51" s="88">
        <v>800000</v>
      </c>
      <c r="Z51" s="99">
        <f t="shared" si="16"/>
        <v>100</v>
      </c>
      <c r="AA51" s="100">
        <f t="shared" si="1"/>
        <v>100</v>
      </c>
      <c r="AB51" s="99">
        <f t="shared" si="17"/>
        <v>3.5727316615033249E-2</v>
      </c>
      <c r="AC51" s="88"/>
      <c r="AD51" s="88">
        <f t="shared" si="18"/>
        <v>0</v>
      </c>
      <c r="AE51" s="86"/>
      <c r="AF51" s="90"/>
    </row>
    <row r="52" spans="1:32" ht="12" customHeight="1" x14ac:dyDescent="0.35">
      <c r="A52" s="93"/>
      <c r="B52" s="102" t="s">
        <v>82</v>
      </c>
      <c r="C52" s="94" t="s">
        <v>214</v>
      </c>
      <c r="D52" s="94"/>
      <c r="E52" s="94"/>
      <c r="F52" s="94"/>
      <c r="G52" s="95"/>
      <c r="H52" s="77"/>
      <c r="I52" s="78"/>
      <c r="J52" s="79"/>
      <c r="K52" s="80"/>
      <c r="L52" s="81"/>
      <c r="M52" s="81"/>
      <c r="N52" s="81"/>
      <c r="O52" s="96">
        <v>5</v>
      </c>
      <c r="P52" s="94" t="s">
        <v>217</v>
      </c>
      <c r="Q52" s="97"/>
      <c r="R52" s="98">
        <f>O52*430000</f>
        <v>2150000</v>
      </c>
      <c r="S52" s="85">
        <f t="shared" si="15"/>
        <v>9.6017163402901867E-2</v>
      </c>
      <c r="T52" s="99"/>
      <c r="U52" s="87"/>
      <c r="V52" s="87"/>
      <c r="W52" s="87"/>
      <c r="X52" s="87"/>
      <c r="Y52" s="88">
        <v>2150000</v>
      </c>
      <c r="Z52" s="99">
        <f t="shared" si="16"/>
        <v>100</v>
      </c>
      <c r="AA52" s="100">
        <f t="shared" si="1"/>
        <v>100</v>
      </c>
      <c r="AB52" s="99">
        <f t="shared" si="17"/>
        <v>9.6017163402901867E-2</v>
      </c>
      <c r="AC52" s="88"/>
      <c r="AD52" s="88">
        <f t="shared" si="18"/>
        <v>0</v>
      </c>
      <c r="AE52" s="86"/>
      <c r="AF52" s="90"/>
    </row>
    <row r="53" spans="1:32" ht="12" customHeight="1" x14ac:dyDescent="0.35">
      <c r="A53" s="93"/>
      <c r="B53" s="102" t="s">
        <v>82</v>
      </c>
      <c r="C53" s="94" t="s">
        <v>215</v>
      </c>
      <c r="D53" s="94"/>
      <c r="E53" s="94"/>
      <c r="F53" s="94"/>
      <c r="G53" s="95"/>
      <c r="H53" s="77"/>
      <c r="I53" s="78"/>
      <c r="J53" s="79"/>
      <c r="K53" s="80"/>
      <c r="L53" s="81"/>
      <c r="M53" s="81"/>
      <c r="N53" s="81"/>
      <c r="O53" s="96">
        <v>2</v>
      </c>
      <c r="P53" s="94" t="s">
        <v>218</v>
      </c>
      <c r="Q53" s="97"/>
      <c r="R53" s="98">
        <f>O53*3000000</f>
        <v>6000000</v>
      </c>
      <c r="S53" s="85">
        <f t="shared" si="15"/>
        <v>0.26795487461274942</v>
      </c>
      <c r="T53" s="99"/>
      <c r="U53" s="87"/>
      <c r="V53" s="87"/>
      <c r="W53" s="87"/>
      <c r="X53" s="87"/>
      <c r="Y53" s="88">
        <f>2339000+1767700</f>
        <v>4106700</v>
      </c>
      <c r="Z53" s="99">
        <f t="shared" si="16"/>
        <v>68.444999999999993</v>
      </c>
      <c r="AA53" s="100">
        <f t="shared" si="1"/>
        <v>68.444999999999993</v>
      </c>
      <c r="AB53" s="99">
        <f t="shared" si="17"/>
        <v>0.18340171392869631</v>
      </c>
      <c r="AC53" s="88"/>
      <c r="AD53" s="88">
        <f t="shared" si="18"/>
        <v>1893300</v>
      </c>
      <c r="AE53" s="86"/>
      <c r="AF53" s="90"/>
    </row>
    <row r="54" spans="1:32" ht="12" customHeight="1" x14ac:dyDescent="0.35">
      <c r="A54" s="93"/>
      <c r="B54" s="102" t="s">
        <v>82</v>
      </c>
      <c r="C54" s="94" t="s">
        <v>216</v>
      </c>
      <c r="D54" s="94"/>
      <c r="E54" s="94"/>
      <c r="F54" s="94"/>
      <c r="G54" s="95"/>
      <c r="H54" s="77"/>
      <c r="I54" s="78"/>
      <c r="J54" s="79"/>
      <c r="K54" s="80"/>
      <c r="L54" s="81"/>
      <c r="M54" s="81"/>
      <c r="N54" s="81"/>
      <c r="O54" s="96">
        <v>5</v>
      </c>
      <c r="P54" s="94" t="s">
        <v>147</v>
      </c>
      <c r="Q54" s="97"/>
      <c r="R54" s="98">
        <f>O54*200000</f>
        <v>1000000</v>
      </c>
      <c r="S54" s="85">
        <f t="shared" si="15"/>
        <v>4.4659145768791562E-2</v>
      </c>
      <c r="T54" s="99"/>
      <c r="U54" s="87"/>
      <c r="V54" s="87"/>
      <c r="W54" s="87"/>
      <c r="X54" s="87"/>
      <c r="Y54" s="88">
        <v>1000000</v>
      </c>
      <c r="Z54" s="99">
        <f t="shared" si="16"/>
        <v>100</v>
      </c>
      <c r="AA54" s="100">
        <f t="shared" si="1"/>
        <v>100</v>
      </c>
      <c r="AB54" s="99">
        <f t="shared" si="17"/>
        <v>4.4659145768791569E-2</v>
      </c>
      <c r="AC54" s="88"/>
      <c r="AD54" s="88">
        <f t="shared" si="18"/>
        <v>0</v>
      </c>
      <c r="AE54" s="86"/>
      <c r="AF54" s="90"/>
    </row>
    <row r="55" spans="1:32" ht="12" customHeight="1" x14ac:dyDescent="0.35">
      <c r="A55" s="284">
        <v>524119</v>
      </c>
      <c r="B55" s="286" t="s">
        <v>219</v>
      </c>
      <c r="C55" s="94"/>
      <c r="D55" s="94"/>
      <c r="E55" s="94"/>
      <c r="F55" s="94"/>
      <c r="G55" s="95"/>
      <c r="H55" s="77"/>
      <c r="I55" s="78"/>
      <c r="J55" s="79"/>
      <c r="K55" s="80"/>
      <c r="L55" s="81"/>
      <c r="M55" s="81"/>
      <c r="N55" s="81"/>
      <c r="O55" s="96"/>
      <c r="P55" s="94"/>
      <c r="Q55" s="97"/>
      <c r="R55" s="98"/>
      <c r="S55" s="85"/>
      <c r="T55" s="99"/>
      <c r="U55" s="87"/>
      <c r="V55" s="87"/>
      <c r="W55" s="87"/>
      <c r="X55" s="87"/>
      <c r="Y55" s="88"/>
      <c r="Z55" s="99"/>
      <c r="AA55" s="100"/>
      <c r="AB55" s="99"/>
      <c r="AC55" s="88"/>
      <c r="AD55" s="88"/>
      <c r="AE55" s="86"/>
      <c r="AF55" s="90"/>
    </row>
    <row r="56" spans="1:32" ht="12" customHeight="1" x14ac:dyDescent="0.35">
      <c r="A56" s="93"/>
      <c r="B56" s="102" t="s">
        <v>82</v>
      </c>
      <c r="C56" s="94" t="s">
        <v>220</v>
      </c>
      <c r="D56" s="94"/>
      <c r="E56" s="94"/>
      <c r="F56" s="94"/>
      <c r="G56" s="95"/>
      <c r="H56" s="77"/>
      <c r="I56" s="78"/>
      <c r="J56" s="79"/>
      <c r="K56" s="80"/>
      <c r="L56" s="81"/>
      <c r="M56" s="81"/>
      <c r="N56" s="81"/>
      <c r="O56" s="96">
        <v>100</v>
      </c>
      <c r="P56" s="94" t="s">
        <v>217</v>
      </c>
      <c r="Q56" s="97"/>
      <c r="R56" s="98">
        <f>O56*700000</f>
        <v>70000000</v>
      </c>
      <c r="S56" s="85">
        <f t="shared" ref="S56:S61" si="19">+R56/$R$184*100</f>
        <v>3.1261402038154094</v>
      </c>
      <c r="T56" s="99"/>
      <c r="U56" s="94"/>
      <c r="V56" s="87"/>
      <c r="W56" s="87"/>
      <c r="X56" s="87"/>
      <c r="Y56" s="88">
        <v>69500000</v>
      </c>
      <c r="Z56" s="99">
        <f t="shared" ref="Z56:Z61" si="20">+Y56/R56*100</f>
        <v>99.285714285714292</v>
      </c>
      <c r="AA56" s="100">
        <f t="shared" si="1"/>
        <v>99.285714285714292</v>
      </c>
      <c r="AB56" s="99">
        <f t="shared" ref="AB56:AB61" si="21">AA56*S56/100</f>
        <v>3.1038106309310138</v>
      </c>
      <c r="AC56" s="88"/>
      <c r="AD56" s="88">
        <f t="shared" ref="AD56:AD61" si="22">+R56-Y56</f>
        <v>500000</v>
      </c>
      <c r="AE56" s="86"/>
      <c r="AF56" s="90"/>
    </row>
    <row r="57" spans="1:32" ht="12" customHeight="1" x14ac:dyDescent="0.35">
      <c r="A57" s="93"/>
      <c r="B57" s="102" t="s">
        <v>82</v>
      </c>
      <c r="C57" s="94" t="s">
        <v>221</v>
      </c>
      <c r="D57" s="94"/>
      <c r="E57" s="94"/>
      <c r="F57" s="94"/>
      <c r="G57" s="95"/>
      <c r="H57" s="77"/>
      <c r="I57" s="78"/>
      <c r="J57" s="79"/>
      <c r="K57" s="80"/>
      <c r="L57" s="81"/>
      <c r="M57" s="81"/>
      <c r="N57" s="81"/>
      <c r="O57" s="96">
        <v>80</v>
      </c>
      <c r="P57" s="94" t="s">
        <v>217</v>
      </c>
      <c r="Q57" s="97"/>
      <c r="R57" s="98">
        <f>O57*150000</f>
        <v>12000000</v>
      </c>
      <c r="S57" s="85">
        <f t="shared" si="19"/>
        <v>0.53590974922549883</v>
      </c>
      <c r="T57" s="99"/>
      <c r="U57" s="87"/>
      <c r="V57" s="87"/>
      <c r="W57" s="87"/>
      <c r="X57" s="87"/>
      <c r="Y57" s="88">
        <v>12000000</v>
      </c>
      <c r="Z57" s="99">
        <f t="shared" si="20"/>
        <v>100</v>
      </c>
      <c r="AA57" s="100">
        <f t="shared" si="1"/>
        <v>100</v>
      </c>
      <c r="AB57" s="99">
        <f t="shared" si="21"/>
        <v>0.53590974922549883</v>
      </c>
      <c r="AC57" s="88"/>
      <c r="AD57" s="88">
        <f t="shared" si="22"/>
        <v>0</v>
      </c>
      <c r="AE57" s="86"/>
      <c r="AF57" s="90"/>
    </row>
    <row r="58" spans="1:32" ht="12" customHeight="1" x14ac:dyDescent="0.35">
      <c r="A58" s="93"/>
      <c r="B58" s="102" t="s">
        <v>82</v>
      </c>
      <c r="C58" s="94" t="s">
        <v>222</v>
      </c>
      <c r="D58" s="94"/>
      <c r="E58" s="94"/>
      <c r="F58" s="94"/>
      <c r="G58" s="95"/>
      <c r="H58" s="77"/>
      <c r="I58" s="78"/>
      <c r="J58" s="79"/>
      <c r="K58" s="80"/>
      <c r="L58" s="81"/>
      <c r="M58" s="81"/>
      <c r="N58" s="81"/>
      <c r="O58" s="96">
        <v>50</v>
      </c>
      <c r="P58" s="94" t="s">
        <v>147</v>
      </c>
      <c r="Q58" s="97"/>
      <c r="R58" s="98">
        <f>O58*500000</f>
        <v>25000000</v>
      </c>
      <c r="S58" s="85">
        <f t="shared" si="19"/>
        <v>1.1164786442197892</v>
      </c>
      <c r="T58" s="99"/>
      <c r="U58" s="87"/>
      <c r="V58" s="87"/>
      <c r="W58" s="87"/>
      <c r="X58" s="87"/>
      <c r="Y58" s="88">
        <v>25000000</v>
      </c>
      <c r="Z58" s="99">
        <f t="shared" si="20"/>
        <v>100</v>
      </c>
      <c r="AA58" s="100">
        <f t="shared" si="1"/>
        <v>100</v>
      </c>
      <c r="AB58" s="99">
        <f t="shared" si="21"/>
        <v>1.1164786442197892</v>
      </c>
      <c r="AC58" s="88"/>
      <c r="AD58" s="88">
        <f t="shared" si="22"/>
        <v>0</v>
      </c>
      <c r="AE58" s="86"/>
      <c r="AF58" s="90"/>
    </row>
    <row r="59" spans="1:32" ht="12" customHeight="1" x14ac:dyDescent="0.35">
      <c r="A59" s="93"/>
      <c r="B59" s="102" t="s">
        <v>82</v>
      </c>
      <c r="C59" s="94" t="s">
        <v>224</v>
      </c>
      <c r="D59" s="94"/>
      <c r="E59" s="94"/>
      <c r="F59" s="94"/>
      <c r="G59" s="95"/>
      <c r="H59" s="77"/>
      <c r="I59" s="78"/>
      <c r="J59" s="79"/>
      <c r="K59" s="80"/>
      <c r="L59" s="81"/>
      <c r="M59" s="81"/>
      <c r="N59" s="81"/>
      <c r="O59" s="96">
        <v>100</v>
      </c>
      <c r="P59" s="94" t="s">
        <v>217</v>
      </c>
      <c r="Q59" s="97"/>
      <c r="R59" s="98">
        <f>O59*150000</f>
        <v>15000000</v>
      </c>
      <c r="S59" s="85">
        <f t="shared" si="19"/>
        <v>0.6698871865318734</v>
      </c>
      <c r="T59" s="99"/>
      <c r="U59" s="87"/>
      <c r="V59" s="87"/>
      <c r="W59" s="87"/>
      <c r="X59" s="87"/>
      <c r="Y59" s="88">
        <v>0</v>
      </c>
      <c r="Z59" s="99">
        <f t="shared" si="20"/>
        <v>0</v>
      </c>
      <c r="AA59" s="100">
        <f t="shared" si="1"/>
        <v>0</v>
      </c>
      <c r="AB59" s="99">
        <f t="shared" si="21"/>
        <v>0</v>
      </c>
      <c r="AC59" s="88"/>
      <c r="AD59" s="88">
        <f t="shared" si="22"/>
        <v>15000000</v>
      </c>
      <c r="AE59" s="86"/>
      <c r="AF59" s="90"/>
    </row>
    <row r="60" spans="1:32" ht="12" customHeight="1" x14ac:dyDescent="0.35">
      <c r="A60" s="93"/>
      <c r="B60" s="102" t="s">
        <v>82</v>
      </c>
      <c r="C60" s="94" t="s">
        <v>223</v>
      </c>
      <c r="D60" s="94"/>
      <c r="E60" s="94"/>
      <c r="F60" s="94"/>
      <c r="G60" s="95"/>
      <c r="H60" s="77"/>
      <c r="I60" s="78"/>
      <c r="J60" s="79"/>
      <c r="K60" s="80"/>
      <c r="L60" s="81"/>
      <c r="M60" s="81"/>
      <c r="N60" s="81"/>
      <c r="O60" s="96">
        <v>120</v>
      </c>
      <c r="P60" s="94" t="s">
        <v>217</v>
      </c>
      <c r="Q60" s="97"/>
      <c r="R60" s="98">
        <f>O60*700000</f>
        <v>84000000</v>
      </c>
      <c r="S60" s="85">
        <f t="shared" si="19"/>
        <v>3.7513682445784915</v>
      </c>
      <c r="T60" s="99"/>
      <c r="U60" s="87"/>
      <c r="V60" s="87"/>
      <c r="W60" s="87"/>
      <c r="X60" s="87"/>
      <c r="Y60" s="88">
        <v>0</v>
      </c>
      <c r="Z60" s="99">
        <f t="shared" si="20"/>
        <v>0</v>
      </c>
      <c r="AA60" s="100">
        <f t="shared" si="1"/>
        <v>0</v>
      </c>
      <c r="AB60" s="99">
        <f t="shared" si="21"/>
        <v>0</v>
      </c>
      <c r="AC60" s="88"/>
      <c r="AD60" s="88">
        <f t="shared" si="22"/>
        <v>84000000</v>
      </c>
      <c r="AE60" s="86"/>
      <c r="AF60" s="90"/>
    </row>
    <row r="61" spans="1:32" ht="12" customHeight="1" x14ac:dyDescent="0.35">
      <c r="A61" s="93"/>
      <c r="B61" s="102" t="s">
        <v>82</v>
      </c>
      <c r="C61" s="94" t="s">
        <v>225</v>
      </c>
      <c r="D61" s="94"/>
      <c r="E61" s="94"/>
      <c r="F61" s="94"/>
      <c r="G61" s="95"/>
      <c r="H61" s="77"/>
      <c r="I61" s="78"/>
      <c r="J61" s="79"/>
      <c r="K61" s="80"/>
      <c r="L61" s="81"/>
      <c r="M61" s="81"/>
      <c r="N61" s="81"/>
      <c r="O61" s="96">
        <v>60</v>
      </c>
      <c r="P61" s="94" t="s">
        <v>147</v>
      </c>
      <c r="Q61" s="97"/>
      <c r="R61" s="98">
        <f>O61*500000</f>
        <v>30000000</v>
      </c>
      <c r="S61" s="85">
        <f t="shared" si="19"/>
        <v>1.3397743730637468</v>
      </c>
      <c r="T61" s="99"/>
      <c r="U61" s="87"/>
      <c r="V61" s="87"/>
      <c r="W61" s="87"/>
      <c r="X61" s="87"/>
      <c r="Y61" s="88">
        <v>0</v>
      </c>
      <c r="Z61" s="99">
        <f t="shared" si="20"/>
        <v>0</v>
      </c>
      <c r="AA61" s="100">
        <f t="shared" si="1"/>
        <v>0</v>
      </c>
      <c r="AB61" s="99">
        <f t="shared" si="21"/>
        <v>0</v>
      </c>
      <c r="AC61" s="88"/>
      <c r="AD61" s="88">
        <f t="shared" si="22"/>
        <v>30000000</v>
      </c>
      <c r="AE61" s="86"/>
      <c r="AF61" s="90"/>
    </row>
    <row r="62" spans="1:32" ht="12" customHeight="1" x14ac:dyDescent="0.35">
      <c r="A62" s="93"/>
      <c r="B62" s="102"/>
      <c r="C62" s="94"/>
      <c r="D62" s="94"/>
      <c r="E62" s="94"/>
      <c r="F62" s="94"/>
      <c r="G62" s="95"/>
      <c r="H62" s="77"/>
      <c r="I62" s="78"/>
      <c r="J62" s="79"/>
      <c r="K62" s="80"/>
      <c r="L62" s="81"/>
      <c r="M62" s="81"/>
      <c r="N62" s="81"/>
      <c r="O62" s="96"/>
      <c r="P62" s="94"/>
      <c r="Q62" s="97"/>
      <c r="R62" s="98"/>
      <c r="S62" s="85"/>
      <c r="T62" s="86"/>
      <c r="U62" s="87"/>
      <c r="V62" s="87"/>
      <c r="W62" s="87"/>
      <c r="X62" s="87"/>
      <c r="Y62" s="88"/>
      <c r="Z62" s="86"/>
      <c r="AA62" s="86"/>
      <c r="AB62" s="86"/>
      <c r="AC62" s="88"/>
      <c r="AD62" s="88"/>
      <c r="AE62" s="86"/>
      <c r="AF62" s="90"/>
    </row>
    <row r="63" spans="1:32" ht="12.95" customHeight="1" x14ac:dyDescent="0.35">
      <c r="A63" s="117" t="s">
        <v>226</v>
      </c>
      <c r="B63" s="118" t="s">
        <v>227</v>
      </c>
      <c r="C63" s="119"/>
      <c r="D63" s="119"/>
      <c r="E63" s="119"/>
      <c r="F63" s="119"/>
      <c r="G63" s="119"/>
      <c r="H63" s="120"/>
      <c r="I63" s="121"/>
      <c r="J63" s="122"/>
      <c r="K63" s="123"/>
      <c r="L63" s="124"/>
      <c r="M63" s="124"/>
      <c r="N63" s="124"/>
      <c r="O63" s="125"/>
      <c r="P63" s="119"/>
      <c r="Q63" s="126"/>
      <c r="R63" s="127"/>
      <c r="S63" s="128"/>
      <c r="T63" s="129"/>
      <c r="U63" s="130"/>
      <c r="V63" s="130"/>
      <c r="W63" s="130"/>
      <c r="X63" s="130"/>
      <c r="Y63" s="131"/>
      <c r="Z63" s="129"/>
      <c r="AA63" s="129"/>
      <c r="AB63" s="129"/>
      <c r="AC63" s="131"/>
      <c r="AD63" s="131"/>
      <c r="AE63" s="129"/>
    </row>
    <row r="64" spans="1:32" ht="12.95" customHeight="1" x14ac:dyDescent="0.35">
      <c r="A64" s="132"/>
      <c r="B64" s="104"/>
      <c r="C64" s="105"/>
      <c r="D64" s="105"/>
      <c r="E64" s="111"/>
      <c r="F64" s="111"/>
      <c r="G64" s="111"/>
      <c r="H64" s="107"/>
      <c r="I64" s="108"/>
      <c r="J64" s="109"/>
      <c r="K64" s="110"/>
      <c r="L64" s="111"/>
      <c r="M64" s="111"/>
      <c r="N64" s="111"/>
      <c r="O64" s="133"/>
      <c r="P64" s="108"/>
      <c r="Q64" s="114"/>
      <c r="R64" s="133"/>
      <c r="S64" s="113"/>
      <c r="T64" s="114"/>
      <c r="U64" s="115"/>
      <c r="V64" s="115"/>
      <c r="W64" s="115"/>
      <c r="X64" s="115"/>
      <c r="Y64" s="116"/>
      <c r="Z64" s="114"/>
      <c r="AA64" s="114"/>
      <c r="AB64" s="114"/>
      <c r="AC64" s="116"/>
      <c r="AD64" s="116"/>
      <c r="AE64" s="114"/>
    </row>
    <row r="65" spans="1:41" ht="12.95" customHeight="1" x14ac:dyDescent="0.35">
      <c r="A65" s="132" t="s">
        <v>228</v>
      </c>
      <c r="B65" s="104" t="s">
        <v>229</v>
      </c>
      <c r="C65" s="105"/>
      <c r="D65" s="105"/>
      <c r="E65" s="105"/>
      <c r="F65" s="105"/>
      <c r="G65" s="106"/>
      <c r="H65" s="107"/>
      <c r="I65" s="108"/>
      <c r="J65" s="109"/>
      <c r="K65" s="110"/>
      <c r="L65" s="111"/>
      <c r="M65" s="111"/>
      <c r="N65" s="111"/>
      <c r="O65" s="134"/>
      <c r="P65" s="111"/>
      <c r="Q65" s="135"/>
      <c r="R65" s="136"/>
      <c r="S65" s="113"/>
      <c r="T65" s="114"/>
      <c r="U65" s="115"/>
      <c r="V65" s="115"/>
      <c r="W65" s="115"/>
      <c r="X65" s="115"/>
      <c r="Y65" s="116"/>
      <c r="Z65" s="114"/>
      <c r="AA65" s="114"/>
      <c r="AB65" s="114"/>
      <c r="AC65" s="116"/>
      <c r="AD65" s="116"/>
      <c r="AE65" s="114"/>
    </row>
    <row r="66" spans="1:41" s="164" customFormat="1" ht="12.95" hidden="1" customHeight="1" x14ac:dyDescent="0.35">
      <c r="A66" s="146"/>
      <c r="B66" s="147"/>
      <c r="C66" s="148" t="s">
        <v>89</v>
      </c>
      <c r="D66" s="149" t="s">
        <v>90</v>
      </c>
      <c r="E66" s="140"/>
      <c r="F66" s="140"/>
      <c r="G66" s="150"/>
      <c r="H66" s="151"/>
      <c r="I66" s="152"/>
      <c r="J66" s="153"/>
      <c r="K66" s="153"/>
      <c r="L66" s="154"/>
      <c r="M66" s="140"/>
      <c r="N66" s="140"/>
      <c r="O66" s="98"/>
      <c r="P66" s="155"/>
      <c r="Q66" s="156"/>
      <c r="R66" s="157"/>
      <c r="S66" s="158"/>
      <c r="T66" s="159"/>
      <c r="U66" s="160"/>
      <c r="V66" s="160"/>
      <c r="W66" s="160"/>
      <c r="X66" s="160"/>
      <c r="Y66" s="161"/>
      <c r="Z66" s="159"/>
      <c r="AA66" s="162"/>
      <c r="AB66" s="159"/>
      <c r="AC66" s="88"/>
      <c r="AD66" s="161"/>
      <c r="AE66" s="163"/>
    </row>
    <row r="67" spans="1:41" s="164" customFormat="1" ht="12.95" hidden="1" customHeight="1" x14ac:dyDescent="0.35">
      <c r="A67" s="146"/>
      <c r="B67" s="147"/>
      <c r="C67" s="148" t="s">
        <v>89</v>
      </c>
      <c r="D67" s="149" t="s">
        <v>91</v>
      </c>
      <c r="E67" s="140"/>
      <c r="F67" s="140"/>
      <c r="G67" s="150"/>
      <c r="H67" s="151"/>
      <c r="I67" s="152"/>
      <c r="J67" s="153"/>
      <c r="K67" s="153"/>
      <c r="L67" s="154"/>
      <c r="M67" s="140"/>
      <c r="N67" s="140"/>
      <c r="O67" s="98"/>
      <c r="P67" s="155"/>
      <c r="Q67" s="156"/>
      <c r="R67" s="157"/>
      <c r="S67" s="158"/>
      <c r="T67" s="159"/>
      <c r="U67" s="160"/>
      <c r="V67" s="160"/>
      <c r="W67" s="160"/>
      <c r="X67" s="160"/>
      <c r="Y67" s="161"/>
      <c r="Z67" s="159"/>
      <c r="AA67" s="162"/>
      <c r="AB67" s="159"/>
      <c r="AC67" s="88"/>
      <c r="AD67" s="161"/>
      <c r="AE67" s="163"/>
    </row>
    <row r="68" spans="1:41" s="169" customFormat="1" ht="12.95" hidden="1" customHeight="1" x14ac:dyDescent="0.35">
      <c r="A68" s="146"/>
      <c r="B68" s="147"/>
      <c r="C68" s="165" t="s">
        <v>89</v>
      </c>
      <c r="D68" s="506" t="s">
        <v>92</v>
      </c>
      <c r="E68" s="506"/>
      <c r="F68" s="506"/>
      <c r="G68" s="507"/>
      <c r="H68" s="151"/>
      <c r="I68" s="152"/>
      <c r="J68" s="153"/>
      <c r="K68" s="153"/>
      <c r="L68" s="154"/>
      <c r="M68" s="140"/>
      <c r="N68" s="140"/>
      <c r="O68" s="98"/>
      <c r="P68" s="155"/>
      <c r="Q68" s="156"/>
      <c r="R68" s="157"/>
      <c r="S68" s="158"/>
      <c r="T68" s="159"/>
      <c r="U68" s="160"/>
      <c r="V68" s="160"/>
      <c r="W68" s="160"/>
      <c r="X68" s="160"/>
      <c r="Y68" s="161"/>
      <c r="Z68" s="159"/>
      <c r="AA68" s="162"/>
      <c r="AB68" s="159"/>
      <c r="AC68" s="88"/>
      <c r="AD68" s="161"/>
      <c r="AE68" s="163"/>
      <c r="AF68" s="168"/>
      <c r="AG68" s="168"/>
      <c r="AH68" s="168"/>
      <c r="AI68" s="168"/>
      <c r="AJ68" s="168"/>
      <c r="AK68" s="168"/>
      <c r="AL68" s="168"/>
      <c r="AM68" s="168"/>
      <c r="AN68" s="168"/>
      <c r="AO68" s="168"/>
    </row>
    <row r="69" spans="1:41" s="169" customFormat="1" ht="12.95" customHeight="1" x14ac:dyDescent="0.35">
      <c r="A69" s="282">
        <v>521211</v>
      </c>
      <c r="B69" s="283" t="s">
        <v>186</v>
      </c>
      <c r="C69" s="165"/>
      <c r="D69" s="490"/>
      <c r="E69" s="490"/>
      <c r="F69" s="490"/>
      <c r="G69" s="491"/>
      <c r="H69" s="151"/>
      <c r="I69" s="152"/>
      <c r="J69" s="280"/>
      <c r="K69" s="153"/>
      <c r="L69" s="140"/>
      <c r="M69" s="140"/>
      <c r="N69" s="140"/>
      <c r="O69" s="98"/>
      <c r="P69" s="281"/>
      <c r="Q69" s="156"/>
      <c r="R69" s="157"/>
      <c r="S69" s="158"/>
      <c r="T69" s="159"/>
      <c r="U69" s="160"/>
      <c r="V69" s="160"/>
      <c r="W69" s="160"/>
      <c r="X69" s="160"/>
      <c r="Y69" s="161"/>
      <c r="Z69" s="159"/>
      <c r="AA69" s="162"/>
      <c r="AB69" s="159"/>
      <c r="AC69" s="88"/>
      <c r="AD69" s="161"/>
      <c r="AE69" s="163"/>
      <c r="AF69" s="168"/>
      <c r="AG69" s="168"/>
      <c r="AH69" s="168"/>
      <c r="AI69" s="168"/>
      <c r="AJ69" s="168"/>
      <c r="AK69" s="168"/>
      <c r="AL69" s="168"/>
      <c r="AM69" s="168"/>
      <c r="AN69" s="168"/>
      <c r="AO69" s="168"/>
    </row>
    <row r="70" spans="1:41" s="169" customFormat="1" ht="12.95" customHeight="1" x14ac:dyDescent="0.35">
      <c r="A70" s="138"/>
      <c r="B70" s="139" t="s">
        <v>82</v>
      </c>
      <c r="C70" s="140" t="s">
        <v>87</v>
      </c>
      <c r="D70" s="141"/>
      <c r="E70" s="141"/>
      <c r="F70" s="141"/>
      <c r="G70" s="142"/>
      <c r="H70" s="107"/>
      <c r="I70" s="108"/>
      <c r="J70" s="109"/>
      <c r="K70" s="110"/>
      <c r="L70" s="111"/>
      <c r="M70" s="111"/>
      <c r="N70" s="111"/>
      <c r="O70" s="143">
        <v>12</v>
      </c>
      <c r="P70" s="94" t="s">
        <v>88</v>
      </c>
      <c r="Q70" s="144">
        <v>1500000</v>
      </c>
      <c r="R70" s="77">
        <f>O70*6750000</f>
        <v>81000000</v>
      </c>
      <c r="S70" s="85">
        <f t="shared" ref="S70" si="23">+R70/$R$184*100</f>
        <v>3.6173908072721166</v>
      </c>
      <c r="T70" s="99"/>
      <c r="U70" s="87"/>
      <c r="V70" s="87"/>
      <c r="W70" s="87"/>
      <c r="X70" s="87"/>
      <c r="Y70" s="88">
        <f>21394000+24000000+900000</f>
        <v>46294000</v>
      </c>
      <c r="Z70" s="99">
        <f t="shared" ref="Z70" si="24">+Y70/R70*100</f>
        <v>57.153086419753087</v>
      </c>
      <c r="AA70" s="100">
        <f>4/12*100</f>
        <v>33.333333333333329</v>
      </c>
      <c r="AB70" s="99">
        <f t="shared" ref="AB70" si="25">AA70*S70/100</f>
        <v>1.2057969357573721</v>
      </c>
      <c r="AC70" s="88"/>
      <c r="AD70" s="88">
        <f t="shared" ref="AD70" si="26">+R70-Y70</f>
        <v>34706000</v>
      </c>
      <c r="AE70" s="86"/>
      <c r="AF70" s="168"/>
      <c r="AG70" s="168"/>
      <c r="AH70" s="168"/>
      <c r="AI70" s="168"/>
      <c r="AJ70" s="168"/>
      <c r="AK70" s="168"/>
      <c r="AL70" s="168"/>
      <c r="AM70" s="168"/>
      <c r="AN70" s="168"/>
      <c r="AO70" s="168"/>
    </row>
    <row r="71" spans="1:41" s="181" customFormat="1" ht="12.95" customHeight="1" x14ac:dyDescent="0.35">
      <c r="A71" s="210">
        <v>521219</v>
      </c>
      <c r="B71" s="211" t="s">
        <v>93</v>
      </c>
      <c r="C71" s="105"/>
      <c r="D71" s="105"/>
      <c r="E71" s="105"/>
      <c r="F71" s="105"/>
      <c r="G71" s="106"/>
      <c r="H71" s="170"/>
      <c r="I71" s="171"/>
      <c r="J71" s="170"/>
      <c r="K71" s="172"/>
      <c r="L71" s="112"/>
      <c r="M71" s="105"/>
      <c r="N71" s="103"/>
      <c r="O71" s="173"/>
      <c r="P71" s="101"/>
      <c r="Q71" s="174"/>
      <c r="R71" s="173"/>
      <c r="S71" s="85"/>
      <c r="T71" s="175"/>
      <c r="U71" s="176"/>
      <c r="V71" s="176"/>
      <c r="W71" s="176"/>
      <c r="X71" s="176"/>
      <c r="Y71" s="177"/>
      <c r="Z71" s="175"/>
      <c r="AA71" s="178"/>
      <c r="AB71" s="175"/>
      <c r="AC71" s="88"/>
      <c r="AD71" s="177"/>
      <c r="AE71" s="179"/>
      <c r="AF71" s="180"/>
      <c r="AG71" s="28"/>
      <c r="AH71" s="28"/>
      <c r="AI71" s="28"/>
      <c r="AJ71" s="28"/>
      <c r="AK71" s="28"/>
      <c r="AL71" s="28"/>
      <c r="AM71" s="28"/>
      <c r="AN71" s="28"/>
      <c r="AO71" s="28"/>
    </row>
    <row r="72" spans="1:41" ht="12.95" customHeight="1" x14ac:dyDescent="0.35">
      <c r="A72" s="135"/>
      <c r="B72" s="139" t="s">
        <v>82</v>
      </c>
      <c r="C72" s="111" t="s">
        <v>94</v>
      </c>
      <c r="D72" s="105"/>
      <c r="E72" s="111"/>
      <c r="F72" s="111"/>
      <c r="G72" s="137"/>
      <c r="H72" s="109"/>
      <c r="I72" s="108"/>
      <c r="J72" s="109"/>
      <c r="K72" s="172"/>
      <c r="L72" s="182">
        <v>1095</v>
      </c>
      <c r="M72" s="140" t="s">
        <v>95</v>
      </c>
      <c r="N72" s="183">
        <v>53000</v>
      </c>
      <c r="O72" s="143">
        <v>12</v>
      </c>
      <c r="P72" s="94" t="s">
        <v>96</v>
      </c>
      <c r="Q72" s="144">
        <v>100000</v>
      </c>
      <c r="R72" s="77">
        <f>O72*3500000</f>
        <v>42000000</v>
      </c>
      <c r="S72" s="85">
        <f t="shared" ref="S72:S74" si="27">+R72/$R$184*100</f>
        <v>1.8756841222892457</v>
      </c>
      <c r="T72" s="99"/>
      <c r="U72" s="87"/>
      <c r="V72" s="87"/>
      <c r="W72" s="87"/>
      <c r="X72" s="87"/>
      <c r="Y72" s="88">
        <f>5820000+13876000</f>
        <v>19696000</v>
      </c>
      <c r="Z72" s="99">
        <f t="shared" ref="Z72:Z74" si="28">+Y72/R72*100</f>
        <v>46.895238095238092</v>
      </c>
      <c r="AA72" s="100">
        <f t="shared" ref="AA72:AA74" si="29">Z72</f>
        <v>46.895238095238092</v>
      </c>
      <c r="AB72" s="99">
        <f t="shared" ref="AB72:AB74" si="30">AA72*S72/100</f>
        <v>0.8796065350621185</v>
      </c>
      <c r="AC72" s="88"/>
      <c r="AD72" s="88">
        <f t="shared" ref="AD72:AD74" si="31">+R72-Y72</f>
        <v>22304000</v>
      </c>
      <c r="AE72" s="86"/>
    </row>
    <row r="73" spans="1:41" ht="12.95" customHeight="1" x14ac:dyDescent="0.35">
      <c r="A73" s="135"/>
      <c r="B73" s="139" t="s">
        <v>82</v>
      </c>
      <c r="C73" s="111" t="s">
        <v>97</v>
      </c>
      <c r="D73" s="105"/>
      <c r="E73" s="111"/>
      <c r="F73" s="111"/>
      <c r="G73" s="137"/>
      <c r="H73" s="109"/>
      <c r="I73" s="108"/>
      <c r="J73" s="109"/>
      <c r="K73" s="172"/>
      <c r="L73" s="182"/>
      <c r="M73" s="140"/>
      <c r="N73" s="183"/>
      <c r="O73" s="143">
        <v>12</v>
      </c>
      <c r="P73" s="94" t="s">
        <v>96</v>
      </c>
      <c r="Q73" s="144"/>
      <c r="R73" s="77">
        <f>O73*600000</f>
        <v>7200000</v>
      </c>
      <c r="S73" s="85">
        <f t="shared" si="27"/>
        <v>0.32154584953529924</v>
      </c>
      <c r="T73" s="99"/>
      <c r="U73" s="87"/>
      <c r="V73" s="87"/>
      <c r="W73" s="87"/>
      <c r="X73" s="87"/>
      <c r="Y73" s="88">
        <v>0</v>
      </c>
      <c r="Z73" s="99">
        <f t="shared" si="28"/>
        <v>0</v>
      </c>
      <c r="AA73" s="100">
        <f t="shared" si="29"/>
        <v>0</v>
      </c>
      <c r="AB73" s="99">
        <f t="shared" si="30"/>
        <v>0</v>
      </c>
      <c r="AC73" s="88"/>
      <c r="AD73" s="88">
        <f t="shared" si="31"/>
        <v>7200000</v>
      </c>
      <c r="AE73" s="114"/>
    </row>
    <row r="74" spans="1:41" ht="12.95" customHeight="1" x14ac:dyDescent="0.35">
      <c r="A74" s="400"/>
      <c r="B74" s="401" t="s">
        <v>82</v>
      </c>
      <c r="C74" s="403" t="s">
        <v>230</v>
      </c>
      <c r="D74" s="403"/>
      <c r="E74" s="403"/>
      <c r="F74" s="403"/>
      <c r="G74" s="431"/>
      <c r="H74" s="432"/>
      <c r="I74" s="433"/>
      <c r="J74" s="432"/>
      <c r="K74" s="406"/>
      <c r="L74" s="434"/>
      <c r="M74" s="416"/>
      <c r="N74" s="435"/>
      <c r="O74" s="434">
        <v>1</v>
      </c>
      <c r="P74" s="416" t="s">
        <v>231</v>
      </c>
      <c r="Q74" s="436"/>
      <c r="R74" s="437">
        <f>O74*50000000</f>
        <v>50000000</v>
      </c>
      <c r="S74" s="438">
        <f t="shared" si="27"/>
        <v>2.2329572884395783</v>
      </c>
      <c r="T74" s="439"/>
      <c r="U74" s="440"/>
      <c r="V74" s="440"/>
      <c r="W74" s="440"/>
      <c r="X74" s="440"/>
      <c r="Y74" s="441">
        <f>5000000*4</f>
        <v>20000000</v>
      </c>
      <c r="Z74" s="439">
        <f t="shared" si="28"/>
        <v>40</v>
      </c>
      <c r="AA74" s="442">
        <f t="shared" si="29"/>
        <v>40</v>
      </c>
      <c r="AB74" s="439">
        <f t="shared" si="30"/>
        <v>0.89318291537583139</v>
      </c>
      <c r="AC74" s="441"/>
      <c r="AD74" s="441">
        <f t="shared" si="31"/>
        <v>30000000</v>
      </c>
      <c r="AE74" s="443"/>
      <c r="AF74" s="28"/>
      <c r="AG74" s="28"/>
      <c r="AH74" s="28"/>
      <c r="AI74" s="28"/>
    </row>
    <row r="75" spans="1:41" ht="12.95" customHeight="1" x14ac:dyDescent="0.35">
      <c r="A75" s="210">
        <v>523121</v>
      </c>
      <c r="B75" s="211" t="s">
        <v>98</v>
      </c>
      <c r="C75" s="105"/>
      <c r="D75" s="105"/>
      <c r="E75" s="105"/>
      <c r="F75" s="105"/>
      <c r="G75" s="106"/>
      <c r="H75" s="170"/>
      <c r="I75" s="171"/>
      <c r="J75" s="170"/>
      <c r="K75" s="172"/>
      <c r="L75" s="112"/>
      <c r="M75" s="105"/>
      <c r="N75" s="103"/>
      <c r="O75" s="173"/>
      <c r="P75" s="101"/>
      <c r="Q75" s="174"/>
      <c r="R75" s="173"/>
      <c r="S75" s="85"/>
      <c r="T75" s="175"/>
      <c r="U75" s="176"/>
      <c r="V75" s="176"/>
      <c r="W75" s="176"/>
      <c r="X75" s="176"/>
      <c r="Y75" s="177"/>
      <c r="Z75" s="175"/>
      <c r="AA75" s="178"/>
      <c r="AB75" s="175"/>
      <c r="AC75" s="88"/>
      <c r="AD75" s="177"/>
      <c r="AE75" s="179"/>
    </row>
    <row r="76" spans="1:41" ht="12.95" customHeight="1" x14ac:dyDescent="0.35">
      <c r="A76" s="135"/>
      <c r="B76" s="139" t="s">
        <v>82</v>
      </c>
      <c r="C76" s="111" t="s">
        <v>99</v>
      </c>
      <c r="D76" s="105"/>
      <c r="E76" s="111"/>
      <c r="F76" s="111"/>
      <c r="G76" s="137"/>
      <c r="H76" s="109"/>
      <c r="I76" s="108"/>
      <c r="J76" s="109"/>
      <c r="K76" s="172"/>
      <c r="L76" s="182">
        <v>1095</v>
      </c>
      <c r="M76" s="140" t="s">
        <v>95</v>
      </c>
      <c r="N76" s="183">
        <v>53000</v>
      </c>
      <c r="O76" s="143">
        <v>1</v>
      </c>
      <c r="P76" s="94" t="s">
        <v>86</v>
      </c>
      <c r="Q76" s="144">
        <v>100000</v>
      </c>
      <c r="R76" s="77">
        <f>O76*600000</f>
        <v>600000</v>
      </c>
      <c r="S76" s="85">
        <f t="shared" ref="S76" si="32">+R76/$R$184*100</f>
        <v>2.6795487461274942E-2</v>
      </c>
      <c r="T76" s="99"/>
      <c r="U76" s="87"/>
      <c r="V76" s="87"/>
      <c r="W76" s="87"/>
      <c r="X76" s="87"/>
      <c r="Y76" s="88">
        <v>0</v>
      </c>
      <c r="Z76" s="99">
        <f t="shared" ref="Z76" si="33">+Y76/R76*100</f>
        <v>0</v>
      </c>
      <c r="AA76" s="100">
        <f t="shared" ref="AA76" si="34">Z76</f>
        <v>0</v>
      </c>
      <c r="AB76" s="99">
        <f t="shared" ref="AB76" si="35">AA76*S76/100</f>
        <v>0</v>
      </c>
      <c r="AC76" s="88"/>
      <c r="AD76" s="88">
        <f t="shared" ref="AD76" si="36">+R76-Y76</f>
        <v>600000</v>
      </c>
      <c r="AE76" s="86"/>
    </row>
    <row r="77" spans="1:41" ht="12.95" customHeight="1" x14ac:dyDescent="0.35">
      <c r="A77" s="132" t="s">
        <v>232</v>
      </c>
      <c r="B77" s="104" t="s">
        <v>233</v>
      </c>
      <c r="C77" s="105"/>
      <c r="D77" s="105"/>
      <c r="E77" s="111"/>
      <c r="F77" s="111"/>
      <c r="G77" s="137"/>
      <c r="H77" s="107"/>
      <c r="I77" s="108"/>
      <c r="J77" s="109"/>
      <c r="K77" s="110"/>
      <c r="L77" s="111"/>
      <c r="M77" s="111"/>
      <c r="N77" s="111"/>
      <c r="O77" s="185"/>
      <c r="P77" s="81"/>
      <c r="Q77" s="186"/>
      <c r="R77" s="187"/>
      <c r="S77" s="85"/>
      <c r="T77" s="99"/>
      <c r="U77" s="145"/>
      <c r="V77" s="145"/>
      <c r="W77" s="145"/>
      <c r="X77" s="145"/>
      <c r="Y77" s="88"/>
      <c r="Z77" s="99"/>
      <c r="AA77" s="100"/>
      <c r="AB77" s="184"/>
      <c r="AC77" s="88"/>
      <c r="AD77" s="88"/>
      <c r="AE77" s="114"/>
    </row>
    <row r="78" spans="1:41" s="28" customFormat="1" ht="12.95" customHeight="1" x14ac:dyDescent="0.35">
      <c r="A78" s="279">
        <v>521119</v>
      </c>
      <c r="B78" s="211" t="s">
        <v>100</v>
      </c>
      <c r="C78" s="105"/>
      <c r="D78" s="105"/>
      <c r="E78" s="105"/>
      <c r="F78" s="105"/>
      <c r="G78" s="106"/>
      <c r="H78" s="188"/>
      <c r="I78" s="171"/>
      <c r="J78" s="170"/>
      <c r="K78" s="189"/>
      <c r="L78" s="105"/>
      <c r="M78" s="105"/>
      <c r="N78" s="105"/>
      <c r="O78" s="112"/>
      <c r="P78" s="105"/>
      <c r="Q78" s="103"/>
      <c r="R78" s="188"/>
      <c r="S78" s="113"/>
      <c r="T78" s="190"/>
      <c r="U78" s="191"/>
      <c r="V78" s="191"/>
      <c r="W78" s="191"/>
      <c r="X78" s="191"/>
      <c r="Y78" s="192"/>
      <c r="Z78" s="190"/>
      <c r="AA78" s="178"/>
      <c r="AB78" s="193"/>
      <c r="AC78" s="192"/>
      <c r="AD78" s="192"/>
      <c r="AE78" s="179"/>
    </row>
    <row r="79" spans="1:41" s="28" customFormat="1" ht="12.95" customHeight="1" x14ac:dyDescent="0.35">
      <c r="A79" s="114"/>
      <c r="B79" s="194" t="s">
        <v>82</v>
      </c>
      <c r="C79" s="111" t="s">
        <v>101</v>
      </c>
      <c r="D79" s="105"/>
      <c r="E79" s="111"/>
      <c r="F79" s="111"/>
      <c r="G79" s="137"/>
      <c r="H79" s="107"/>
      <c r="I79" s="108"/>
      <c r="J79" s="109"/>
      <c r="K79" s="110"/>
      <c r="L79" s="111"/>
      <c r="M79" s="111"/>
      <c r="N79" s="111"/>
      <c r="O79" s="182">
        <v>12</v>
      </c>
      <c r="P79" s="140" t="s">
        <v>96</v>
      </c>
      <c r="Q79" s="183">
        <v>125000</v>
      </c>
      <c r="R79" s="151">
        <f>O79*600000</f>
        <v>7200000</v>
      </c>
      <c r="S79" s="85">
        <f t="shared" ref="S79" si="37">+R79/$R$184*100</f>
        <v>0.32154584953529924</v>
      </c>
      <c r="T79" s="99"/>
      <c r="U79" s="87"/>
      <c r="V79" s="87"/>
      <c r="W79" s="87"/>
      <c r="X79" s="87"/>
      <c r="Y79" s="88">
        <v>0</v>
      </c>
      <c r="Z79" s="99">
        <f t="shared" ref="Z79" si="38">+Y79/R79*100</f>
        <v>0</v>
      </c>
      <c r="AA79" s="100">
        <f t="shared" ref="AA79" si="39">Z79</f>
        <v>0</v>
      </c>
      <c r="AB79" s="99">
        <f t="shared" ref="AB79" si="40">AA79*S79/100</f>
        <v>0</v>
      </c>
      <c r="AC79" s="88"/>
      <c r="AD79" s="88">
        <f t="shared" ref="AD79" si="41">+R79-Y79</f>
        <v>7200000</v>
      </c>
      <c r="AE79" s="86"/>
    </row>
    <row r="80" spans="1:41" ht="12.95" customHeight="1" x14ac:dyDescent="0.35">
      <c r="A80" s="132" t="s">
        <v>184</v>
      </c>
      <c r="B80" s="104" t="s">
        <v>234</v>
      </c>
      <c r="C80" s="105"/>
      <c r="D80" s="105"/>
      <c r="E80" s="111"/>
      <c r="F80" s="111"/>
      <c r="G80" s="137"/>
      <c r="H80" s="107"/>
      <c r="I80" s="108"/>
      <c r="J80" s="109"/>
      <c r="K80" s="110"/>
      <c r="L80" s="111"/>
      <c r="M80" s="111"/>
      <c r="N80" s="111"/>
      <c r="O80" s="134"/>
      <c r="P80" s="111"/>
      <c r="Q80" s="135"/>
      <c r="R80" s="136"/>
      <c r="S80" s="113"/>
      <c r="T80" s="195"/>
      <c r="U80" s="198"/>
      <c r="V80" s="198"/>
      <c r="W80" s="198"/>
      <c r="X80" s="198"/>
      <c r="Y80" s="116"/>
      <c r="Z80" s="195"/>
      <c r="AA80" s="100"/>
      <c r="AB80" s="197"/>
      <c r="AC80" s="116"/>
      <c r="AD80" s="116"/>
      <c r="AE80" s="114"/>
    </row>
    <row r="81" spans="1:32" ht="12.95" customHeight="1" x14ac:dyDescent="0.35">
      <c r="A81" s="219">
        <v>523119</v>
      </c>
      <c r="B81" s="211" t="s">
        <v>103</v>
      </c>
      <c r="C81" s="105"/>
      <c r="D81" s="105"/>
      <c r="E81" s="111"/>
      <c r="F81" s="111"/>
      <c r="G81" s="137"/>
      <c r="H81" s="107"/>
      <c r="I81" s="108"/>
      <c r="J81" s="109"/>
      <c r="K81" s="110"/>
      <c r="L81" s="111"/>
      <c r="M81" s="111"/>
      <c r="N81" s="111"/>
      <c r="O81" s="111"/>
      <c r="P81" s="111"/>
      <c r="Q81" s="135"/>
      <c r="R81" s="188"/>
      <c r="S81" s="113"/>
      <c r="T81" s="195"/>
      <c r="U81" s="198"/>
      <c r="V81" s="198"/>
      <c r="W81" s="198"/>
      <c r="X81" s="198"/>
      <c r="Y81" s="116"/>
      <c r="Z81" s="195"/>
      <c r="AA81" s="100"/>
      <c r="AB81" s="197"/>
      <c r="AC81" s="116"/>
      <c r="AD81" s="116"/>
      <c r="AE81" s="114"/>
    </row>
    <row r="82" spans="1:32" ht="12.95" customHeight="1" x14ac:dyDescent="0.35">
      <c r="A82" s="132"/>
      <c r="B82" s="194" t="s">
        <v>82</v>
      </c>
      <c r="C82" s="111" t="s">
        <v>104</v>
      </c>
      <c r="D82" s="105"/>
      <c r="E82" s="111"/>
      <c r="F82" s="111"/>
      <c r="G82" s="137"/>
      <c r="H82" s="107"/>
      <c r="I82" s="108"/>
      <c r="J82" s="109"/>
      <c r="K82" s="110"/>
      <c r="L82" s="111"/>
      <c r="M82" s="111"/>
      <c r="N82" s="111"/>
      <c r="O82" s="134">
        <v>70</v>
      </c>
      <c r="P82" s="111" t="s">
        <v>105</v>
      </c>
      <c r="Q82" s="200">
        <v>10000</v>
      </c>
      <c r="R82" s="151">
        <f>O82*15000</f>
        <v>1050000</v>
      </c>
      <c r="S82" s="85">
        <f t="shared" ref="S82" si="42">+R82/$R$184*100</f>
        <v>4.6892103057231141E-2</v>
      </c>
      <c r="T82" s="99"/>
      <c r="U82" s="87"/>
      <c r="V82" s="87"/>
      <c r="W82" s="87"/>
      <c r="X82" s="87"/>
      <c r="Y82" s="88">
        <v>0</v>
      </c>
      <c r="Z82" s="99">
        <f t="shared" ref="Z82" si="43">+Y82/R82*100</f>
        <v>0</v>
      </c>
      <c r="AA82" s="100">
        <f t="shared" ref="AA82" si="44">Z82</f>
        <v>0</v>
      </c>
      <c r="AB82" s="99">
        <f t="shared" ref="AB82" si="45">AA82*S82/100</f>
        <v>0</v>
      </c>
      <c r="AC82" s="88"/>
      <c r="AD82" s="88">
        <f t="shared" ref="AD82" si="46">+R82-Y82</f>
        <v>1050000</v>
      </c>
      <c r="AE82" s="86"/>
    </row>
    <row r="83" spans="1:32" ht="12.95" customHeight="1" x14ac:dyDescent="0.35">
      <c r="A83" s="219">
        <v>523121</v>
      </c>
      <c r="B83" s="211" t="s">
        <v>106</v>
      </c>
      <c r="C83" s="105"/>
      <c r="D83" s="105"/>
      <c r="E83" s="111"/>
      <c r="F83" s="111"/>
      <c r="G83" s="137"/>
      <c r="H83" s="107"/>
      <c r="I83" s="108"/>
      <c r="J83" s="109"/>
      <c r="K83" s="110"/>
      <c r="L83" s="111"/>
      <c r="M83" s="111"/>
      <c r="N83" s="111"/>
      <c r="O83" s="182"/>
      <c r="P83" s="140"/>
      <c r="Q83" s="183"/>
      <c r="R83" s="201"/>
      <c r="S83" s="113"/>
      <c r="T83" s="195"/>
      <c r="U83" s="198"/>
      <c r="V83" s="198"/>
      <c r="W83" s="198"/>
      <c r="X83" s="198"/>
      <c r="Y83" s="116"/>
      <c r="Z83" s="195"/>
      <c r="AA83" s="100"/>
      <c r="AB83" s="197"/>
      <c r="AC83" s="116"/>
      <c r="AD83" s="116"/>
      <c r="AE83" s="114"/>
    </row>
    <row r="84" spans="1:32" ht="12.95" customHeight="1" x14ac:dyDescent="0.35">
      <c r="A84" s="132"/>
      <c r="B84" s="194" t="s">
        <v>82</v>
      </c>
      <c r="C84" s="111" t="s">
        <v>107</v>
      </c>
      <c r="D84" s="105"/>
      <c r="E84" s="111"/>
      <c r="F84" s="111"/>
      <c r="G84" s="137"/>
      <c r="H84" s="107"/>
      <c r="I84" s="108"/>
      <c r="J84" s="109"/>
      <c r="K84" s="110"/>
      <c r="L84" s="111"/>
      <c r="M84" s="111"/>
      <c r="N84" s="111"/>
      <c r="O84" s="182">
        <v>12</v>
      </c>
      <c r="P84" s="111" t="s">
        <v>88</v>
      </c>
      <c r="Q84" s="183">
        <v>600000</v>
      </c>
      <c r="R84" s="151">
        <f>O84*1500000</f>
        <v>18000000</v>
      </c>
      <c r="S84" s="85">
        <f t="shared" ref="S84:S85" si="47">+R84/$R$184*100</f>
        <v>0.80386462383824819</v>
      </c>
      <c r="T84" s="99"/>
      <c r="U84" s="87"/>
      <c r="V84" s="87"/>
      <c r="W84" s="87"/>
      <c r="X84" s="87"/>
      <c r="Y84" s="88">
        <v>0</v>
      </c>
      <c r="Z84" s="99">
        <f t="shared" ref="Z84:Z85" si="48">+Y84/R84*100</f>
        <v>0</v>
      </c>
      <c r="AA84" s="100">
        <f t="shared" ref="AA84:AA85" si="49">Z84</f>
        <v>0</v>
      </c>
      <c r="AB84" s="99">
        <f t="shared" ref="AB84:AB85" si="50">AA84*S84/100</f>
        <v>0</v>
      </c>
      <c r="AC84" s="88"/>
      <c r="AD84" s="88">
        <f t="shared" ref="AD84:AD85" si="51">+R84-Y84</f>
        <v>18000000</v>
      </c>
      <c r="AE84" s="86"/>
    </row>
    <row r="85" spans="1:32" ht="12.95" customHeight="1" x14ac:dyDescent="0.35">
      <c r="A85" s="132"/>
      <c r="B85" s="194" t="s">
        <v>82</v>
      </c>
      <c r="C85" s="111" t="s">
        <v>108</v>
      </c>
      <c r="D85" s="105"/>
      <c r="E85" s="111"/>
      <c r="F85" s="111"/>
      <c r="G85" s="137"/>
      <c r="H85" s="107"/>
      <c r="I85" s="108"/>
      <c r="J85" s="109"/>
      <c r="K85" s="110"/>
      <c r="L85" s="111"/>
      <c r="M85" s="111"/>
      <c r="N85" s="111"/>
      <c r="O85" s="182">
        <v>12</v>
      </c>
      <c r="P85" s="111" t="s">
        <v>88</v>
      </c>
      <c r="Q85" s="183">
        <v>1000000</v>
      </c>
      <c r="R85" s="151">
        <f>O85*500000</f>
        <v>6000000</v>
      </c>
      <c r="S85" s="85">
        <f t="shared" si="47"/>
        <v>0.26795487461274942</v>
      </c>
      <c r="T85" s="99"/>
      <c r="U85" s="87"/>
      <c r="V85" s="87"/>
      <c r="W85" s="87"/>
      <c r="X85" s="87"/>
      <c r="Y85" s="88">
        <v>0</v>
      </c>
      <c r="Z85" s="99">
        <f t="shared" si="48"/>
        <v>0</v>
      </c>
      <c r="AA85" s="100">
        <f t="shared" si="49"/>
        <v>0</v>
      </c>
      <c r="AB85" s="99">
        <f t="shared" si="50"/>
        <v>0</v>
      </c>
      <c r="AC85" s="88"/>
      <c r="AD85" s="88">
        <f t="shared" si="51"/>
        <v>6000000</v>
      </c>
      <c r="AE85" s="114"/>
    </row>
    <row r="86" spans="1:32" ht="12.95" customHeight="1" x14ac:dyDescent="0.35">
      <c r="A86" s="333">
        <v>532111</v>
      </c>
      <c r="B86" s="334" t="s">
        <v>170</v>
      </c>
      <c r="C86" s="335"/>
      <c r="D86" s="336"/>
      <c r="E86" s="337"/>
      <c r="F86" s="337"/>
      <c r="G86" s="338"/>
      <c r="H86" s="339"/>
      <c r="I86" s="340"/>
      <c r="J86" s="341"/>
      <c r="K86" s="342"/>
      <c r="L86" s="337"/>
      <c r="M86" s="337"/>
      <c r="N86" s="337"/>
      <c r="O86" s="343"/>
      <c r="P86" s="337"/>
      <c r="Q86" s="344"/>
      <c r="R86" s="345"/>
      <c r="S86" s="346"/>
      <c r="T86" s="347"/>
      <c r="U86" s="348"/>
      <c r="V86" s="348"/>
      <c r="W86" s="348"/>
      <c r="X86" s="348"/>
      <c r="Y86" s="349"/>
      <c r="Z86" s="347"/>
      <c r="AA86" s="350"/>
      <c r="AB86" s="351"/>
      <c r="AC86" s="349"/>
      <c r="AD86" s="349"/>
      <c r="AE86" s="352"/>
    </row>
    <row r="87" spans="1:32" ht="12.95" customHeight="1" x14ac:dyDescent="0.35">
      <c r="A87" s="333"/>
      <c r="B87" s="353" t="s">
        <v>82</v>
      </c>
      <c r="C87" s="335" t="s">
        <v>235</v>
      </c>
      <c r="D87" s="336"/>
      <c r="E87" s="337"/>
      <c r="F87" s="337"/>
      <c r="G87" s="338"/>
      <c r="H87" s="339"/>
      <c r="I87" s="340"/>
      <c r="J87" s="341"/>
      <c r="K87" s="342"/>
      <c r="L87" s="337"/>
      <c r="M87" s="337"/>
      <c r="N87" s="337"/>
      <c r="O87" s="343">
        <v>1</v>
      </c>
      <c r="P87" s="337" t="s">
        <v>127</v>
      </c>
      <c r="Q87" s="344"/>
      <c r="R87" s="345">
        <f>O87*12000000</f>
        <v>12000000</v>
      </c>
      <c r="S87" s="346">
        <f t="shared" ref="S87:S91" si="52">+R87/$R$184*100</f>
        <v>0.53590974922549883</v>
      </c>
      <c r="T87" s="347"/>
      <c r="U87" s="354"/>
      <c r="V87" s="354"/>
      <c r="W87" s="354"/>
      <c r="X87" s="354"/>
      <c r="Y87" s="349">
        <v>0</v>
      </c>
      <c r="Z87" s="347">
        <f t="shared" ref="Z87:Z91" si="53">+Y87/R87*100</f>
        <v>0</v>
      </c>
      <c r="AA87" s="350">
        <f t="shared" ref="AA87:AA91" si="54">Z87</f>
        <v>0</v>
      </c>
      <c r="AB87" s="347">
        <f t="shared" ref="AB87:AB91" si="55">AA87*S87/100</f>
        <v>0</v>
      </c>
      <c r="AC87" s="349"/>
      <c r="AD87" s="349">
        <f t="shared" ref="AD87:AD91" si="56">+R87-Y87</f>
        <v>12000000</v>
      </c>
      <c r="AE87" s="352"/>
    </row>
    <row r="88" spans="1:32" ht="12.95" customHeight="1" x14ac:dyDescent="0.35">
      <c r="A88" s="333"/>
      <c r="B88" s="353" t="s">
        <v>82</v>
      </c>
      <c r="C88" s="335" t="s">
        <v>236</v>
      </c>
      <c r="D88" s="336"/>
      <c r="E88" s="337"/>
      <c r="F88" s="337"/>
      <c r="G88" s="338"/>
      <c r="H88" s="339"/>
      <c r="I88" s="340"/>
      <c r="J88" s="341"/>
      <c r="K88" s="342"/>
      <c r="L88" s="337"/>
      <c r="M88" s="337"/>
      <c r="N88" s="337"/>
      <c r="O88" s="343">
        <v>1</v>
      </c>
      <c r="P88" s="337" t="s">
        <v>127</v>
      </c>
      <c r="Q88" s="344"/>
      <c r="R88" s="345">
        <f>O88*3300000</f>
        <v>3300000</v>
      </c>
      <c r="S88" s="346">
        <f t="shared" si="52"/>
        <v>0.14737518103701217</v>
      </c>
      <c r="T88" s="347"/>
      <c r="U88" s="354"/>
      <c r="V88" s="354"/>
      <c r="W88" s="354"/>
      <c r="X88" s="354"/>
      <c r="Y88" s="349">
        <v>0</v>
      </c>
      <c r="Z88" s="347">
        <f t="shared" si="53"/>
        <v>0</v>
      </c>
      <c r="AA88" s="350">
        <f t="shared" si="54"/>
        <v>0</v>
      </c>
      <c r="AB88" s="347">
        <f t="shared" si="55"/>
        <v>0</v>
      </c>
      <c r="AC88" s="349"/>
      <c r="AD88" s="349">
        <f t="shared" si="56"/>
        <v>3300000</v>
      </c>
      <c r="AE88" s="352"/>
    </row>
    <row r="89" spans="1:32" ht="12.95" customHeight="1" x14ac:dyDescent="0.35">
      <c r="A89" s="333"/>
      <c r="B89" s="353" t="s">
        <v>82</v>
      </c>
      <c r="C89" s="335" t="s">
        <v>237</v>
      </c>
      <c r="D89" s="336"/>
      <c r="E89" s="337"/>
      <c r="F89" s="337"/>
      <c r="G89" s="338"/>
      <c r="H89" s="339"/>
      <c r="I89" s="340"/>
      <c r="J89" s="341"/>
      <c r="K89" s="342"/>
      <c r="L89" s="337"/>
      <c r="M89" s="337"/>
      <c r="N89" s="337"/>
      <c r="O89" s="343">
        <v>1</v>
      </c>
      <c r="P89" s="337" t="s">
        <v>127</v>
      </c>
      <c r="Q89" s="344"/>
      <c r="R89" s="345">
        <f>O89*8700000</f>
        <v>8700000</v>
      </c>
      <c r="S89" s="346">
        <f t="shared" si="52"/>
        <v>0.38853456818848658</v>
      </c>
      <c r="T89" s="347"/>
      <c r="U89" s="354"/>
      <c r="V89" s="354"/>
      <c r="W89" s="354"/>
      <c r="X89" s="354"/>
      <c r="Y89" s="349">
        <v>0</v>
      </c>
      <c r="Z89" s="347">
        <f t="shared" si="53"/>
        <v>0</v>
      </c>
      <c r="AA89" s="350">
        <f t="shared" si="54"/>
        <v>0</v>
      </c>
      <c r="AB89" s="347">
        <f t="shared" si="55"/>
        <v>0</v>
      </c>
      <c r="AC89" s="349"/>
      <c r="AD89" s="349">
        <f t="shared" si="56"/>
        <v>8700000</v>
      </c>
      <c r="AE89" s="352"/>
    </row>
    <row r="90" spans="1:32" ht="12.95" customHeight="1" x14ac:dyDescent="0.35">
      <c r="A90" s="333"/>
      <c r="B90" s="353" t="s">
        <v>82</v>
      </c>
      <c r="C90" s="335" t="s">
        <v>238</v>
      </c>
      <c r="D90" s="336"/>
      <c r="E90" s="337"/>
      <c r="F90" s="337"/>
      <c r="G90" s="338"/>
      <c r="H90" s="339"/>
      <c r="I90" s="340"/>
      <c r="J90" s="341"/>
      <c r="K90" s="342"/>
      <c r="L90" s="337"/>
      <c r="M90" s="337"/>
      <c r="N90" s="337"/>
      <c r="O90" s="343">
        <v>10</v>
      </c>
      <c r="P90" s="337" t="s">
        <v>127</v>
      </c>
      <c r="Q90" s="344"/>
      <c r="R90" s="345">
        <f>O90*600000</f>
        <v>6000000</v>
      </c>
      <c r="S90" s="346">
        <f t="shared" si="52"/>
        <v>0.26795487461274942</v>
      </c>
      <c r="T90" s="347"/>
      <c r="U90" s="354"/>
      <c r="V90" s="354"/>
      <c r="W90" s="354"/>
      <c r="X90" s="354"/>
      <c r="Y90" s="349">
        <v>0</v>
      </c>
      <c r="Z90" s="347">
        <f t="shared" si="53"/>
        <v>0</v>
      </c>
      <c r="AA90" s="350">
        <f t="shared" si="54"/>
        <v>0</v>
      </c>
      <c r="AB90" s="347">
        <f t="shared" si="55"/>
        <v>0</v>
      </c>
      <c r="AC90" s="349"/>
      <c r="AD90" s="349">
        <f t="shared" si="56"/>
        <v>6000000</v>
      </c>
      <c r="AE90" s="352"/>
    </row>
    <row r="91" spans="1:32" ht="12.95" customHeight="1" x14ac:dyDescent="0.35">
      <c r="A91" s="333"/>
      <c r="B91" s="353" t="s">
        <v>82</v>
      </c>
      <c r="C91" s="335" t="s">
        <v>239</v>
      </c>
      <c r="D91" s="336"/>
      <c r="E91" s="337"/>
      <c r="F91" s="337"/>
      <c r="G91" s="338"/>
      <c r="H91" s="339"/>
      <c r="I91" s="340"/>
      <c r="J91" s="341"/>
      <c r="K91" s="342"/>
      <c r="L91" s="337"/>
      <c r="M91" s="337"/>
      <c r="N91" s="337"/>
      <c r="O91" s="343">
        <v>1</v>
      </c>
      <c r="P91" s="337" t="s">
        <v>127</v>
      </c>
      <c r="Q91" s="344"/>
      <c r="R91" s="345">
        <f>O91*2000000</f>
        <v>2000000</v>
      </c>
      <c r="S91" s="346">
        <f t="shared" si="52"/>
        <v>8.9318291537583125E-2</v>
      </c>
      <c r="T91" s="347"/>
      <c r="U91" s="354"/>
      <c r="V91" s="354"/>
      <c r="W91" s="354"/>
      <c r="X91" s="354"/>
      <c r="Y91" s="349">
        <v>0</v>
      </c>
      <c r="Z91" s="347">
        <f t="shared" si="53"/>
        <v>0</v>
      </c>
      <c r="AA91" s="350">
        <f t="shared" si="54"/>
        <v>0</v>
      </c>
      <c r="AB91" s="347">
        <f t="shared" si="55"/>
        <v>0</v>
      </c>
      <c r="AC91" s="349"/>
      <c r="AD91" s="349">
        <f t="shared" si="56"/>
        <v>2000000</v>
      </c>
      <c r="AE91" s="352"/>
    </row>
    <row r="92" spans="1:32" ht="12.95" customHeight="1" x14ac:dyDescent="0.35">
      <c r="A92" s="132"/>
      <c r="B92" s="194"/>
      <c r="C92" s="111"/>
      <c r="D92" s="105"/>
      <c r="E92" s="111"/>
      <c r="F92" s="111"/>
      <c r="G92" s="137"/>
      <c r="H92" s="107"/>
      <c r="I92" s="108"/>
      <c r="J92" s="109"/>
      <c r="K92" s="110"/>
      <c r="L92" s="111"/>
      <c r="M92" s="111"/>
      <c r="N92" s="111"/>
      <c r="O92" s="182"/>
      <c r="P92" s="111"/>
      <c r="Q92" s="183"/>
      <c r="R92" s="151"/>
      <c r="S92" s="113"/>
      <c r="T92" s="195"/>
      <c r="U92" s="196"/>
      <c r="V92" s="196"/>
      <c r="W92" s="196"/>
      <c r="X92" s="196"/>
      <c r="Y92" s="116"/>
      <c r="Z92" s="195"/>
      <c r="AA92" s="202"/>
      <c r="AB92" s="197"/>
      <c r="AC92" s="116"/>
      <c r="AD92" s="116"/>
      <c r="AE92" s="114"/>
    </row>
    <row r="93" spans="1:32" ht="12.95" customHeight="1" x14ac:dyDescent="0.35">
      <c r="A93" s="287" t="s">
        <v>240</v>
      </c>
      <c r="B93" s="288" t="s">
        <v>109</v>
      </c>
      <c r="C93" s="278"/>
      <c r="D93" s="278"/>
      <c r="E93" s="81"/>
      <c r="F93" s="81"/>
      <c r="G93" s="289"/>
      <c r="H93" s="77"/>
      <c r="I93" s="78"/>
      <c r="J93" s="79"/>
      <c r="K93" s="80"/>
      <c r="L93" s="81"/>
      <c r="M93" s="81"/>
      <c r="N93" s="81"/>
      <c r="O93" s="185"/>
      <c r="P93" s="81"/>
      <c r="Q93" s="186"/>
      <c r="R93" s="173"/>
      <c r="S93" s="85"/>
      <c r="T93" s="99"/>
      <c r="U93" s="145"/>
      <c r="V93" s="145"/>
      <c r="W93" s="145"/>
      <c r="X93" s="145"/>
      <c r="Y93" s="88"/>
      <c r="Z93" s="99"/>
      <c r="AA93" s="100"/>
      <c r="AB93" s="184">
        <f t="shared" ref="AB93:AB112" si="57">AA93*S93/100</f>
        <v>0</v>
      </c>
      <c r="AC93" s="88"/>
      <c r="AD93" s="88"/>
      <c r="AE93" s="86"/>
      <c r="AF93" s="90"/>
    </row>
    <row r="94" spans="1:32" ht="12.95" customHeight="1" x14ac:dyDescent="0.35">
      <c r="A94" s="132"/>
      <c r="B94" s="104"/>
      <c r="C94" s="105"/>
      <c r="D94" s="105"/>
      <c r="E94" s="111"/>
      <c r="F94" s="111"/>
      <c r="G94" s="137"/>
      <c r="H94" s="107"/>
      <c r="I94" s="108"/>
      <c r="J94" s="109"/>
      <c r="K94" s="110"/>
      <c r="L94" s="111"/>
      <c r="M94" s="111"/>
      <c r="N94" s="111"/>
      <c r="O94" s="134"/>
      <c r="P94" s="111"/>
      <c r="Q94" s="135"/>
      <c r="R94" s="133"/>
      <c r="S94" s="113"/>
      <c r="T94" s="195"/>
      <c r="U94" s="198"/>
      <c r="V94" s="198"/>
      <c r="W94" s="198"/>
      <c r="X94" s="198"/>
      <c r="Y94" s="116"/>
      <c r="Z94" s="195"/>
      <c r="AA94" s="202"/>
      <c r="AB94" s="197">
        <f t="shared" si="57"/>
        <v>0</v>
      </c>
      <c r="AC94" s="116"/>
      <c r="AD94" s="116"/>
      <c r="AE94" s="114"/>
    </row>
    <row r="95" spans="1:32" ht="12.95" customHeight="1" x14ac:dyDescent="0.35">
      <c r="A95" s="132" t="s">
        <v>110</v>
      </c>
      <c r="B95" s="104" t="s">
        <v>241</v>
      </c>
      <c r="C95" s="105"/>
      <c r="D95" s="105"/>
      <c r="E95" s="111"/>
      <c r="F95" s="111"/>
      <c r="G95" s="137"/>
      <c r="H95" s="107"/>
      <c r="I95" s="108"/>
      <c r="J95" s="109"/>
      <c r="K95" s="110"/>
      <c r="L95" s="111"/>
      <c r="M95" s="111"/>
      <c r="N95" s="111"/>
      <c r="O95" s="134"/>
      <c r="P95" s="111"/>
      <c r="Q95" s="135"/>
      <c r="R95" s="203"/>
      <c r="S95" s="113"/>
      <c r="T95" s="195"/>
      <c r="U95" s="196"/>
      <c r="V95" s="196"/>
      <c r="W95" s="196"/>
      <c r="X95" s="196"/>
      <c r="Y95" s="116"/>
      <c r="Z95" s="195"/>
      <c r="AA95" s="202"/>
      <c r="AB95" s="197"/>
      <c r="AC95" s="88"/>
      <c r="AD95" s="116"/>
      <c r="AE95" s="114"/>
    </row>
    <row r="96" spans="1:32" ht="12.95" customHeight="1" x14ac:dyDescent="0.35">
      <c r="A96" s="219">
        <v>511111</v>
      </c>
      <c r="B96" s="211" t="s">
        <v>242</v>
      </c>
      <c r="C96" s="232"/>
      <c r="D96" s="105"/>
      <c r="E96" s="111"/>
      <c r="F96" s="111"/>
      <c r="G96" s="111"/>
      <c r="H96" s="107"/>
      <c r="I96" s="108"/>
      <c r="J96" s="109"/>
      <c r="K96" s="110"/>
      <c r="L96" s="111"/>
      <c r="M96" s="111"/>
      <c r="N96" s="111"/>
      <c r="O96" s="134">
        <v>1</v>
      </c>
      <c r="P96" s="111" t="s">
        <v>111</v>
      </c>
      <c r="Q96" s="135"/>
      <c r="R96" s="203">
        <f>O96*806705000</f>
        <v>806705000</v>
      </c>
      <c r="S96" s="85">
        <f t="shared" ref="S96:S106" si="58">+R96/$R$184*100</f>
        <v>36.026756187413</v>
      </c>
      <c r="T96" s="99"/>
      <c r="U96" s="87"/>
      <c r="V96" s="87"/>
      <c r="W96" s="87"/>
      <c r="X96" s="87"/>
      <c r="Y96" s="88">
        <v>560821520</v>
      </c>
      <c r="Z96" s="99">
        <f t="shared" ref="Z96:Z106" si="59">+Y96/R96*100</f>
        <v>69.520025288054484</v>
      </c>
      <c r="AA96" s="100">
        <f>4/14*100</f>
        <v>28.571428571428569</v>
      </c>
      <c r="AB96" s="99">
        <f t="shared" ref="AB96:AB106" si="60">AA96*S96/100</f>
        <v>10.293358910689427</v>
      </c>
      <c r="AC96" s="88"/>
      <c r="AD96" s="88">
        <f t="shared" ref="AD96:AD106" si="61">+R96-Y96</f>
        <v>245883480</v>
      </c>
      <c r="AE96" s="86"/>
    </row>
    <row r="97" spans="1:31" ht="12.95" customHeight="1" x14ac:dyDescent="0.35">
      <c r="A97" s="219">
        <v>511121</v>
      </c>
      <c r="B97" s="211" t="s">
        <v>243</v>
      </c>
      <c r="C97" s="232"/>
      <c r="D97" s="105"/>
      <c r="E97" s="111"/>
      <c r="F97" s="111"/>
      <c r="G97" s="111"/>
      <c r="H97" s="107"/>
      <c r="I97" s="108"/>
      <c r="J97" s="109"/>
      <c r="K97" s="110"/>
      <c r="L97" s="111"/>
      <c r="M97" s="111"/>
      <c r="N97" s="111"/>
      <c r="O97" s="134">
        <v>1</v>
      </c>
      <c r="P97" s="111" t="s">
        <v>111</v>
      </c>
      <c r="Q97" s="135"/>
      <c r="R97" s="107">
        <f>O97*47273000</f>
        <v>47273000</v>
      </c>
      <c r="S97" s="85">
        <f t="shared" si="58"/>
        <v>2.1111717979280837</v>
      </c>
      <c r="T97" s="99"/>
      <c r="U97" s="87"/>
      <c r="V97" s="87"/>
      <c r="W97" s="87"/>
      <c r="X97" s="87"/>
      <c r="Y97" s="88">
        <v>32425130</v>
      </c>
      <c r="Z97" s="99">
        <f t="shared" si="59"/>
        <v>68.591225435237874</v>
      </c>
      <c r="AA97" s="100">
        <f>4/14*Z97</f>
        <v>19.597492981496533</v>
      </c>
      <c r="AB97" s="99">
        <f t="shared" si="60"/>
        <v>0.41373674492629037</v>
      </c>
      <c r="AC97" s="88"/>
      <c r="AD97" s="88">
        <f t="shared" si="61"/>
        <v>14847870</v>
      </c>
      <c r="AE97" s="114"/>
    </row>
    <row r="98" spans="1:31" ht="12.95" customHeight="1" x14ac:dyDescent="0.35">
      <c r="A98" s="219">
        <v>511122</v>
      </c>
      <c r="B98" s="211" t="s">
        <v>244</v>
      </c>
      <c r="C98" s="232"/>
      <c r="D98" s="105"/>
      <c r="E98" s="111"/>
      <c r="F98" s="111"/>
      <c r="G98" s="111"/>
      <c r="H98" s="107"/>
      <c r="I98" s="108"/>
      <c r="J98" s="109"/>
      <c r="K98" s="110"/>
      <c r="L98" s="111"/>
      <c r="M98" s="111"/>
      <c r="N98" s="111"/>
      <c r="O98" s="134">
        <v>1</v>
      </c>
      <c r="P98" s="111" t="s">
        <v>111</v>
      </c>
      <c r="Q98" s="135"/>
      <c r="R98" s="107">
        <f>O98*16142000</f>
        <v>16142000</v>
      </c>
      <c r="S98" s="85">
        <f t="shared" si="58"/>
        <v>0.72088793099983339</v>
      </c>
      <c r="T98" s="99"/>
      <c r="U98" s="87"/>
      <c r="V98" s="87"/>
      <c r="W98" s="87"/>
      <c r="X98" s="87"/>
      <c r="Y98" s="88">
        <v>10257544</v>
      </c>
      <c r="Z98" s="99">
        <f t="shared" si="59"/>
        <v>63.545682071614415</v>
      </c>
      <c r="AA98" s="100">
        <f>4/14*Z98</f>
        <v>18.155909163318402</v>
      </c>
      <c r="AB98" s="99">
        <f t="shared" si="60"/>
        <v>0.13088375792165519</v>
      </c>
      <c r="AC98" s="88"/>
      <c r="AD98" s="88">
        <f t="shared" si="61"/>
        <v>5884456</v>
      </c>
      <c r="AE98" s="114"/>
    </row>
    <row r="99" spans="1:31" ht="12.95" customHeight="1" x14ac:dyDescent="0.35">
      <c r="A99" s="219">
        <v>511123</v>
      </c>
      <c r="B99" s="211" t="s">
        <v>245</v>
      </c>
      <c r="C99" s="232"/>
      <c r="D99" s="105"/>
      <c r="E99" s="111"/>
      <c r="F99" s="111"/>
      <c r="G99" s="111"/>
      <c r="H99" s="107"/>
      <c r="I99" s="108"/>
      <c r="J99" s="109"/>
      <c r="K99" s="110"/>
      <c r="L99" s="111"/>
      <c r="M99" s="111"/>
      <c r="N99" s="111"/>
      <c r="O99" s="134">
        <v>1</v>
      </c>
      <c r="P99" s="111" t="s">
        <v>111</v>
      </c>
      <c r="Q99" s="135"/>
      <c r="R99" s="107">
        <f>O99*27440000</f>
        <v>27440000</v>
      </c>
      <c r="S99" s="85">
        <f t="shared" si="58"/>
        <v>1.2254469598956406</v>
      </c>
      <c r="T99" s="99"/>
      <c r="U99" s="87"/>
      <c r="V99" s="87"/>
      <c r="W99" s="87"/>
      <c r="X99" s="87"/>
      <c r="Y99" s="88">
        <v>17640000</v>
      </c>
      <c r="Z99" s="99">
        <f t="shared" si="59"/>
        <v>64.285714285714292</v>
      </c>
      <c r="AA99" s="100">
        <f>4/14*Z99</f>
        <v>18.367346938775512</v>
      </c>
      <c r="AB99" s="99">
        <f t="shared" si="60"/>
        <v>0.22508209467470952</v>
      </c>
      <c r="AC99" s="88"/>
      <c r="AD99" s="88">
        <f t="shared" si="61"/>
        <v>9800000</v>
      </c>
      <c r="AE99" s="114"/>
    </row>
    <row r="100" spans="1:31" ht="12.95" customHeight="1" x14ac:dyDescent="0.35">
      <c r="A100" s="219">
        <v>511124</v>
      </c>
      <c r="B100" s="211" t="s">
        <v>246</v>
      </c>
      <c r="C100" s="232"/>
      <c r="D100" s="105"/>
      <c r="E100" s="111"/>
      <c r="F100" s="111"/>
      <c r="G100" s="111"/>
      <c r="H100" s="107"/>
      <c r="I100" s="108"/>
      <c r="J100" s="109"/>
      <c r="K100" s="110"/>
      <c r="L100" s="111"/>
      <c r="M100" s="111"/>
      <c r="N100" s="111"/>
      <c r="O100" s="134">
        <v>1</v>
      </c>
      <c r="P100" s="111" t="s">
        <v>111</v>
      </c>
      <c r="Q100" s="135"/>
      <c r="R100" s="107">
        <f>O100*27860000</f>
        <v>27860000</v>
      </c>
      <c r="S100" s="85">
        <f t="shared" si="58"/>
        <v>1.244203801118533</v>
      </c>
      <c r="T100" s="99"/>
      <c r="U100" s="87"/>
      <c r="V100" s="87"/>
      <c r="W100" s="87"/>
      <c r="X100" s="87"/>
      <c r="Y100" s="88">
        <v>15300000</v>
      </c>
      <c r="Z100" s="99">
        <f t="shared" si="59"/>
        <v>54.917444364680549</v>
      </c>
      <c r="AA100" s="100">
        <f>4/14*Z100</f>
        <v>15.690698389908727</v>
      </c>
      <c r="AB100" s="99">
        <f t="shared" si="60"/>
        <v>0.19522426578928884</v>
      </c>
      <c r="AC100" s="88"/>
      <c r="AD100" s="88">
        <f t="shared" si="61"/>
        <v>12560000</v>
      </c>
      <c r="AE100" s="114"/>
    </row>
    <row r="101" spans="1:31" ht="12.95" customHeight="1" x14ac:dyDescent="0.35">
      <c r="A101" s="219">
        <v>511125</v>
      </c>
      <c r="B101" s="211" t="s">
        <v>247</v>
      </c>
      <c r="C101" s="232"/>
      <c r="D101" s="105"/>
      <c r="E101" s="111"/>
      <c r="F101" s="111"/>
      <c r="G101" s="111"/>
      <c r="H101" s="107"/>
      <c r="I101" s="108"/>
      <c r="J101" s="109"/>
      <c r="K101" s="110"/>
      <c r="L101" s="111"/>
      <c r="M101" s="111"/>
      <c r="N101" s="111"/>
      <c r="O101" s="134">
        <v>1</v>
      </c>
      <c r="P101" s="111" t="s">
        <v>111</v>
      </c>
      <c r="Q101" s="135"/>
      <c r="R101" s="107">
        <f>O101*4525000</f>
        <v>4525000</v>
      </c>
      <c r="S101" s="85">
        <f t="shared" si="58"/>
        <v>0.20208263460378181</v>
      </c>
      <c r="T101" s="99"/>
      <c r="U101" s="87"/>
      <c r="V101" s="87"/>
      <c r="W101" s="87"/>
      <c r="X101" s="87"/>
      <c r="Y101" s="88">
        <v>92000</v>
      </c>
      <c r="Z101" s="99">
        <f t="shared" si="59"/>
        <v>2.0331491712707184</v>
      </c>
      <c r="AA101" s="100">
        <f t="shared" ref="AA101" si="62">1/14*Z101</f>
        <v>0.1452249408050513</v>
      </c>
      <c r="AB101" s="99">
        <f t="shared" si="60"/>
        <v>2.9347438648063027E-4</v>
      </c>
      <c r="AC101" s="88"/>
      <c r="AD101" s="88">
        <f t="shared" si="61"/>
        <v>4433000</v>
      </c>
      <c r="AE101" s="114"/>
    </row>
    <row r="102" spans="1:31" ht="12.95" customHeight="1" x14ac:dyDescent="0.35">
      <c r="A102" s="219">
        <v>511126</v>
      </c>
      <c r="B102" s="211" t="s">
        <v>248</v>
      </c>
      <c r="C102" s="232"/>
      <c r="D102" s="105"/>
      <c r="E102" s="111"/>
      <c r="F102" s="111"/>
      <c r="G102" s="111"/>
      <c r="H102" s="107"/>
      <c r="I102" s="108"/>
      <c r="J102" s="109"/>
      <c r="K102" s="110"/>
      <c r="L102" s="111"/>
      <c r="M102" s="111"/>
      <c r="N102" s="111"/>
      <c r="O102" s="134">
        <v>1</v>
      </c>
      <c r="P102" s="111" t="s">
        <v>111</v>
      </c>
      <c r="Q102" s="135"/>
      <c r="R102" s="107">
        <f>O102*42792000</f>
        <v>42792000</v>
      </c>
      <c r="S102" s="85">
        <f t="shared" si="58"/>
        <v>1.9110541657381286</v>
      </c>
      <c r="T102" s="99"/>
      <c r="U102" s="87"/>
      <c r="V102" s="87"/>
      <c r="W102" s="87"/>
      <c r="X102" s="87"/>
      <c r="Y102" s="88">
        <v>26578140</v>
      </c>
      <c r="Z102" s="99">
        <f t="shared" si="59"/>
        <v>62.110067302299498</v>
      </c>
      <c r="AA102" s="100">
        <f>4/14*Z102</f>
        <v>17.745733514942714</v>
      </c>
      <c r="AB102" s="99">
        <f t="shared" si="60"/>
        <v>0.33913057957809994</v>
      </c>
      <c r="AC102" s="88"/>
      <c r="AD102" s="88">
        <f t="shared" si="61"/>
        <v>16213860</v>
      </c>
      <c r="AE102" s="114"/>
    </row>
    <row r="103" spans="1:31" ht="12.95" customHeight="1" x14ac:dyDescent="0.35">
      <c r="A103" s="307">
        <v>511129</v>
      </c>
      <c r="B103" s="308" t="s">
        <v>249</v>
      </c>
      <c r="C103" s="309"/>
      <c r="D103" s="310"/>
      <c r="E103" s="310"/>
      <c r="F103" s="310"/>
      <c r="G103" s="310"/>
      <c r="H103" s="311"/>
      <c r="I103" s="312"/>
      <c r="J103" s="313"/>
      <c r="K103" s="314"/>
      <c r="L103" s="310"/>
      <c r="M103" s="310"/>
      <c r="N103" s="310"/>
      <c r="O103" s="315">
        <v>1</v>
      </c>
      <c r="P103" s="310" t="s">
        <v>111</v>
      </c>
      <c r="Q103" s="316"/>
      <c r="R103" s="311">
        <f>O103*146160000</f>
        <v>146160000</v>
      </c>
      <c r="S103" s="317">
        <f t="shared" si="58"/>
        <v>6.5273807455665747</v>
      </c>
      <c r="T103" s="318"/>
      <c r="U103" s="319"/>
      <c r="V103" s="319"/>
      <c r="W103" s="319"/>
      <c r="X103" s="319"/>
      <c r="Y103" s="320">
        <v>50604000</v>
      </c>
      <c r="Z103" s="318">
        <f t="shared" si="59"/>
        <v>34.622331691297212</v>
      </c>
      <c r="AA103" s="100">
        <f>4/14*Z103</f>
        <v>9.8920947689420604</v>
      </c>
      <c r="AB103" s="318">
        <f t="shared" si="60"/>
        <v>0.64569468928112239</v>
      </c>
      <c r="AC103" s="320"/>
      <c r="AD103" s="320">
        <f t="shared" si="61"/>
        <v>95556000</v>
      </c>
      <c r="AE103" s="321"/>
    </row>
    <row r="104" spans="1:31" ht="12.95" customHeight="1" x14ac:dyDescent="0.35">
      <c r="A104" s="219">
        <v>511151</v>
      </c>
      <c r="B104" s="211" t="s">
        <v>250</v>
      </c>
      <c r="C104" s="232"/>
      <c r="D104" s="105"/>
      <c r="E104" s="111"/>
      <c r="F104" s="111"/>
      <c r="G104" s="111"/>
      <c r="H104" s="107"/>
      <c r="I104" s="108"/>
      <c r="J104" s="109"/>
      <c r="K104" s="110"/>
      <c r="L104" s="111"/>
      <c r="M104" s="111"/>
      <c r="N104" s="111"/>
      <c r="O104" s="134">
        <v>1</v>
      </c>
      <c r="P104" s="111" t="s">
        <v>111</v>
      </c>
      <c r="Q104" s="135"/>
      <c r="R104" s="107">
        <f>O104*35736000</f>
        <v>35736000</v>
      </c>
      <c r="S104" s="85">
        <f t="shared" si="58"/>
        <v>1.5959392331935354</v>
      </c>
      <c r="T104" s="99"/>
      <c r="U104" s="87"/>
      <c r="V104" s="87"/>
      <c r="W104" s="87"/>
      <c r="X104" s="87"/>
      <c r="Y104" s="88">
        <v>14430000</v>
      </c>
      <c r="Z104" s="99">
        <f t="shared" si="59"/>
        <v>40.379449294828746</v>
      </c>
      <c r="AA104" s="100">
        <f>4/14*Z104</f>
        <v>11.536985512808211</v>
      </c>
      <c r="AB104" s="99">
        <f t="shared" si="60"/>
        <v>0.18412327812676066</v>
      </c>
      <c r="AC104" s="88"/>
      <c r="AD104" s="88">
        <f t="shared" si="61"/>
        <v>21306000</v>
      </c>
      <c r="AE104" s="114"/>
    </row>
    <row r="105" spans="1:31" ht="12.95" customHeight="1" x14ac:dyDescent="0.35">
      <c r="A105" s="307">
        <v>512211</v>
      </c>
      <c r="B105" s="308" t="s">
        <v>251</v>
      </c>
      <c r="C105" s="309"/>
      <c r="D105" s="309"/>
      <c r="E105" s="309"/>
      <c r="F105" s="309"/>
      <c r="G105" s="309"/>
      <c r="H105" s="322"/>
      <c r="I105" s="323"/>
      <c r="J105" s="324"/>
      <c r="K105" s="325"/>
      <c r="L105" s="309"/>
      <c r="M105" s="309"/>
      <c r="N105" s="309"/>
      <c r="O105" s="326">
        <v>1</v>
      </c>
      <c r="P105" s="309" t="s">
        <v>111</v>
      </c>
      <c r="Q105" s="327"/>
      <c r="R105" s="322">
        <f>O105*4320000</f>
        <v>4320000</v>
      </c>
      <c r="S105" s="328">
        <f t="shared" si="58"/>
        <v>0.19292750972117956</v>
      </c>
      <c r="T105" s="329"/>
      <c r="U105" s="330"/>
      <c r="V105" s="330"/>
      <c r="W105" s="330"/>
      <c r="X105" s="330"/>
      <c r="Y105" s="331">
        <v>0</v>
      </c>
      <c r="Z105" s="329">
        <f t="shared" si="59"/>
        <v>0</v>
      </c>
      <c r="AA105" s="100">
        <f>1/14*Z105</f>
        <v>0</v>
      </c>
      <c r="AB105" s="329">
        <f t="shared" si="60"/>
        <v>0</v>
      </c>
      <c r="AC105" s="331"/>
      <c r="AD105" s="331">
        <f t="shared" si="61"/>
        <v>4320000</v>
      </c>
      <c r="AE105" s="332"/>
    </row>
    <row r="106" spans="1:31" ht="12.95" customHeight="1" x14ac:dyDescent="0.35">
      <c r="A106" s="219">
        <v>511119</v>
      </c>
      <c r="B106" s="211" t="s">
        <v>262</v>
      </c>
      <c r="C106" s="232"/>
      <c r="D106" s="105"/>
      <c r="E106" s="111"/>
      <c r="F106" s="111"/>
      <c r="G106" s="111"/>
      <c r="H106" s="107"/>
      <c r="I106" s="108"/>
      <c r="J106" s="109"/>
      <c r="K106" s="110"/>
      <c r="L106" s="111"/>
      <c r="M106" s="111"/>
      <c r="N106" s="111"/>
      <c r="O106" s="134">
        <v>1</v>
      </c>
      <c r="P106" s="111" t="s">
        <v>111</v>
      </c>
      <c r="Q106" s="135"/>
      <c r="R106" s="107">
        <f>O106*17000</f>
        <v>17000</v>
      </c>
      <c r="S106" s="85">
        <f t="shared" si="58"/>
        <v>7.5920547806945663E-4</v>
      </c>
      <c r="T106" s="99"/>
      <c r="U106" s="87"/>
      <c r="V106" s="87"/>
      <c r="W106" s="87"/>
      <c r="X106" s="87"/>
      <c r="Y106" s="88">
        <v>6716</v>
      </c>
      <c r="Z106" s="99">
        <f t="shared" si="59"/>
        <v>39.505882352941171</v>
      </c>
      <c r="AA106" s="100">
        <f>4/14*Z106</f>
        <v>11.28739495798319</v>
      </c>
      <c r="AB106" s="99">
        <f t="shared" si="60"/>
        <v>8.5694520852344026E-5</v>
      </c>
      <c r="AC106" s="88"/>
      <c r="AD106" s="88">
        <f t="shared" si="61"/>
        <v>10284</v>
      </c>
      <c r="AE106" s="114"/>
    </row>
    <row r="107" spans="1:31" ht="12.95" customHeight="1" x14ac:dyDescent="0.35">
      <c r="A107" s="204"/>
      <c r="B107" s="205"/>
      <c r="C107" s="206"/>
      <c r="D107" s="111"/>
      <c r="E107" s="111"/>
      <c r="F107" s="111"/>
      <c r="G107" s="111"/>
      <c r="H107" s="107"/>
      <c r="I107" s="108"/>
      <c r="J107" s="109"/>
      <c r="K107" s="110"/>
      <c r="L107" s="111"/>
      <c r="M107" s="111"/>
      <c r="N107" s="111"/>
      <c r="O107" s="133"/>
      <c r="P107" s="108"/>
      <c r="Q107" s="114"/>
      <c r="R107" s="133"/>
      <c r="S107" s="113"/>
      <c r="T107" s="195"/>
      <c r="U107" s="198"/>
      <c r="V107" s="198"/>
      <c r="W107" s="198"/>
      <c r="X107" s="198"/>
      <c r="Y107" s="116"/>
      <c r="Z107" s="195"/>
      <c r="AA107" s="202"/>
      <c r="AB107" s="197">
        <f t="shared" si="57"/>
        <v>0</v>
      </c>
      <c r="AC107" s="88"/>
      <c r="AD107" s="116"/>
      <c r="AE107" s="114"/>
    </row>
    <row r="108" spans="1:31" ht="12.95" hidden="1" customHeight="1" x14ac:dyDescent="0.35">
      <c r="A108" s="135"/>
      <c r="B108" s="133"/>
      <c r="C108" s="111"/>
      <c r="D108" s="111"/>
      <c r="E108" s="111"/>
      <c r="F108" s="111"/>
      <c r="G108" s="111"/>
      <c r="H108" s="107"/>
      <c r="I108" s="108"/>
      <c r="J108" s="109"/>
      <c r="K108" s="110"/>
      <c r="L108" s="111"/>
      <c r="M108" s="111"/>
      <c r="N108" s="111"/>
      <c r="O108" s="133"/>
      <c r="P108" s="108"/>
      <c r="Q108" s="114"/>
      <c r="R108" s="133"/>
      <c r="S108" s="113"/>
      <c r="T108" s="195"/>
      <c r="U108" s="198"/>
      <c r="V108" s="198"/>
      <c r="W108" s="198"/>
      <c r="X108" s="198"/>
      <c r="Y108" s="116"/>
      <c r="Z108" s="195"/>
      <c r="AA108" s="202"/>
      <c r="AB108" s="197">
        <f t="shared" si="57"/>
        <v>0</v>
      </c>
      <c r="AC108" s="88"/>
      <c r="AD108" s="116"/>
      <c r="AE108" s="114"/>
    </row>
    <row r="109" spans="1:31" ht="12.95" customHeight="1" x14ac:dyDescent="0.35">
      <c r="A109" s="132" t="s">
        <v>112</v>
      </c>
      <c r="B109" s="104" t="s">
        <v>252</v>
      </c>
      <c r="C109" s="111"/>
      <c r="D109" s="111"/>
      <c r="E109" s="111"/>
      <c r="F109" s="111"/>
      <c r="G109" s="111"/>
      <c r="H109" s="107"/>
      <c r="I109" s="108"/>
      <c r="J109" s="109"/>
      <c r="K109" s="110"/>
      <c r="L109" s="111"/>
      <c r="M109" s="111"/>
      <c r="N109" s="111"/>
      <c r="O109" s="134"/>
      <c r="P109" s="111"/>
      <c r="Q109" s="207"/>
      <c r="R109" s="136"/>
      <c r="S109" s="113"/>
      <c r="T109" s="195"/>
      <c r="U109" s="198"/>
      <c r="V109" s="198"/>
      <c r="W109" s="198"/>
      <c r="X109" s="198"/>
      <c r="Y109" s="116"/>
      <c r="Z109" s="195"/>
      <c r="AA109" s="202"/>
      <c r="AB109" s="197">
        <f t="shared" si="57"/>
        <v>0</v>
      </c>
      <c r="AC109" s="88"/>
      <c r="AD109" s="116"/>
      <c r="AE109" s="114"/>
    </row>
    <row r="110" spans="1:31" ht="12.95" customHeight="1" x14ac:dyDescent="0.35">
      <c r="A110" s="208" t="s">
        <v>14</v>
      </c>
      <c r="B110" s="104" t="s">
        <v>253</v>
      </c>
      <c r="C110" s="105"/>
      <c r="D110" s="105"/>
      <c r="E110" s="111"/>
      <c r="F110" s="111"/>
      <c r="G110" s="111"/>
      <c r="H110" s="107"/>
      <c r="I110" s="108"/>
      <c r="J110" s="109"/>
      <c r="K110" s="110"/>
      <c r="L110" s="111"/>
      <c r="M110" s="111"/>
      <c r="N110" s="111"/>
      <c r="O110" s="134"/>
      <c r="P110" s="111"/>
      <c r="Q110" s="207"/>
      <c r="R110" s="209"/>
      <c r="S110" s="113"/>
      <c r="T110" s="195"/>
      <c r="U110" s="198"/>
      <c r="V110" s="198"/>
      <c r="W110" s="198"/>
      <c r="X110" s="198"/>
      <c r="Y110" s="116"/>
      <c r="Z110" s="195"/>
      <c r="AA110" s="202"/>
      <c r="AB110" s="197">
        <f t="shared" si="57"/>
        <v>0</v>
      </c>
      <c r="AC110" s="88"/>
      <c r="AD110" s="116"/>
      <c r="AE110" s="114"/>
    </row>
    <row r="111" spans="1:31" s="28" customFormat="1" ht="12.95" customHeight="1" x14ac:dyDescent="0.35">
      <c r="A111" s="210">
        <v>521113</v>
      </c>
      <c r="B111" s="211" t="s">
        <v>113</v>
      </c>
      <c r="C111" s="105"/>
      <c r="D111" s="105"/>
      <c r="E111" s="105"/>
      <c r="F111" s="105"/>
      <c r="G111" s="106"/>
      <c r="H111" s="188"/>
      <c r="I111" s="171"/>
      <c r="J111" s="170"/>
      <c r="K111" s="189"/>
      <c r="L111" s="105"/>
      <c r="M111" s="105"/>
      <c r="N111" s="105"/>
      <c r="O111" s="112"/>
      <c r="P111" s="105"/>
      <c r="Q111" s="212"/>
      <c r="R111" s="213"/>
      <c r="S111" s="113"/>
      <c r="T111" s="190"/>
      <c r="U111" s="191"/>
      <c r="V111" s="191"/>
      <c r="W111" s="191"/>
      <c r="X111" s="191"/>
      <c r="Y111" s="192"/>
      <c r="Z111" s="190"/>
      <c r="AA111" s="214"/>
      <c r="AB111" s="193">
        <f t="shared" si="57"/>
        <v>0</v>
      </c>
      <c r="AC111" s="177"/>
      <c r="AD111" s="192"/>
      <c r="AE111" s="179"/>
    </row>
    <row r="112" spans="1:31" ht="12.95" customHeight="1" x14ac:dyDescent="0.35">
      <c r="A112" s="135"/>
      <c r="B112" s="215" t="s">
        <v>82</v>
      </c>
      <c r="C112" s="216" t="s">
        <v>114</v>
      </c>
      <c r="D112" s="111"/>
      <c r="E112" s="217"/>
      <c r="F112" s="217"/>
      <c r="G112" s="218"/>
      <c r="H112" s="107"/>
      <c r="I112" s="108"/>
      <c r="J112" s="109"/>
      <c r="K112" s="110"/>
      <c r="L112" s="111"/>
      <c r="M112" s="111"/>
      <c r="N112" s="111"/>
      <c r="O112" s="134">
        <v>22</v>
      </c>
      <c r="P112" s="111" t="s">
        <v>115</v>
      </c>
      <c r="Q112" s="207">
        <v>210000</v>
      </c>
      <c r="R112" s="107">
        <f>O112*264000</f>
        <v>5808000</v>
      </c>
      <c r="S112" s="85">
        <f t="shared" ref="S112" si="63">+R112/$R$184*100</f>
        <v>0.25938031862514138</v>
      </c>
      <c r="T112" s="99"/>
      <c r="U112" s="87"/>
      <c r="V112" s="87"/>
      <c r="W112" s="87"/>
      <c r="X112" s="87"/>
      <c r="Y112" s="88">
        <v>4752000</v>
      </c>
      <c r="Z112" s="99">
        <f t="shared" ref="Z112" si="64">+Y112/R112*100</f>
        <v>81.818181818181827</v>
      </c>
      <c r="AA112" s="100">
        <f t="shared" ref="AA112" si="65">Z112</f>
        <v>81.818181818181827</v>
      </c>
      <c r="AB112" s="99">
        <f t="shared" si="57"/>
        <v>0.2122202606932975</v>
      </c>
      <c r="AC112" s="88"/>
      <c r="AD112" s="88">
        <f t="shared" ref="AD112" si="66">+R112-Y112</f>
        <v>1056000</v>
      </c>
      <c r="AE112" s="86"/>
    </row>
    <row r="113" spans="1:31" ht="12.95" customHeight="1" x14ac:dyDescent="0.35">
      <c r="A113" s="135"/>
      <c r="B113" s="215"/>
      <c r="C113" s="216"/>
      <c r="D113" s="111"/>
      <c r="E113" s="217"/>
      <c r="F113" s="217"/>
      <c r="G113" s="218"/>
      <c r="H113" s="107"/>
      <c r="I113" s="108"/>
      <c r="J113" s="109"/>
      <c r="K113" s="110"/>
      <c r="L113" s="111"/>
      <c r="M113" s="111"/>
      <c r="N113" s="111"/>
      <c r="O113" s="134"/>
      <c r="P113" s="111"/>
      <c r="Q113" s="207"/>
      <c r="R113" s="107"/>
      <c r="S113" s="113"/>
      <c r="T113" s="195"/>
      <c r="U113" s="198"/>
      <c r="V113" s="198"/>
      <c r="W113" s="198"/>
      <c r="X113" s="198"/>
      <c r="Y113" s="116"/>
      <c r="Z113" s="195"/>
      <c r="AA113" s="202"/>
      <c r="AB113" s="197"/>
      <c r="AC113" s="116"/>
      <c r="AD113" s="116"/>
      <c r="AE113" s="114"/>
    </row>
    <row r="114" spans="1:31" ht="12.95" customHeight="1" x14ac:dyDescent="0.35">
      <c r="A114" s="103" t="s">
        <v>116</v>
      </c>
      <c r="B114" s="104" t="s">
        <v>254</v>
      </c>
      <c r="C114" s="105"/>
      <c r="D114" s="105"/>
      <c r="E114" s="111"/>
      <c r="F114" s="111"/>
      <c r="G114" s="137"/>
      <c r="H114" s="107"/>
      <c r="I114" s="108"/>
      <c r="J114" s="109"/>
      <c r="K114" s="110"/>
      <c r="L114" s="111"/>
      <c r="M114" s="111"/>
      <c r="N114" s="111"/>
      <c r="O114" s="134"/>
      <c r="P114" s="111"/>
      <c r="Q114" s="207"/>
      <c r="R114" s="170"/>
      <c r="S114" s="113"/>
      <c r="T114" s="195"/>
      <c r="U114" s="198"/>
      <c r="V114" s="198"/>
      <c r="W114" s="198"/>
      <c r="X114" s="198"/>
      <c r="Y114" s="116"/>
      <c r="Z114" s="195"/>
      <c r="AA114" s="202"/>
      <c r="AB114" s="197"/>
      <c r="AC114" s="116"/>
      <c r="AD114" s="116"/>
      <c r="AE114" s="114"/>
    </row>
    <row r="115" spans="1:31" s="28" customFormat="1" ht="12.95" customHeight="1" x14ac:dyDescent="0.35">
      <c r="A115" s="219">
        <v>521119</v>
      </c>
      <c r="B115" s="211" t="s">
        <v>117</v>
      </c>
      <c r="C115" s="105"/>
      <c r="D115" s="105"/>
      <c r="E115" s="105"/>
      <c r="F115" s="105"/>
      <c r="G115" s="106"/>
      <c r="H115" s="188"/>
      <c r="I115" s="171"/>
      <c r="J115" s="170"/>
      <c r="K115" s="189"/>
      <c r="L115" s="105"/>
      <c r="M115" s="105"/>
      <c r="N115" s="105"/>
      <c r="O115" s="112"/>
      <c r="P115" s="105"/>
      <c r="Q115" s="212"/>
      <c r="R115" s="213"/>
      <c r="S115" s="113"/>
      <c r="T115" s="190"/>
      <c r="U115" s="191"/>
      <c r="V115" s="191"/>
      <c r="W115" s="191"/>
      <c r="X115" s="191"/>
      <c r="Y115" s="192"/>
      <c r="Z115" s="190"/>
      <c r="AA115" s="214"/>
      <c r="AB115" s="193"/>
      <c r="AC115" s="192"/>
      <c r="AD115" s="192"/>
      <c r="AE115" s="179"/>
    </row>
    <row r="116" spans="1:31" ht="12.95" customHeight="1" x14ac:dyDescent="0.35">
      <c r="A116" s="135"/>
      <c r="B116" s="215" t="s">
        <v>82</v>
      </c>
      <c r="C116" s="140" t="s">
        <v>118</v>
      </c>
      <c r="D116" s="111"/>
      <c r="E116" s="217"/>
      <c r="F116" s="217"/>
      <c r="G116" s="218"/>
      <c r="H116" s="107"/>
      <c r="I116" s="108"/>
      <c r="J116" s="109"/>
      <c r="K116" s="110"/>
      <c r="L116" s="111"/>
      <c r="M116" s="111"/>
      <c r="N116" s="111"/>
      <c r="O116" s="220">
        <v>22</v>
      </c>
      <c r="P116" s="221" t="s">
        <v>115</v>
      </c>
      <c r="Q116" s="222"/>
      <c r="R116" s="107">
        <f>O116*400000</f>
        <v>8800000</v>
      </c>
      <c r="S116" s="85">
        <f t="shared" ref="S116:S117" si="67">+R116/$R$184*100</f>
        <v>0.39300048276536576</v>
      </c>
      <c r="T116" s="99"/>
      <c r="U116" s="87"/>
      <c r="V116" s="87"/>
      <c r="W116" s="87"/>
      <c r="X116" s="87"/>
      <c r="Y116" s="88">
        <f>18*400000</f>
        <v>7200000</v>
      </c>
      <c r="Z116" s="99">
        <f t="shared" ref="Z116:Z117" si="68">+Y116/R116*100</f>
        <v>81.818181818181827</v>
      </c>
      <c r="AA116" s="100">
        <f t="shared" ref="AA116:AA117" si="69">Z116</f>
        <v>81.818181818181827</v>
      </c>
      <c r="AB116" s="99">
        <f t="shared" ref="AB116:AB117" si="70">AA116*S116/100</f>
        <v>0.32154584953529924</v>
      </c>
      <c r="AC116" s="88"/>
      <c r="AD116" s="88">
        <f t="shared" ref="AD116:AD117" si="71">+R116-Y116</f>
        <v>1600000</v>
      </c>
      <c r="AE116" s="86"/>
    </row>
    <row r="117" spans="1:31" ht="12.95" customHeight="1" x14ac:dyDescent="0.35">
      <c r="A117" s="135"/>
      <c r="B117" s="215" t="s">
        <v>82</v>
      </c>
      <c r="C117" s="111" t="s">
        <v>119</v>
      </c>
      <c r="D117" s="111"/>
      <c r="E117" s="217"/>
      <c r="F117" s="217"/>
      <c r="G117" s="218"/>
      <c r="H117" s="107"/>
      <c r="I117" s="108"/>
      <c r="J117" s="109"/>
      <c r="K117" s="110"/>
      <c r="L117" s="111"/>
      <c r="M117" s="111"/>
      <c r="N117" s="111"/>
      <c r="O117" s="220">
        <v>3</v>
      </c>
      <c r="P117" s="221" t="s">
        <v>115</v>
      </c>
      <c r="Q117" s="222"/>
      <c r="R117" s="107">
        <f>O117*450000</f>
        <v>1350000</v>
      </c>
      <c r="S117" s="85">
        <f t="shared" si="67"/>
        <v>6.0289846787868612E-2</v>
      </c>
      <c r="T117" s="99"/>
      <c r="U117" s="87"/>
      <c r="V117" s="87"/>
      <c r="W117" s="87"/>
      <c r="X117" s="87"/>
      <c r="Y117" s="88">
        <v>1350000</v>
      </c>
      <c r="Z117" s="99">
        <f t="shared" si="68"/>
        <v>100</v>
      </c>
      <c r="AA117" s="100">
        <f t="shared" si="69"/>
        <v>100</v>
      </c>
      <c r="AB117" s="99">
        <f t="shared" si="70"/>
        <v>6.0289846787868612E-2</v>
      </c>
      <c r="AC117" s="88"/>
      <c r="AD117" s="88">
        <f t="shared" si="71"/>
        <v>0</v>
      </c>
      <c r="AE117" s="114"/>
    </row>
    <row r="118" spans="1:31" s="28" customFormat="1" ht="12.95" customHeight="1" x14ac:dyDescent="0.35">
      <c r="A118" s="219"/>
      <c r="B118" s="211"/>
      <c r="C118" s="105"/>
      <c r="D118" s="105"/>
      <c r="E118" s="105"/>
      <c r="F118" s="105"/>
      <c r="G118" s="106"/>
      <c r="H118" s="188"/>
      <c r="I118" s="171"/>
      <c r="J118" s="170"/>
      <c r="K118" s="189"/>
      <c r="L118" s="105"/>
      <c r="M118" s="105"/>
      <c r="N118" s="105"/>
      <c r="O118" s="112"/>
      <c r="P118" s="105"/>
      <c r="Q118" s="212"/>
      <c r="R118" s="213"/>
      <c r="S118" s="113"/>
      <c r="T118" s="190"/>
      <c r="U118" s="191"/>
      <c r="V118" s="191"/>
      <c r="W118" s="191"/>
      <c r="X118" s="191"/>
      <c r="Y118" s="192"/>
      <c r="Z118" s="190"/>
      <c r="AA118" s="214"/>
      <c r="AB118" s="193"/>
      <c r="AC118" s="192"/>
      <c r="AD118" s="192"/>
      <c r="AE118" s="179"/>
    </row>
    <row r="119" spans="1:31" ht="12.95" customHeight="1" x14ac:dyDescent="0.35">
      <c r="A119" s="103" t="s">
        <v>120</v>
      </c>
      <c r="B119" s="104" t="s">
        <v>255</v>
      </c>
      <c r="C119" s="105"/>
      <c r="D119" s="105"/>
      <c r="E119" s="105"/>
      <c r="F119" s="105"/>
      <c r="G119" s="106"/>
      <c r="H119" s="107"/>
      <c r="I119" s="108"/>
      <c r="J119" s="109"/>
      <c r="K119" s="110"/>
      <c r="L119" s="111"/>
      <c r="M119" s="111"/>
      <c r="N119" s="111"/>
      <c r="O119" s="134"/>
      <c r="P119" s="111"/>
      <c r="Q119" s="207"/>
      <c r="R119" s="170"/>
      <c r="S119" s="113"/>
      <c r="T119" s="195"/>
      <c r="U119" s="198"/>
      <c r="V119" s="198"/>
      <c r="W119" s="198"/>
      <c r="X119" s="198"/>
      <c r="Y119" s="116"/>
      <c r="Z119" s="195"/>
      <c r="AA119" s="202"/>
      <c r="AB119" s="197"/>
      <c r="AC119" s="116"/>
      <c r="AD119" s="116"/>
      <c r="AE119" s="114"/>
    </row>
    <row r="120" spans="1:31" s="28" customFormat="1" ht="12.95" customHeight="1" x14ac:dyDescent="0.35">
      <c r="A120" s="210">
        <v>523111</v>
      </c>
      <c r="B120" s="211" t="s">
        <v>121</v>
      </c>
      <c r="C120" s="105"/>
      <c r="D120" s="105"/>
      <c r="E120" s="105"/>
      <c r="F120" s="105"/>
      <c r="G120" s="106"/>
      <c r="H120" s="188"/>
      <c r="I120" s="171"/>
      <c r="J120" s="170"/>
      <c r="K120" s="189"/>
      <c r="L120" s="105"/>
      <c r="M120" s="105"/>
      <c r="N120" s="105"/>
      <c r="O120" s="112"/>
      <c r="P120" s="105"/>
      <c r="Q120" s="212"/>
      <c r="R120" s="170"/>
      <c r="S120" s="113"/>
      <c r="T120" s="190"/>
      <c r="U120" s="191"/>
      <c r="V120" s="191"/>
      <c r="W120" s="191"/>
      <c r="X120" s="191"/>
      <c r="Y120" s="192"/>
      <c r="Z120" s="190"/>
      <c r="AA120" s="214"/>
      <c r="AB120" s="193"/>
      <c r="AC120" s="192"/>
      <c r="AD120" s="192"/>
      <c r="AE120" s="179"/>
    </row>
    <row r="121" spans="1:31" ht="12.95" customHeight="1" x14ac:dyDescent="0.35">
      <c r="A121" s="135"/>
      <c r="B121" s="223" t="s">
        <v>82</v>
      </c>
      <c r="C121" s="111" t="s">
        <v>122</v>
      </c>
      <c r="D121" s="111"/>
      <c r="E121" s="111"/>
      <c r="F121" s="111"/>
      <c r="G121" s="137"/>
      <c r="H121" s="107"/>
      <c r="I121" s="108"/>
      <c r="J121" s="109"/>
      <c r="K121" s="110"/>
      <c r="L121" s="111"/>
      <c r="M121" s="111"/>
      <c r="N121" s="111"/>
      <c r="O121" s="107">
        <v>229</v>
      </c>
      <c r="P121" s="108" t="s">
        <v>105</v>
      </c>
      <c r="Q121" s="207"/>
      <c r="R121" s="107">
        <f>O121*119000</f>
        <v>27251000</v>
      </c>
      <c r="S121" s="85">
        <f t="shared" ref="S121:S122" si="72">+R121/$R$184*100</f>
        <v>1.2170063813453389</v>
      </c>
      <c r="T121" s="99"/>
      <c r="U121" s="87"/>
      <c r="V121" s="87"/>
      <c r="W121" s="87"/>
      <c r="X121" s="87"/>
      <c r="Y121" s="88">
        <v>24400000</v>
      </c>
      <c r="Z121" s="99">
        <f t="shared" ref="Z121:Z122" si="73">+Y121/R121*100</f>
        <v>89.537998605555757</v>
      </c>
      <c r="AA121" s="100">
        <f t="shared" ref="AA121:AA122" si="74">Z121</f>
        <v>89.537998605555757</v>
      </c>
      <c r="AB121" s="99">
        <f t="shared" ref="AB121:AB122" si="75">AA121*S121/100</f>
        <v>1.0896831567585141</v>
      </c>
      <c r="AC121" s="88"/>
      <c r="AD121" s="88">
        <f t="shared" ref="AD121:AD122" si="76">+R121-Y121</f>
        <v>2851000</v>
      </c>
      <c r="AE121" s="86"/>
    </row>
    <row r="122" spans="1:31" ht="12.95" customHeight="1" x14ac:dyDescent="0.35">
      <c r="A122" s="135"/>
      <c r="B122" s="223" t="s">
        <v>82</v>
      </c>
      <c r="C122" s="140" t="s">
        <v>123</v>
      </c>
      <c r="D122" s="111"/>
      <c r="E122" s="111"/>
      <c r="F122" s="111"/>
      <c r="G122" s="137"/>
      <c r="H122" s="107"/>
      <c r="I122" s="108"/>
      <c r="J122" s="109"/>
      <c r="K122" s="110"/>
      <c r="L122" s="111"/>
      <c r="M122" s="111"/>
      <c r="N122" s="111"/>
      <c r="O122" s="107">
        <v>680</v>
      </c>
      <c r="P122" s="108" t="s">
        <v>105</v>
      </c>
      <c r="Q122" s="207"/>
      <c r="R122" s="107">
        <f>O122*13000</f>
        <v>8840000</v>
      </c>
      <c r="S122" s="85">
        <f t="shared" si="72"/>
        <v>0.39478684859611746</v>
      </c>
      <c r="T122" s="99"/>
      <c r="U122" s="87"/>
      <c r="V122" s="87"/>
      <c r="W122" s="87"/>
      <c r="X122" s="87"/>
      <c r="Y122" s="88">
        <v>0</v>
      </c>
      <c r="Z122" s="99">
        <f t="shared" si="73"/>
        <v>0</v>
      </c>
      <c r="AA122" s="100">
        <f t="shared" si="74"/>
        <v>0</v>
      </c>
      <c r="AB122" s="99">
        <f t="shared" si="75"/>
        <v>0</v>
      </c>
      <c r="AC122" s="88"/>
      <c r="AD122" s="88">
        <f t="shared" si="76"/>
        <v>8840000</v>
      </c>
      <c r="AE122" s="114"/>
    </row>
    <row r="123" spans="1:31" ht="12.95" customHeight="1" x14ac:dyDescent="0.35">
      <c r="A123" s="135"/>
      <c r="B123" s="223"/>
      <c r="C123" s="111"/>
      <c r="D123" s="111"/>
      <c r="E123" s="111"/>
      <c r="F123" s="111"/>
      <c r="G123" s="137"/>
      <c r="H123" s="107"/>
      <c r="I123" s="108"/>
      <c r="J123" s="109"/>
      <c r="K123" s="110"/>
      <c r="L123" s="111"/>
      <c r="M123" s="111"/>
      <c r="N123" s="111"/>
      <c r="O123" s="134"/>
      <c r="P123" s="111"/>
      <c r="Q123" s="207"/>
      <c r="R123" s="107"/>
      <c r="S123" s="113"/>
      <c r="T123" s="195"/>
      <c r="U123" s="198"/>
      <c r="V123" s="198"/>
      <c r="W123" s="198"/>
      <c r="X123" s="198"/>
      <c r="Y123" s="116"/>
      <c r="Z123" s="195"/>
      <c r="AA123" s="202"/>
      <c r="AB123" s="197"/>
      <c r="AC123" s="116"/>
      <c r="AD123" s="116"/>
      <c r="AE123" s="114"/>
    </row>
    <row r="124" spans="1:31" ht="12.95" customHeight="1" x14ac:dyDescent="0.35">
      <c r="A124" s="103" t="s">
        <v>124</v>
      </c>
      <c r="B124" s="104" t="s">
        <v>256</v>
      </c>
      <c r="C124" s="105"/>
      <c r="D124" s="105"/>
      <c r="E124" s="105"/>
      <c r="F124" s="105"/>
      <c r="G124" s="106"/>
      <c r="H124" s="107"/>
      <c r="I124" s="108"/>
      <c r="J124" s="109"/>
      <c r="K124" s="110"/>
      <c r="L124" s="111"/>
      <c r="M124" s="111"/>
      <c r="N124" s="111"/>
      <c r="O124" s="134"/>
      <c r="P124" s="111"/>
      <c r="Q124" s="207"/>
      <c r="R124" s="170"/>
      <c r="S124" s="113"/>
      <c r="T124" s="195"/>
      <c r="U124" s="198"/>
      <c r="V124" s="198"/>
      <c r="W124" s="198"/>
      <c r="X124" s="198"/>
      <c r="Y124" s="116"/>
      <c r="Z124" s="195"/>
      <c r="AA124" s="202"/>
      <c r="AB124" s="197"/>
      <c r="AC124" s="116"/>
      <c r="AD124" s="116"/>
      <c r="AE124" s="114"/>
    </row>
    <row r="125" spans="1:31" s="28" customFormat="1" ht="12.95" customHeight="1" x14ac:dyDescent="0.35">
      <c r="A125" s="210">
        <v>523121</v>
      </c>
      <c r="B125" s="211" t="s">
        <v>125</v>
      </c>
      <c r="C125" s="105"/>
      <c r="D125" s="105"/>
      <c r="E125" s="105"/>
      <c r="F125" s="105"/>
      <c r="G125" s="106"/>
      <c r="H125" s="188"/>
      <c r="I125" s="171"/>
      <c r="J125" s="170"/>
      <c r="K125" s="189"/>
      <c r="L125" s="105"/>
      <c r="M125" s="105"/>
      <c r="N125" s="105"/>
      <c r="O125" s="112"/>
      <c r="P125" s="105"/>
      <c r="Q125" s="212"/>
      <c r="R125" s="170"/>
      <c r="S125" s="113"/>
      <c r="T125" s="190"/>
      <c r="U125" s="191"/>
      <c r="V125" s="191"/>
      <c r="W125" s="191"/>
      <c r="X125" s="191"/>
      <c r="Y125" s="192"/>
      <c r="Z125" s="190"/>
      <c r="AA125" s="214"/>
      <c r="AB125" s="193"/>
      <c r="AC125" s="192"/>
      <c r="AD125" s="192"/>
      <c r="AE125" s="179"/>
    </row>
    <row r="126" spans="1:31" ht="12.95" customHeight="1" x14ac:dyDescent="0.35">
      <c r="A126" s="135"/>
      <c r="B126" s="215" t="s">
        <v>82</v>
      </c>
      <c r="C126" s="111" t="s">
        <v>126</v>
      </c>
      <c r="D126" s="111"/>
      <c r="E126" s="111"/>
      <c r="F126" s="111"/>
      <c r="G126" s="137"/>
      <c r="H126" s="107"/>
      <c r="I126" s="108"/>
      <c r="J126" s="109"/>
      <c r="K126" s="110"/>
      <c r="L126" s="111"/>
      <c r="M126" s="111"/>
      <c r="N126" s="111"/>
      <c r="O126" s="134">
        <v>8</v>
      </c>
      <c r="P126" s="111" t="s">
        <v>127</v>
      </c>
      <c r="Q126" s="207"/>
      <c r="R126" s="107">
        <f>O126*420000</f>
        <v>3360000</v>
      </c>
      <c r="S126" s="85">
        <f t="shared" ref="S126:S137" si="77">+R126/$R$184*100</f>
        <v>0.15005472978313966</v>
      </c>
      <c r="T126" s="99"/>
      <c r="U126" s="87"/>
      <c r="V126" s="87"/>
      <c r="W126" s="87"/>
      <c r="X126" s="87"/>
      <c r="Y126" s="88">
        <f>303000+800000</f>
        <v>1103000</v>
      </c>
      <c r="Z126" s="99">
        <f t="shared" ref="Z126:Z137" si="78">+Y126/R126*100</f>
        <v>32.827380952380949</v>
      </c>
      <c r="AA126" s="100">
        <f t="shared" ref="AA126:AA135" si="79">Z126</f>
        <v>32.827380952380949</v>
      </c>
      <c r="AB126" s="99">
        <f t="shared" ref="AB126:AB137" si="80">AA126*S126/100</f>
        <v>4.9259037782977091E-2</v>
      </c>
      <c r="AC126" s="88"/>
      <c r="AD126" s="88">
        <f t="shared" ref="AD126:AD137" si="81">+R126-Y126</f>
        <v>2257000</v>
      </c>
      <c r="AE126" s="86"/>
    </row>
    <row r="127" spans="1:31" ht="12.95" customHeight="1" x14ac:dyDescent="0.35">
      <c r="A127" s="135"/>
      <c r="B127" s="215" t="s">
        <v>82</v>
      </c>
      <c r="C127" s="111" t="s">
        <v>128</v>
      </c>
      <c r="D127" s="111"/>
      <c r="E127" s="111"/>
      <c r="F127" s="111"/>
      <c r="G127" s="137"/>
      <c r="H127" s="107"/>
      <c r="I127" s="108"/>
      <c r="J127" s="109"/>
      <c r="K127" s="110"/>
      <c r="L127" s="111"/>
      <c r="M127" s="111"/>
      <c r="N127" s="111"/>
      <c r="O127" s="134">
        <v>3</v>
      </c>
      <c r="P127" s="111" t="s">
        <v>127</v>
      </c>
      <c r="Q127" s="207"/>
      <c r="R127" s="107">
        <f>O127*500000</f>
        <v>1500000</v>
      </c>
      <c r="S127" s="85">
        <f t="shared" si="77"/>
        <v>6.6988718653187354E-2</v>
      </c>
      <c r="T127" s="99"/>
      <c r="U127" s="87"/>
      <c r="V127" s="87"/>
      <c r="W127" s="87"/>
      <c r="X127" s="87"/>
      <c r="Y127" s="88">
        <v>0</v>
      </c>
      <c r="Z127" s="99">
        <f t="shared" si="78"/>
        <v>0</v>
      </c>
      <c r="AA127" s="100">
        <f t="shared" si="79"/>
        <v>0</v>
      </c>
      <c r="AB127" s="99">
        <f t="shared" si="80"/>
        <v>0</v>
      </c>
      <c r="AC127" s="88"/>
      <c r="AD127" s="88">
        <f t="shared" si="81"/>
        <v>1500000</v>
      </c>
      <c r="AE127" s="114"/>
    </row>
    <row r="128" spans="1:31" ht="12.95" customHeight="1" x14ac:dyDescent="0.35">
      <c r="A128" s="135"/>
      <c r="B128" s="215" t="s">
        <v>82</v>
      </c>
      <c r="C128" s="111" t="s">
        <v>129</v>
      </c>
      <c r="D128" s="111"/>
      <c r="E128" s="111"/>
      <c r="F128" s="111"/>
      <c r="G128" s="137"/>
      <c r="H128" s="107"/>
      <c r="I128" s="108"/>
      <c r="J128" s="109"/>
      <c r="K128" s="110"/>
      <c r="L128" s="111"/>
      <c r="M128" s="111"/>
      <c r="N128" s="111"/>
      <c r="O128" s="134">
        <v>12</v>
      </c>
      <c r="P128" s="111" t="s">
        <v>127</v>
      </c>
      <c r="Q128" s="207"/>
      <c r="R128" s="107">
        <f>O128*550000</f>
        <v>6600000</v>
      </c>
      <c r="S128" s="85">
        <f t="shared" si="77"/>
        <v>0.29475036207402433</v>
      </c>
      <c r="T128" s="99"/>
      <c r="U128" s="87"/>
      <c r="V128" s="87"/>
      <c r="W128" s="87"/>
      <c r="X128" s="87"/>
      <c r="Y128" s="88">
        <v>0</v>
      </c>
      <c r="Z128" s="99">
        <f t="shared" si="78"/>
        <v>0</v>
      </c>
      <c r="AA128" s="100">
        <f t="shared" si="79"/>
        <v>0</v>
      </c>
      <c r="AB128" s="99">
        <f t="shared" si="80"/>
        <v>0</v>
      </c>
      <c r="AC128" s="88"/>
      <c r="AD128" s="88">
        <f t="shared" si="81"/>
        <v>6600000</v>
      </c>
      <c r="AE128" s="114"/>
    </row>
    <row r="129" spans="1:31" ht="12.95" customHeight="1" x14ac:dyDescent="0.35">
      <c r="A129" s="135"/>
      <c r="B129" s="215" t="s">
        <v>82</v>
      </c>
      <c r="C129" s="111" t="s">
        <v>130</v>
      </c>
      <c r="D129" s="111"/>
      <c r="E129" s="111"/>
      <c r="F129" s="111"/>
      <c r="G129" s="137"/>
      <c r="H129" s="107"/>
      <c r="I129" s="108"/>
      <c r="J129" s="109"/>
      <c r="K129" s="110"/>
      <c r="L129" s="111"/>
      <c r="M129" s="111"/>
      <c r="N129" s="111"/>
      <c r="O129" s="134">
        <v>1</v>
      </c>
      <c r="P129" s="111" t="s">
        <v>127</v>
      </c>
      <c r="Q129" s="207"/>
      <c r="R129" s="107">
        <f>O129*500000</f>
        <v>500000</v>
      </c>
      <c r="S129" s="85">
        <f t="shared" si="77"/>
        <v>2.2329572884395781E-2</v>
      </c>
      <c r="T129" s="99"/>
      <c r="U129" s="87"/>
      <c r="V129" s="87"/>
      <c r="W129" s="87"/>
      <c r="X129" s="87"/>
      <c r="Y129" s="88">
        <v>0</v>
      </c>
      <c r="Z129" s="99">
        <f t="shared" si="78"/>
        <v>0</v>
      </c>
      <c r="AA129" s="100">
        <f t="shared" si="79"/>
        <v>0</v>
      </c>
      <c r="AB129" s="99">
        <f t="shared" si="80"/>
        <v>0</v>
      </c>
      <c r="AC129" s="88"/>
      <c r="AD129" s="88">
        <f t="shared" si="81"/>
        <v>500000</v>
      </c>
      <c r="AE129" s="114"/>
    </row>
    <row r="130" spans="1:31" ht="12.95" customHeight="1" x14ac:dyDescent="0.35">
      <c r="A130" s="135"/>
      <c r="B130" s="215" t="s">
        <v>82</v>
      </c>
      <c r="C130" s="111" t="s">
        <v>131</v>
      </c>
      <c r="D130" s="111"/>
      <c r="E130" s="111"/>
      <c r="F130" s="111"/>
      <c r="G130" s="137"/>
      <c r="H130" s="107"/>
      <c r="I130" s="108"/>
      <c r="J130" s="109"/>
      <c r="K130" s="110"/>
      <c r="L130" s="111"/>
      <c r="M130" s="111"/>
      <c r="N130" s="111"/>
      <c r="O130" s="134">
        <v>2</v>
      </c>
      <c r="P130" s="111" t="s">
        <v>127</v>
      </c>
      <c r="Q130" s="207"/>
      <c r="R130" s="107">
        <f>O130*800000</f>
        <v>1600000</v>
      </c>
      <c r="S130" s="85">
        <f t="shared" si="77"/>
        <v>7.1454633230066497E-2</v>
      </c>
      <c r="T130" s="99"/>
      <c r="U130" s="87"/>
      <c r="V130" s="87"/>
      <c r="W130" s="87"/>
      <c r="X130" s="87"/>
      <c r="Y130" s="88">
        <v>0</v>
      </c>
      <c r="Z130" s="99">
        <f t="shared" si="78"/>
        <v>0</v>
      </c>
      <c r="AA130" s="100">
        <f t="shared" si="79"/>
        <v>0</v>
      </c>
      <c r="AB130" s="99">
        <f t="shared" si="80"/>
        <v>0</v>
      </c>
      <c r="AC130" s="88"/>
      <c r="AD130" s="88">
        <f t="shared" si="81"/>
        <v>1600000</v>
      </c>
      <c r="AE130" s="114"/>
    </row>
    <row r="131" spans="1:31" ht="12.95" customHeight="1" x14ac:dyDescent="0.35">
      <c r="A131" s="135"/>
      <c r="B131" s="215" t="s">
        <v>82</v>
      </c>
      <c r="C131" s="111" t="s">
        <v>132</v>
      </c>
      <c r="D131" s="111"/>
      <c r="E131" s="111"/>
      <c r="F131" s="111"/>
      <c r="G131" s="137"/>
      <c r="H131" s="107"/>
      <c r="I131" s="108"/>
      <c r="J131" s="109"/>
      <c r="K131" s="110"/>
      <c r="L131" s="111"/>
      <c r="M131" s="111"/>
      <c r="N131" s="111"/>
      <c r="O131" s="134">
        <v>2</v>
      </c>
      <c r="P131" s="111" t="s">
        <v>127</v>
      </c>
      <c r="Q131" s="207"/>
      <c r="R131" s="107">
        <f>O131*5346000</f>
        <v>10692000</v>
      </c>
      <c r="S131" s="85">
        <f t="shared" si="77"/>
        <v>0.47749558655991942</v>
      </c>
      <c r="T131" s="99"/>
      <c r="U131" s="87"/>
      <c r="V131" s="87"/>
      <c r="W131" s="87"/>
      <c r="X131" s="87"/>
      <c r="Y131" s="88">
        <f>875000+1290000</f>
        <v>2165000</v>
      </c>
      <c r="Z131" s="99">
        <f t="shared" si="78"/>
        <v>20.248784137673027</v>
      </c>
      <c r="AA131" s="100">
        <f t="shared" si="79"/>
        <v>20.248784137673027</v>
      </c>
      <c r="AB131" s="99">
        <f t="shared" si="80"/>
        <v>9.6687050589433735E-2</v>
      </c>
      <c r="AC131" s="88"/>
      <c r="AD131" s="88">
        <f t="shared" si="81"/>
        <v>8527000</v>
      </c>
      <c r="AE131" s="114"/>
    </row>
    <row r="132" spans="1:31" ht="12.95" customHeight="1" x14ac:dyDescent="0.35">
      <c r="A132" s="135"/>
      <c r="B132" s="223" t="s">
        <v>82</v>
      </c>
      <c r="C132" s="111" t="s">
        <v>133</v>
      </c>
      <c r="D132" s="111"/>
      <c r="E132" s="111"/>
      <c r="F132" s="111"/>
      <c r="G132" s="137"/>
      <c r="H132" s="107"/>
      <c r="I132" s="108"/>
      <c r="J132" s="109"/>
      <c r="K132" s="110"/>
      <c r="L132" s="111"/>
      <c r="M132" s="111"/>
      <c r="N132" s="111"/>
      <c r="O132" s="134">
        <v>6</v>
      </c>
      <c r="P132" s="111" t="s">
        <v>127</v>
      </c>
      <c r="Q132" s="207"/>
      <c r="R132" s="107">
        <f>O132*500000</f>
        <v>3000000</v>
      </c>
      <c r="S132" s="85">
        <f t="shared" si="77"/>
        <v>0.13397743730637471</v>
      </c>
      <c r="T132" s="99"/>
      <c r="U132" s="87"/>
      <c r="V132" s="87"/>
      <c r="W132" s="87"/>
      <c r="X132" s="87"/>
      <c r="Y132" s="88">
        <v>0</v>
      </c>
      <c r="Z132" s="99">
        <f t="shared" si="78"/>
        <v>0</v>
      </c>
      <c r="AA132" s="100">
        <f t="shared" si="79"/>
        <v>0</v>
      </c>
      <c r="AB132" s="99">
        <f t="shared" si="80"/>
        <v>0</v>
      </c>
      <c r="AC132" s="88"/>
      <c r="AD132" s="88">
        <f t="shared" si="81"/>
        <v>3000000</v>
      </c>
      <c r="AE132" s="114"/>
    </row>
    <row r="133" spans="1:31" ht="12.95" customHeight="1" x14ac:dyDescent="0.35">
      <c r="A133" s="135"/>
      <c r="B133" s="215" t="s">
        <v>82</v>
      </c>
      <c r="C133" s="111" t="s">
        <v>134</v>
      </c>
      <c r="D133" s="111"/>
      <c r="E133" s="111"/>
      <c r="F133" s="111"/>
      <c r="G133" s="137"/>
      <c r="H133" s="107"/>
      <c r="I133" s="108"/>
      <c r="J133" s="109"/>
      <c r="K133" s="110"/>
      <c r="L133" s="111"/>
      <c r="M133" s="111"/>
      <c r="N133" s="111"/>
      <c r="O133" s="134">
        <v>1</v>
      </c>
      <c r="P133" s="111" t="s">
        <v>127</v>
      </c>
      <c r="Q133" s="207"/>
      <c r="R133" s="107">
        <f>O133*1200000</f>
        <v>1200000</v>
      </c>
      <c r="S133" s="85">
        <f t="shared" si="77"/>
        <v>5.3590974922549883E-2</v>
      </c>
      <c r="T133" s="99"/>
      <c r="U133" s="87"/>
      <c r="V133" s="87"/>
      <c r="W133" s="87"/>
      <c r="X133" s="87"/>
      <c r="Y133" s="88">
        <v>0</v>
      </c>
      <c r="Z133" s="99">
        <f t="shared" si="78"/>
        <v>0</v>
      </c>
      <c r="AA133" s="100">
        <f t="shared" si="79"/>
        <v>0</v>
      </c>
      <c r="AB133" s="99">
        <f t="shared" si="80"/>
        <v>0</v>
      </c>
      <c r="AC133" s="88"/>
      <c r="AD133" s="88">
        <f t="shared" si="81"/>
        <v>1200000</v>
      </c>
      <c r="AE133" s="114"/>
    </row>
    <row r="134" spans="1:31" ht="12.95" customHeight="1" x14ac:dyDescent="0.35">
      <c r="A134" s="135"/>
      <c r="B134" s="215" t="s">
        <v>82</v>
      </c>
      <c r="C134" s="111" t="s">
        <v>135</v>
      </c>
      <c r="D134" s="111"/>
      <c r="E134" s="111"/>
      <c r="F134" s="111"/>
      <c r="G134" s="137"/>
      <c r="H134" s="107"/>
      <c r="I134" s="108"/>
      <c r="J134" s="109"/>
      <c r="K134" s="110"/>
      <c r="L134" s="111"/>
      <c r="M134" s="111"/>
      <c r="N134" s="111"/>
      <c r="O134" s="134">
        <v>4</v>
      </c>
      <c r="P134" s="111" t="s">
        <v>127</v>
      </c>
      <c r="Q134" s="207"/>
      <c r="R134" s="107">
        <f>O134*475000</f>
        <v>1900000</v>
      </c>
      <c r="S134" s="85">
        <f t="shared" si="77"/>
        <v>8.4852376960703968E-2</v>
      </c>
      <c r="T134" s="99"/>
      <c r="U134" s="87"/>
      <c r="V134" s="87"/>
      <c r="W134" s="87"/>
      <c r="X134" s="87"/>
      <c r="Y134" s="88">
        <v>0</v>
      </c>
      <c r="Z134" s="99">
        <f t="shared" si="78"/>
        <v>0</v>
      </c>
      <c r="AA134" s="100">
        <f t="shared" si="79"/>
        <v>0</v>
      </c>
      <c r="AB134" s="99">
        <f t="shared" si="80"/>
        <v>0</v>
      </c>
      <c r="AC134" s="88"/>
      <c r="AD134" s="88">
        <f t="shared" si="81"/>
        <v>1900000</v>
      </c>
      <c r="AE134" s="114"/>
    </row>
    <row r="135" spans="1:31" ht="12.95" customHeight="1" x14ac:dyDescent="0.35">
      <c r="A135" s="135"/>
      <c r="B135" s="223" t="s">
        <v>82</v>
      </c>
      <c r="C135" s="111" t="s">
        <v>136</v>
      </c>
      <c r="D135" s="111"/>
      <c r="E135" s="111"/>
      <c r="F135" s="111"/>
      <c r="G135" s="137"/>
      <c r="H135" s="107"/>
      <c r="I135" s="108"/>
      <c r="J135" s="109"/>
      <c r="K135" s="110"/>
      <c r="L135" s="111"/>
      <c r="M135" s="111"/>
      <c r="N135" s="111"/>
      <c r="O135" s="134">
        <v>1</v>
      </c>
      <c r="P135" s="111" t="s">
        <v>127</v>
      </c>
      <c r="Q135" s="207"/>
      <c r="R135" s="107">
        <f>O135*5000000</f>
        <v>5000000</v>
      </c>
      <c r="S135" s="85">
        <f t="shared" si="77"/>
        <v>0.22329572884395779</v>
      </c>
      <c r="T135" s="99"/>
      <c r="U135" s="87"/>
      <c r="V135" s="87"/>
      <c r="W135" s="87"/>
      <c r="X135" s="87"/>
      <c r="Y135" s="88">
        <v>0</v>
      </c>
      <c r="Z135" s="99">
        <f t="shared" si="78"/>
        <v>0</v>
      </c>
      <c r="AA135" s="100">
        <f t="shared" si="79"/>
        <v>0</v>
      </c>
      <c r="AB135" s="99">
        <f t="shared" si="80"/>
        <v>0</v>
      </c>
      <c r="AC135" s="88"/>
      <c r="AD135" s="88">
        <f t="shared" si="81"/>
        <v>5000000</v>
      </c>
      <c r="AE135" s="114"/>
    </row>
    <row r="136" spans="1:31" ht="12.95" customHeight="1" x14ac:dyDescent="0.35">
      <c r="A136" s="135"/>
      <c r="B136" s="223" t="s">
        <v>82</v>
      </c>
      <c r="C136" s="111" t="s">
        <v>137</v>
      </c>
      <c r="D136" s="111"/>
      <c r="E136" s="111"/>
      <c r="F136" s="111"/>
      <c r="G136" s="137"/>
      <c r="H136" s="107"/>
      <c r="I136" s="108"/>
      <c r="J136" s="109"/>
      <c r="K136" s="110"/>
      <c r="L136" s="111"/>
      <c r="M136" s="111"/>
      <c r="N136" s="111"/>
      <c r="O136" s="134">
        <v>1</v>
      </c>
      <c r="P136" s="111" t="s">
        <v>127</v>
      </c>
      <c r="Q136" s="207"/>
      <c r="R136" s="107">
        <f>O136*23000000</f>
        <v>23000000</v>
      </c>
      <c r="S136" s="85">
        <f t="shared" si="77"/>
        <v>1.027160352682206</v>
      </c>
      <c r="T136" s="99"/>
      <c r="U136" s="87"/>
      <c r="V136" s="87"/>
      <c r="W136" s="87"/>
      <c r="X136" s="87"/>
      <c r="Y136" s="88">
        <f>1600000*6+927000</f>
        <v>10527000</v>
      </c>
      <c r="Z136" s="99">
        <f t="shared" si="78"/>
        <v>45.769565217391303</v>
      </c>
      <c r="AA136" s="100">
        <f t="shared" ref="AA136:AA137" si="82">1/14*Z136</f>
        <v>3.2692546583850928</v>
      </c>
      <c r="AB136" s="99">
        <f t="shared" si="80"/>
        <v>3.3580487679147765E-2</v>
      </c>
      <c r="AC136" s="88"/>
      <c r="AD136" s="88">
        <f t="shared" si="81"/>
        <v>12473000</v>
      </c>
      <c r="AE136" s="114"/>
    </row>
    <row r="137" spans="1:31" ht="12.95" customHeight="1" x14ac:dyDescent="0.35">
      <c r="A137" s="135"/>
      <c r="B137" s="223" t="s">
        <v>82</v>
      </c>
      <c r="C137" s="111" t="s">
        <v>138</v>
      </c>
      <c r="D137" s="111"/>
      <c r="E137" s="111"/>
      <c r="F137" s="111"/>
      <c r="G137" s="137"/>
      <c r="H137" s="107"/>
      <c r="I137" s="108"/>
      <c r="J137" s="109"/>
      <c r="K137" s="110"/>
      <c r="L137" s="111"/>
      <c r="M137" s="111"/>
      <c r="N137" s="111"/>
      <c r="O137" s="134">
        <v>5</v>
      </c>
      <c r="P137" s="111" t="s">
        <v>127</v>
      </c>
      <c r="Q137" s="207"/>
      <c r="R137" s="107">
        <f>O137*3430000</f>
        <v>17150000</v>
      </c>
      <c r="S137" s="85">
        <f t="shared" si="77"/>
        <v>0.7659043499347753</v>
      </c>
      <c r="T137" s="99"/>
      <c r="U137" s="87"/>
      <c r="V137" s="87"/>
      <c r="W137" s="87"/>
      <c r="X137" s="87"/>
      <c r="Y137" s="88">
        <f>800000+800000+550000+261000+800000+260000+220000+607000+800000+133280+228500+800000+255000+500000</f>
        <v>7014780</v>
      </c>
      <c r="Z137" s="99">
        <f t="shared" si="78"/>
        <v>40.902507288629735</v>
      </c>
      <c r="AA137" s="100">
        <f t="shared" si="82"/>
        <v>2.9216076634735524</v>
      </c>
      <c r="AB137" s="99">
        <f t="shared" si="80"/>
        <v>2.237672018257169E-2</v>
      </c>
      <c r="AC137" s="88"/>
      <c r="AD137" s="88">
        <f t="shared" si="81"/>
        <v>10135220</v>
      </c>
      <c r="AE137" s="114"/>
    </row>
    <row r="138" spans="1:31" ht="12.95" customHeight="1" x14ac:dyDescent="0.35">
      <c r="A138" s="135"/>
      <c r="B138" s="223"/>
      <c r="C138" s="111"/>
      <c r="D138" s="111"/>
      <c r="E138" s="111"/>
      <c r="F138" s="111"/>
      <c r="G138" s="137"/>
      <c r="H138" s="107"/>
      <c r="I138" s="108"/>
      <c r="J138" s="109"/>
      <c r="K138" s="110"/>
      <c r="L138" s="111"/>
      <c r="M138" s="111"/>
      <c r="N138" s="111"/>
      <c r="O138" s="134"/>
      <c r="P138" s="111"/>
      <c r="Q138" s="207"/>
      <c r="R138" s="203"/>
      <c r="S138" s="113"/>
      <c r="T138" s="195"/>
      <c r="U138" s="198"/>
      <c r="V138" s="198"/>
      <c r="W138" s="198"/>
      <c r="X138" s="198"/>
      <c r="Y138" s="116"/>
      <c r="Z138" s="195"/>
      <c r="AA138" s="202"/>
      <c r="AB138" s="197"/>
      <c r="AC138" s="116"/>
      <c r="AD138" s="116"/>
      <c r="AE138" s="114"/>
    </row>
    <row r="139" spans="1:31" ht="12.95" customHeight="1" x14ac:dyDescent="0.35">
      <c r="A139" s="103" t="s">
        <v>139</v>
      </c>
      <c r="B139" s="508" t="s">
        <v>257</v>
      </c>
      <c r="C139" s="509"/>
      <c r="D139" s="509"/>
      <c r="E139" s="509"/>
      <c r="F139" s="509"/>
      <c r="G139" s="510"/>
      <c r="H139" s="107"/>
      <c r="I139" s="108"/>
      <c r="J139" s="109"/>
      <c r="K139" s="110"/>
      <c r="L139" s="111"/>
      <c r="M139" s="111"/>
      <c r="N139" s="111"/>
      <c r="O139" s="112"/>
      <c r="P139" s="105"/>
      <c r="Q139" s="212"/>
      <c r="R139" s="213"/>
      <c r="S139" s="113"/>
      <c r="T139" s="195"/>
      <c r="U139" s="198"/>
      <c r="V139" s="198"/>
      <c r="W139" s="198"/>
      <c r="X139" s="198"/>
      <c r="Y139" s="116"/>
      <c r="Z139" s="195"/>
      <c r="AA139" s="202"/>
      <c r="AB139" s="197"/>
      <c r="AC139" s="116"/>
      <c r="AD139" s="116"/>
      <c r="AE139" s="114"/>
    </row>
    <row r="140" spans="1:31" s="28" customFormat="1" ht="12.95" customHeight="1" x14ac:dyDescent="0.35">
      <c r="A140" s="355">
        <v>522111</v>
      </c>
      <c r="B140" s="356" t="s">
        <v>258</v>
      </c>
      <c r="C140" s="357"/>
      <c r="D140" s="357"/>
      <c r="E140" s="357"/>
      <c r="F140" s="357"/>
      <c r="G140" s="358"/>
      <c r="H140" s="359"/>
      <c r="I140" s="360"/>
      <c r="J140" s="361"/>
      <c r="K140" s="362"/>
      <c r="L140" s="357"/>
      <c r="M140" s="357"/>
      <c r="N140" s="357"/>
      <c r="O140" s="363"/>
      <c r="P140" s="357"/>
      <c r="Q140" s="364"/>
      <c r="R140" s="361"/>
      <c r="S140" s="365"/>
      <c r="T140" s="366"/>
      <c r="U140" s="367"/>
      <c r="V140" s="367"/>
      <c r="W140" s="367"/>
      <c r="X140" s="367"/>
      <c r="Y140" s="368"/>
      <c r="Z140" s="366"/>
      <c r="AA140" s="369"/>
      <c r="AB140" s="370"/>
      <c r="AC140" s="368"/>
      <c r="AD140" s="368"/>
      <c r="AE140" s="371"/>
    </row>
    <row r="141" spans="1:31" ht="12.95" customHeight="1" x14ac:dyDescent="0.35">
      <c r="A141" s="372"/>
      <c r="B141" s="373" t="s">
        <v>82</v>
      </c>
      <c r="C141" s="374" t="s">
        <v>140</v>
      </c>
      <c r="D141" s="374"/>
      <c r="E141" s="374"/>
      <c r="F141" s="374"/>
      <c r="G141" s="375"/>
      <c r="H141" s="376"/>
      <c r="I141" s="377"/>
      <c r="J141" s="378"/>
      <c r="K141" s="379"/>
      <c r="L141" s="374"/>
      <c r="M141" s="374"/>
      <c r="N141" s="374"/>
      <c r="O141" s="380">
        <v>12</v>
      </c>
      <c r="P141" s="374" t="s">
        <v>88</v>
      </c>
      <c r="Q141" s="381"/>
      <c r="R141" s="376">
        <f>O141*6500000</f>
        <v>78000000</v>
      </c>
      <c r="S141" s="365">
        <f t="shared" ref="S141" si="83">+R141/$R$184*100</f>
        <v>3.4834133699657417</v>
      </c>
      <c r="T141" s="382"/>
      <c r="U141" s="383"/>
      <c r="V141" s="383"/>
      <c r="W141" s="383"/>
      <c r="X141" s="383"/>
      <c r="Y141" s="384">
        <v>28671352</v>
      </c>
      <c r="Z141" s="382">
        <f t="shared" ref="Z141" si="84">+Y141/R141*100</f>
        <v>36.75814358974359</v>
      </c>
      <c r="AA141" s="385">
        <f t="shared" ref="AA141" si="85">1/14*Z141</f>
        <v>2.6255816849816846</v>
      </c>
      <c r="AB141" s="382">
        <f t="shared" ref="AB141" si="86">AA141*S141/100</f>
        <v>9.1459863454023807E-2</v>
      </c>
      <c r="AC141" s="384"/>
      <c r="AD141" s="384">
        <f t="shared" ref="AD141" si="87">+R141-Y141</f>
        <v>49328648</v>
      </c>
      <c r="AE141" s="386"/>
    </row>
    <row r="142" spans="1:31" ht="12.95" customHeight="1" x14ac:dyDescent="0.35">
      <c r="A142" s="355">
        <v>522112</v>
      </c>
      <c r="B142" s="356" t="s">
        <v>259</v>
      </c>
      <c r="C142" s="357"/>
      <c r="D142" s="357"/>
      <c r="E142" s="357"/>
      <c r="F142" s="357"/>
      <c r="G142" s="375"/>
      <c r="H142" s="376"/>
      <c r="I142" s="377"/>
      <c r="J142" s="378"/>
      <c r="K142" s="379"/>
      <c r="L142" s="374"/>
      <c r="M142" s="374"/>
      <c r="N142" s="374"/>
      <c r="O142" s="380"/>
      <c r="P142" s="374"/>
      <c r="Q142" s="381"/>
      <c r="R142" s="376"/>
      <c r="S142" s="365"/>
      <c r="T142" s="382"/>
      <c r="U142" s="387"/>
      <c r="V142" s="387"/>
      <c r="W142" s="387"/>
      <c r="X142" s="387"/>
      <c r="Y142" s="384"/>
      <c r="Z142" s="382"/>
      <c r="AA142" s="385"/>
      <c r="AB142" s="388"/>
      <c r="AC142" s="384"/>
      <c r="AD142" s="384"/>
      <c r="AE142" s="386"/>
    </row>
    <row r="143" spans="1:31" ht="12.95" customHeight="1" x14ac:dyDescent="0.35">
      <c r="A143" s="372"/>
      <c r="B143" s="373" t="s">
        <v>82</v>
      </c>
      <c r="C143" s="374" t="s">
        <v>141</v>
      </c>
      <c r="D143" s="374"/>
      <c r="E143" s="374"/>
      <c r="F143" s="374"/>
      <c r="G143" s="375"/>
      <c r="H143" s="376"/>
      <c r="I143" s="377"/>
      <c r="J143" s="378"/>
      <c r="K143" s="379"/>
      <c r="L143" s="374"/>
      <c r="M143" s="374"/>
      <c r="N143" s="374"/>
      <c r="O143" s="380">
        <v>12</v>
      </c>
      <c r="P143" s="374" t="s">
        <v>88</v>
      </c>
      <c r="Q143" s="381"/>
      <c r="R143" s="376">
        <f>O143*4200000</f>
        <v>50400000</v>
      </c>
      <c r="S143" s="365">
        <f t="shared" ref="S143" si="88">+R143/$R$184*100</f>
        <v>2.250820946747095</v>
      </c>
      <c r="T143" s="382"/>
      <c r="U143" s="383"/>
      <c r="V143" s="383"/>
      <c r="W143" s="383"/>
      <c r="X143" s="383"/>
      <c r="Y143" s="384">
        <v>10011705</v>
      </c>
      <c r="Z143" s="382">
        <f t="shared" ref="Z143" si="89">+Y143/R143*100</f>
        <v>19.864494047619047</v>
      </c>
      <c r="AA143" s="385">
        <f t="shared" ref="AA143" si="90">1/14*Z143</f>
        <v>1.4188924319727889</v>
      </c>
      <c r="AB143" s="382">
        <f t="shared" ref="AB143" si="91">AA143*S143/100</f>
        <v>3.1936728070652808E-2</v>
      </c>
      <c r="AC143" s="384"/>
      <c r="AD143" s="384">
        <f t="shared" ref="AD143" si="92">+R143-Y143</f>
        <v>40388295</v>
      </c>
      <c r="AE143" s="386"/>
    </row>
    <row r="144" spans="1:31" ht="12.95" customHeight="1" x14ac:dyDescent="0.35">
      <c r="A144" s="355">
        <v>522113</v>
      </c>
      <c r="B144" s="356" t="s">
        <v>260</v>
      </c>
      <c r="C144" s="357"/>
      <c r="D144" s="357"/>
      <c r="E144" s="357"/>
      <c r="F144" s="357"/>
      <c r="G144" s="375"/>
      <c r="H144" s="376"/>
      <c r="I144" s="377"/>
      <c r="J144" s="378"/>
      <c r="K144" s="379"/>
      <c r="L144" s="374"/>
      <c r="M144" s="374"/>
      <c r="N144" s="374"/>
      <c r="O144" s="380"/>
      <c r="P144" s="374"/>
      <c r="Q144" s="381"/>
      <c r="R144" s="376"/>
      <c r="S144" s="365"/>
      <c r="T144" s="382"/>
      <c r="U144" s="387"/>
      <c r="V144" s="387"/>
      <c r="W144" s="387"/>
      <c r="X144" s="387"/>
      <c r="Y144" s="384"/>
      <c r="Z144" s="382"/>
      <c r="AA144" s="385"/>
      <c r="AB144" s="388"/>
      <c r="AC144" s="384"/>
      <c r="AD144" s="384"/>
      <c r="AE144" s="386"/>
    </row>
    <row r="145" spans="1:35" ht="12.95" customHeight="1" x14ac:dyDescent="0.35">
      <c r="A145" s="372"/>
      <c r="B145" s="373" t="s">
        <v>82</v>
      </c>
      <c r="C145" s="374" t="s">
        <v>142</v>
      </c>
      <c r="D145" s="374"/>
      <c r="E145" s="374"/>
      <c r="F145" s="374"/>
      <c r="G145" s="375"/>
      <c r="H145" s="376"/>
      <c r="I145" s="377"/>
      <c r="J145" s="378"/>
      <c r="K145" s="379"/>
      <c r="L145" s="374"/>
      <c r="M145" s="374"/>
      <c r="N145" s="374"/>
      <c r="O145" s="380">
        <v>12</v>
      </c>
      <c r="P145" s="374" t="s">
        <v>88</v>
      </c>
      <c r="Q145" s="381"/>
      <c r="R145" s="376">
        <f>O145*500000</f>
        <v>6000000</v>
      </c>
      <c r="S145" s="365">
        <f t="shared" ref="S145" si="93">+R145/$R$184*100</f>
        <v>0.26795487461274942</v>
      </c>
      <c r="T145" s="382"/>
      <c r="U145" s="383"/>
      <c r="V145" s="383"/>
      <c r="W145" s="383"/>
      <c r="X145" s="383"/>
      <c r="Y145" s="384">
        <v>1243480</v>
      </c>
      <c r="Z145" s="382">
        <f t="shared" ref="Z145" si="94">+Y145/R145*100</f>
        <v>20.724666666666668</v>
      </c>
      <c r="AA145" s="385">
        <f t="shared" ref="AA145" si="95">1/14*Z145</f>
        <v>1.4803333333333333</v>
      </c>
      <c r="AB145" s="382">
        <f t="shared" ref="AB145" si="96">AA145*S145/100</f>
        <v>3.9666253271840668E-3</v>
      </c>
      <c r="AC145" s="384"/>
      <c r="AD145" s="384">
        <f t="shared" ref="AD145" si="97">+R145-Y145</f>
        <v>4756520</v>
      </c>
      <c r="AE145" s="386"/>
    </row>
    <row r="146" spans="1:35" ht="12.95" customHeight="1" x14ac:dyDescent="0.35">
      <c r="A146" s="135"/>
      <c r="B146" s="223"/>
      <c r="C146" s="111"/>
      <c r="D146" s="111"/>
      <c r="E146" s="111"/>
      <c r="F146" s="111"/>
      <c r="G146" s="137"/>
      <c r="H146" s="107"/>
      <c r="I146" s="108"/>
      <c r="J146" s="109"/>
      <c r="K146" s="110"/>
      <c r="L146" s="111"/>
      <c r="M146" s="111"/>
      <c r="N146" s="111"/>
      <c r="O146" s="134"/>
      <c r="P146" s="111"/>
      <c r="Q146" s="207"/>
      <c r="R146" s="107"/>
      <c r="S146" s="113"/>
      <c r="T146" s="195"/>
      <c r="U146" s="196"/>
      <c r="V146" s="196"/>
      <c r="W146" s="196"/>
      <c r="X146" s="196"/>
      <c r="Y146" s="116"/>
      <c r="Z146" s="195"/>
      <c r="AA146" s="100"/>
      <c r="AB146" s="197"/>
      <c r="AC146" s="116"/>
      <c r="AD146" s="116"/>
      <c r="AE146" s="114"/>
    </row>
    <row r="147" spans="1:35" ht="12.95" customHeight="1" x14ac:dyDescent="0.35">
      <c r="A147" s="103" t="s">
        <v>143</v>
      </c>
      <c r="B147" s="492" t="s">
        <v>261</v>
      </c>
      <c r="C147" s="493"/>
      <c r="D147" s="493"/>
      <c r="E147" s="493"/>
      <c r="F147" s="493"/>
      <c r="G147" s="494"/>
      <c r="H147" s="107"/>
      <c r="I147" s="108"/>
      <c r="J147" s="109"/>
      <c r="K147" s="110"/>
      <c r="L147" s="111"/>
      <c r="M147" s="111"/>
      <c r="N147" s="111"/>
      <c r="O147" s="134"/>
      <c r="P147" s="137"/>
      <c r="Q147" s="207"/>
      <c r="R147" s="213"/>
      <c r="S147" s="113"/>
      <c r="T147" s="195"/>
      <c r="U147" s="198"/>
      <c r="V147" s="198"/>
      <c r="W147" s="198"/>
      <c r="X147" s="198"/>
      <c r="Y147" s="116"/>
      <c r="Z147" s="195"/>
      <c r="AA147" s="100"/>
      <c r="AB147" s="197"/>
      <c r="AC147" s="116"/>
      <c r="AD147" s="116"/>
      <c r="AE147" s="114"/>
    </row>
    <row r="148" spans="1:35" s="28" customFormat="1" ht="12.95" customHeight="1" x14ac:dyDescent="0.35">
      <c r="A148" s="210">
        <v>521111</v>
      </c>
      <c r="B148" s="496" t="s">
        <v>81</v>
      </c>
      <c r="C148" s="105"/>
      <c r="D148" s="105"/>
      <c r="E148" s="105"/>
      <c r="F148" s="105"/>
      <c r="G148" s="106"/>
      <c r="H148" s="188"/>
      <c r="I148" s="171"/>
      <c r="J148" s="170"/>
      <c r="K148" s="189"/>
      <c r="L148" s="105"/>
      <c r="M148" s="105"/>
      <c r="N148" s="105"/>
      <c r="O148" s="227"/>
      <c r="P148" s="141"/>
      <c r="Q148" s="228"/>
      <c r="R148" s="229"/>
      <c r="S148" s="113"/>
      <c r="T148" s="190"/>
      <c r="U148" s="191"/>
      <c r="V148" s="191"/>
      <c r="W148" s="191"/>
      <c r="X148" s="191"/>
      <c r="Y148" s="192"/>
      <c r="Z148" s="190"/>
      <c r="AA148" s="178"/>
      <c r="AB148" s="193"/>
      <c r="AC148" s="192"/>
      <c r="AD148" s="192"/>
      <c r="AE148" s="179"/>
    </row>
    <row r="149" spans="1:35" ht="12.95" customHeight="1" x14ac:dyDescent="0.35">
      <c r="A149" s="199"/>
      <c r="B149" s="230" t="s">
        <v>82</v>
      </c>
      <c r="C149" s="217" t="s">
        <v>144</v>
      </c>
      <c r="D149" s="217"/>
      <c r="E149" s="217"/>
      <c r="F149" s="217"/>
      <c r="G149" s="218"/>
      <c r="H149" s="107"/>
      <c r="I149" s="108"/>
      <c r="J149" s="109"/>
      <c r="K149" s="110"/>
      <c r="L149" s="111"/>
      <c r="M149" s="111"/>
      <c r="N149" s="111"/>
      <c r="O149" s="134">
        <v>39</v>
      </c>
      <c r="P149" s="111" t="s">
        <v>145</v>
      </c>
      <c r="Q149" s="207"/>
      <c r="R149" s="107">
        <f>O149*1800000</f>
        <v>70200000</v>
      </c>
      <c r="S149" s="85">
        <f t="shared" ref="S149:S154" si="98">+R149/$R$184*100</f>
        <v>3.1350720329691675</v>
      </c>
      <c r="T149" s="99"/>
      <c r="U149" s="87"/>
      <c r="V149" s="87"/>
      <c r="W149" s="87"/>
      <c r="X149" s="87"/>
      <c r="Y149" s="88">
        <f>5400000*7</f>
        <v>37800000</v>
      </c>
      <c r="Z149" s="99">
        <f t="shared" ref="Z149:Z154" si="99">+Y149/R149*100</f>
        <v>53.846153846153847</v>
      </c>
      <c r="AA149" s="100">
        <f t="shared" ref="AA149:AA153" si="100">1/14*Z149</f>
        <v>3.8461538461538458</v>
      </c>
      <c r="AB149" s="99">
        <f t="shared" ref="AB149:AB154" si="101">AA149*S149/100</f>
        <v>0.1205796935757372</v>
      </c>
      <c r="AC149" s="88"/>
      <c r="AD149" s="88">
        <f t="shared" ref="AD149:AD154" si="102">+R149-Y149</f>
        <v>32400000</v>
      </c>
      <c r="AE149" s="86"/>
    </row>
    <row r="150" spans="1:35" ht="12.95" customHeight="1" x14ac:dyDescent="0.35">
      <c r="A150" s="135"/>
      <c r="B150" s="215" t="s">
        <v>82</v>
      </c>
      <c r="C150" s="216" t="s">
        <v>146</v>
      </c>
      <c r="D150" s="216"/>
      <c r="E150" s="217"/>
      <c r="F150" s="217"/>
      <c r="G150" s="218"/>
      <c r="H150" s="107"/>
      <c r="I150" s="108"/>
      <c r="J150" s="109"/>
      <c r="K150" s="110"/>
      <c r="L150" s="111"/>
      <c r="M150" s="111"/>
      <c r="N150" s="111"/>
      <c r="O150" s="134">
        <v>228</v>
      </c>
      <c r="P150" s="111" t="s">
        <v>147</v>
      </c>
      <c r="Q150" s="207"/>
      <c r="R150" s="107">
        <f>O150*30000</f>
        <v>6840000</v>
      </c>
      <c r="S150" s="85">
        <f t="shared" si="98"/>
        <v>0.30546855705853432</v>
      </c>
      <c r="T150" s="99"/>
      <c r="U150" s="87"/>
      <c r="V150" s="87"/>
      <c r="W150" s="87"/>
      <c r="X150" s="87"/>
      <c r="Y150" s="88">
        <f>570000+570000+480000+300000+480000</f>
        <v>2400000</v>
      </c>
      <c r="Z150" s="99">
        <f t="shared" si="99"/>
        <v>35.087719298245609</v>
      </c>
      <c r="AA150" s="100">
        <f t="shared" si="100"/>
        <v>2.5062656641604004</v>
      </c>
      <c r="AB150" s="99">
        <f t="shared" si="101"/>
        <v>7.6558535603642661E-3</v>
      </c>
      <c r="AC150" s="88"/>
      <c r="AD150" s="88">
        <f t="shared" si="102"/>
        <v>4440000</v>
      </c>
      <c r="AE150" s="114"/>
    </row>
    <row r="151" spans="1:35" ht="12.95" customHeight="1" x14ac:dyDescent="0.35">
      <c r="A151" s="231"/>
      <c r="B151" s="194" t="s">
        <v>82</v>
      </c>
      <c r="C151" s="140" t="s">
        <v>148</v>
      </c>
      <c r="D151" s="140"/>
      <c r="E151" s="140"/>
      <c r="F151" s="140"/>
      <c r="G151" s="150"/>
      <c r="H151" s="107"/>
      <c r="I151" s="108"/>
      <c r="J151" s="109"/>
      <c r="K151" s="110"/>
      <c r="L151" s="111"/>
      <c r="M151" s="111"/>
      <c r="N151" s="111"/>
      <c r="O151" s="182">
        <v>22</v>
      </c>
      <c r="P151" s="140" t="s">
        <v>115</v>
      </c>
      <c r="Q151" s="183"/>
      <c r="R151" s="107">
        <f>O151*190000</f>
        <v>4180000</v>
      </c>
      <c r="S151" s="85">
        <f t="shared" si="98"/>
        <v>0.18667522931354874</v>
      </c>
      <c r="T151" s="99"/>
      <c r="U151" s="87"/>
      <c r="V151" s="87"/>
      <c r="W151" s="87"/>
      <c r="X151" s="87"/>
      <c r="Y151" s="88">
        <f>360000+180000+700000+600000+180000+180000+180000+180000+180000</f>
        <v>2740000</v>
      </c>
      <c r="Z151" s="99">
        <f t="shared" si="99"/>
        <v>65.550239234449762</v>
      </c>
      <c r="AA151" s="100">
        <f t="shared" si="100"/>
        <v>4.6821599453178395</v>
      </c>
      <c r="AB151" s="99">
        <f t="shared" si="101"/>
        <v>8.740432814749205E-3</v>
      </c>
      <c r="AC151" s="88"/>
      <c r="AD151" s="88">
        <f t="shared" si="102"/>
        <v>1440000</v>
      </c>
      <c r="AE151" s="114"/>
    </row>
    <row r="152" spans="1:35" ht="12.95" customHeight="1" x14ac:dyDescent="0.35">
      <c r="A152" s="231"/>
      <c r="B152" s="194" t="s">
        <v>82</v>
      </c>
      <c r="C152" s="140" t="s">
        <v>266</v>
      </c>
      <c r="D152" s="140"/>
      <c r="E152" s="140"/>
      <c r="F152" s="140"/>
      <c r="G152" s="150"/>
      <c r="H152" s="107"/>
      <c r="I152" s="108"/>
      <c r="J152" s="109"/>
      <c r="K152" s="110"/>
      <c r="L152" s="111"/>
      <c r="M152" s="111"/>
      <c r="N152" s="111"/>
      <c r="O152" s="182">
        <v>1</v>
      </c>
      <c r="P152" s="140" t="s">
        <v>111</v>
      </c>
      <c r="Q152" s="183"/>
      <c r="R152" s="107">
        <f>O152*9020000</f>
        <v>9020000</v>
      </c>
      <c r="S152" s="85">
        <f t="shared" si="98"/>
        <v>0.40282549483449992</v>
      </c>
      <c r="T152" s="99"/>
      <c r="U152" s="87"/>
      <c r="V152" s="87"/>
      <c r="W152" s="87"/>
      <c r="X152" s="87"/>
      <c r="Y152" s="88">
        <f>750000*7</f>
        <v>5250000</v>
      </c>
      <c r="Z152" s="99">
        <f t="shared" si="99"/>
        <v>58.203991130820398</v>
      </c>
      <c r="AA152" s="100">
        <f t="shared" si="100"/>
        <v>4.1574279379157426</v>
      </c>
      <c r="AB152" s="99">
        <f t="shared" si="101"/>
        <v>1.6747179663296835E-2</v>
      </c>
      <c r="AC152" s="88"/>
      <c r="AD152" s="88">
        <f t="shared" si="102"/>
        <v>3770000</v>
      </c>
      <c r="AE152" s="114"/>
    </row>
    <row r="153" spans="1:35" ht="12.95" customHeight="1" x14ac:dyDescent="0.35">
      <c r="A153" s="199"/>
      <c r="B153" s="215" t="s">
        <v>82</v>
      </c>
      <c r="C153" s="217" t="s">
        <v>149</v>
      </c>
      <c r="D153" s="217"/>
      <c r="E153" s="217"/>
      <c r="F153" s="217"/>
      <c r="G153" s="218"/>
      <c r="H153" s="107"/>
      <c r="I153" s="108"/>
      <c r="J153" s="109"/>
      <c r="K153" s="110"/>
      <c r="L153" s="111"/>
      <c r="M153" s="111"/>
      <c r="N153" s="111"/>
      <c r="O153" s="134">
        <v>12</v>
      </c>
      <c r="P153" s="111" t="s">
        <v>88</v>
      </c>
      <c r="Q153" s="207"/>
      <c r="R153" s="203">
        <f>O153*2200000</f>
        <v>26400000</v>
      </c>
      <c r="S153" s="85">
        <f t="shared" si="98"/>
        <v>1.1790014482960973</v>
      </c>
      <c r="T153" s="99"/>
      <c r="U153" s="87"/>
      <c r="V153" s="87"/>
      <c r="W153" s="87"/>
      <c r="X153" s="87"/>
      <c r="Y153" s="88">
        <f>1023700*5</f>
        <v>5118500</v>
      </c>
      <c r="Z153" s="99">
        <f t="shared" si="99"/>
        <v>19.388257575757574</v>
      </c>
      <c r="AA153" s="100">
        <f t="shared" si="100"/>
        <v>1.3848755411255409</v>
      </c>
      <c r="AB153" s="99">
        <f t="shared" si="101"/>
        <v>1.6327702686968541E-2</v>
      </c>
      <c r="AC153" s="88"/>
      <c r="AD153" s="88">
        <f t="shared" si="102"/>
        <v>21281500</v>
      </c>
      <c r="AE153" s="114"/>
    </row>
    <row r="154" spans="1:35" ht="12.95" customHeight="1" x14ac:dyDescent="0.35">
      <c r="A154" s="199"/>
      <c r="B154" s="296" t="s">
        <v>82</v>
      </c>
      <c r="C154" s="297" t="s">
        <v>265</v>
      </c>
      <c r="D154" s="297"/>
      <c r="E154" s="297"/>
      <c r="F154" s="297"/>
      <c r="G154" s="298"/>
      <c r="H154" s="77"/>
      <c r="I154" s="78"/>
      <c r="J154" s="79"/>
      <c r="K154" s="80"/>
      <c r="L154" s="81"/>
      <c r="M154" s="81"/>
      <c r="N154" s="81"/>
      <c r="O154" s="185">
        <v>1</v>
      </c>
      <c r="P154" s="81" t="s">
        <v>83</v>
      </c>
      <c r="Q154" s="144"/>
      <c r="R154" s="77">
        <f>O154*3792000</f>
        <v>3792000</v>
      </c>
      <c r="S154" s="85">
        <f t="shared" si="98"/>
        <v>0.16934748075525763</v>
      </c>
      <c r="T154" s="99"/>
      <c r="U154" s="87"/>
      <c r="V154" s="87"/>
      <c r="W154" s="87"/>
      <c r="X154" s="87"/>
      <c r="Y154" s="88">
        <v>0</v>
      </c>
      <c r="Z154" s="99">
        <f t="shared" si="99"/>
        <v>0</v>
      </c>
      <c r="AA154" s="100">
        <f t="shared" ref="AA154" si="103">Z154</f>
        <v>0</v>
      </c>
      <c r="AB154" s="99">
        <f t="shared" si="101"/>
        <v>0</v>
      </c>
      <c r="AC154" s="88"/>
      <c r="AD154" s="88">
        <f t="shared" si="102"/>
        <v>3792000</v>
      </c>
      <c r="AE154" s="86"/>
      <c r="AF154" s="90"/>
      <c r="AG154" s="90"/>
      <c r="AH154" s="90"/>
      <c r="AI154" s="90"/>
    </row>
    <row r="155" spans="1:35" ht="12.95" customHeight="1" x14ac:dyDescent="0.35">
      <c r="A155" s="135"/>
      <c r="B155" s="94"/>
      <c r="C155" s="105"/>
      <c r="D155" s="105"/>
      <c r="E155" s="111"/>
      <c r="F155" s="111"/>
      <c r="G155" s="137"/>
      <c r="H155" s="107"/>
      <c r="I155" s="108"/>
      <c r="J155" s="109"/>
      <c r="K155" s="110"/>
      <c r="L155" s="111"/>
      <c r="M155" s="111"/>
      <c r="N155" s="111"/>
      <c r="O155" s="134"/>
      <c r="P155" s="111"/>
      <c r="Q155" s="135"/>
      <c r="R155" s="107"/>
      <c r="S155" s="113"/>
      <c r="T155" s="114"/>
      <c r="U155" s="115"/>
      <c r="V155" s="115"/>
      <c r="W155" s="115"/>
      <c r="X155" s="115"/>
      <c r="Y155" s="116"/>
      <c r="Z155" s="114"/>
      <c r="AA155" s="114"/>
      <c r="AB155" s="114"/>
      <c r="AC155" s="116"/>
      <c r="AD155" s="116"/>
      <c r="AE155" s="114"/>
    </row>
    <row r="156" spans="1:35" ht="12.95" customHeight="1" x14ac:dyDescent="0.35">
      <c r="A156" s="210">
        <v>521114</v>
      </c>
      <c r="B156" s="496" t="s">
        <v>150</v>
      </c>
      <c r="C156" s="105"/>
      <c r="D156" s="105"/>
      <c r="E156" s="105"/>
      <c r="F156" s="105"/>
      <c r="G156" s="106"/>
      <c r="H156" s="188"/>
      <c r="I156" s="171"/>
      <c r="J156" s="170"/>
      <c r="K156" s="189"/>
      <c r="L156" s="105"/>
      <c r="M156" s="105"/>
      <c r="N156" s="105"/>
      <c r="O156" s="227"/>
      <c r="P156" s="141"/>
      <c r="Q156" s="228"/>
      <c r="R156" s="229"/>
      <c r="S156" s="113"/>
      <c r="T156" s="190"/>
      <c r="U156" s="191"/>
      <c r="V156" s="191"/>
      <c r="W156" s="191"/>
      <c r="X156" s="191"/>
      <c r="Y156" s="192"/>
      <c r="Z156" s="190"/>
      <c r="AA156" s="178"/>
      <c r="AB156" s="193"/>
      <c r="AC156" s="192"/>
      <c r="AD156" s="192"/>
      <c r="AE156" s="114"/>
    </row>
    <row r="157" spans="1:35" ht="12.95" customHeight="1" x14ac:dyDescent="0.35">
      <c r="A157" s="199"/>
      <c r="B157" s="230" t="s">
        <v>82</v>
      </c>
      <c r="C157" s="217" t="s">
        <v>151</v>
      </c>
      <c r="D157" s="217"/>
      <c r="E157" s="217"/>
      <c r="F157" s="217"/>
      <c r="G157" s="218"/>
      <c r="H157" s="107"/>
      <c r="I157" s="108"/>
      <c r="J157" s="109"/>
      <c r="K157" s="110"/>
      <c r="L157" s="111"/>
      <c r="M157" s="111"/>
      <c r="N157" s="111"/>
      <c r="O157" s="134">
        <v>12</v>
      </c>
      <c r="P157" s="111" t="s">
        <v>88</v>
      </c>
      <c r="Q157" s="207"/>
      <c r="R157" s="107">
        <f>O157*715000</f>
        <v>8580000</v>
      </c>
      <c r="S157" s="85">
        <f t="shared" ref="S157" si="104">+R157/$R$184*100</f>
        <v>0.38317547069623159</v>
      </c>
      <c r="T157" s="99"/>
      <c r="U157" s="87"/>
      <c r="V157" s="87"/>
      <c r="W157" s="87"/>
      <c r="X157" s="87"/>
      <c r="Y157" s="88">
        <f>715000*7</f>
        <v>5005000</v>
      </c>
      <c r="Z157" s="99">
        <f t="shared" ref="Z157" si="105">+Y157/R157*100</f>
        <v>58.333333333333336</v>
      </c>
      <c r="AA157" s="100">
        <f t="shared" ref="AA157" si="106">1/14*Z157</f>
        <v>4.166666666666667</v>
      </c>
      <c r="AB157" s="99">
        <f t="shared" ref="AB157" si="107">AA157*S157/100</f>
        <v>1.5965644612342983E-2</v>
      </c>
      <c r="AC157" s="88"/>
      <c r="AD157" s="88">
        <f t="shared" ref="AD157" si="108">+R157-Y157</f>
        <v>3575000</v>
      </c>
      <c r="AE157" s="86"/>
    </row>
    <row r="158" spans="1:35" ht="12.95" customHeight="1" x14ac:dyDescent="0.35">
      <c r="A158" s="199"/>
      <c r="B158" s="215"/>
      <c r="C158" s="217"/>
      <c r="D158" s="217"/>
      <c r="E158" s="217"/>
      <c r="F158" s="217"/>
      <c r="G158" s="218"/>
      <c r="H158" s="107"/>
      <c r="I158" s="108"/>
      <c r="J158" s="109"/>
      <c r="K158" s="110"/>
      <c r="L158" s="111"/>
      <c r="M158" s="111"/>
      <c r="N158" s="111"/>
      <c r="O158" s="134"/>
      <c r="P158" s="111"/>
      <c r="Q158" s="207"/>
      <c r="R158" s="107"/>
      <c r="S158" s="113"/>
      <c r="T158" s="195"/>
      <c r="U158" s="198"/>
      <c r="V158" s="198"/>
      <c r="W158" s="198"/>
      <c r="X158" s="198"/>
      <c r="Y158" s="116"/>
      <c r="Z158" s="195"/>
      <c r="AA158" s="100"/>
      <c r="AB158" s="197"/>
      <c r="AC158" s="116"/>
      <c r="AD158" s="116"/>
      <c r="AE158" s="114"/>
    </row>
    <row r="159" spans="1:35" s="28" customFormat="1" ht="12.95" customHeight="1" x14ac:dyDescent="0.35">
      <c r="A159" s="210">
        <v>521115</v>
      </c>
      <c r="B159" s="496" t="s">
        <v>152</v>
      </c>
      <c r="C159" s="232"/>
      <c r="D159" s="232"/>
      <c r="E159" s="232"/>
      <c r="F159" s="232"/>
      <c r="G159" s="233"/>
      <c r="H159" s="107"/>
      <c r="I159" s="108"/>
      <c r="J159" s="109"/>
      <c r="K159" s="110"/>
      <c r="L159" s="111"/>
      <c r="M159" s="111"/>
      <c r="N159" s="111"/>
      <c r="O159" s="182"/>
      <c r="P159" s="140"/>
      <c r="Q159" s="228"/>
      <c r="R159" s="201"/>
      <c r="S159" s="113"/>
      <c r="T159" s="190"/>
      <c r="U159" s="191"/>
      <c r="V159" s="191"/>
      <c r="W159" s="191"/>
      <c r="X159" s="191"/>
      <c r="Y159" s="192"/>
      <c r="Z159" s="190"/>
      <c r="AA159" s="178"/>
      <c r="AB159" s="193"/>
      <c r="AC159" s="192"/>
      <c r="AD159" s="192"/>
      <c r="AE159" s="179"/>
    </row>
    <row r="160" spans="1:35" ht="12.95" customHeight="1" x14ac:dyDescent="0.35">
      <c r="A160" s="199"/>
      <c r="B160" s="104"/>
      <c r="C160" s="217" t="s">
        <v>153</v>
      </c>
      <c r="D160" s="217"/>
      <c r="E160" s="217"/>
      <c r="F160" s="217"/>
      <c r="G160" s="218"/>
      <c r="H160" s="107"/>
      <c r="I160" s="108"/>
      <c r="J160" s="109"/>
      <c r="K160" s="110"/>
      <c r="L160" s="111"/>
      <c r="M160" s="111"/>
      <c r="N160" s="111"/>
      <c r="O160" s="134"/>
      <c r="P160" s="111"/>
      <c r="Q160" s="207"/>
      <c r="R160" s="188"/>
      <c r="S160" s="113"/>
      <c r="T160" s="195"/>
      <c r="U160" s="198"/>
      <c r="V160" s="198"/>
      <c r="W160" s="198"/>
      <c r="X160" s="198"/>
      <c r="Y160" s="116"/>
      <c r="Z160" s="195"/>
      <c r="AA160" s="202"/>
      <c r="AB160" s="197"/>
      <c r="AC160" s="116"/>
      <c r="AD160" s="116"/>
      <c r="AE160" s="114"/>
    </row>
    <row r="161" spans="1:31" ht="12.95" customHeight="1" x14ac:dyDescent="0.35">
      <c r="A161" s="199"/>
      <c r="B161" s="234" t="s">
        <v>82</v>
      </c>
      <c r="C161" s="217" t="s">
        <v>154</v>
      </c>
      <c r="D161" s="111"/>
      <c r="E161" s="217"/>
      <c r="F161" s="217"/>
      <c r="G161" s="217"/>
      <c r="H161" s="107"/>
      <c r="I161" s="108"/>
      <c r="J161" s="109"/>
      <c r="K161" s="110"/>
      <c r="L161" s="111"/>
      <c r="M161" s="111"/>
      <c r="N161" s="111"/>
      <c r="O161" s="134">
        <v>12</v>
      </c>
      <c r="P161" s="111" t="s">
        <v>145</v>
      </c>
      <c r="Q161" s="207"/>
      <c r="R161" s="107">
        <f>O161*900000</f>
        <v>10800000</v>
      </c>
      <c r="S161" s="85">
        <f t="shared" ref="S161:S166" si="109">+R161/$R$184*100</f>
        <v>0.48231877430294889</v>
      </c>
      <c r="T161" s="99"/>
      <c r="U161" s="87"/>
      <c r="V161" s="87"/>
      <c r="W161" s="87"/>
      <c r="X161" s="87"/>
      <c r="Y161" s="88">
        <f>R161/12*7</f>
        <v>6300000</v>
      </c>
      <c r="Z161" s="99">
        <f t="shared" ref="Z161:Z166" si="110">+Y161/R161*100</f>
        <v>58.333333333333336</v>
      </c>
      <c r="AA161" s="100">
        <f t="shared" ref="AA161:AA166" si="111">1/14*Z161</f>
        <v>4.166666666666667</v>
      </c>
      <c r="AB161" s="99">
        <f t="shared" ref="AB161:AB166" si="112">AA161*S161/100</f>
        <v>2.0096615595956203E-2</v>
      </c>
      <c r="AC161" s="88"/>
      <c r="AD161" s="88">
        <f t="shared" ref="AD161:AD166" si="113">+R161-Y161</f>
        <v>4500000</v>
      </c>
      <c r="AE161" s="86"/>
    </row>
    <row r="162" spans="1:31" ht="12.95" customHeight="1" x14ac:dyDescent="0.35">
      <c r="A162" s="199"/>
      <c r="B162" s="234" t="s">
        <v>82</v>
      </c>
      <c r="C162" s="217" t="s">
        <v>155</v>
      </c>
      <c r="D162" s="111"/>
      <c r="E162" s="217"/>
      <c r="F162" s="217"/>
      <c r="G162" s="217"/>
      <c r="H162" s="107"/>
      <c r="I162" s="108"/>
      <c r="J162" s="109"/>
      <c r="K162" s="110"/>
      <c r="L162" s="111"/>
      <c r="M162" s="111"/>
      <c r="N162" s="111"/>
      <c r="O162" s="134">
        <v>12</v>
      </c>
      <c r="P162" s="111" t="s">
        <v>145</v>
      </c>
      <c r="Q162" s="207"/>
      <c r="R162" s="107">
        <f>O162*700000</f>
        <v>8400000</v>
      </c>
      <c r="S162" s="85">
        <f t="shared" si="109"/>
        <v>0.37513682445784913</v>
      </c>
      <c r="T162" s="99"/>
      <c r="U162" s="87"/>
      <c r="V162" s="87"/>
      <c r="W162" s="87"/>
      <c r="X162" s="87"/>
      <c r="Y162" s="88">
        <f>R162/12*7</f>
        <v>4900000</v>
      </c>
      <c r="Z162" s="99">
        <f t="shared" si="110"/>
        <v>58.333333333333336</v>
      </c>
      <c r="AA162" s="100">
        <f t="shared" si="111"/>
        <v>4.166666666666667</v>
      </c>
      <c r="AB162" s="99">
        <f t="shared" si="112"/>
        <v>1.5630701019077049E-2</v>
      </c>
      <c r="AC162" s="88"/>
      <c r="AD162" s="88">
        <f t="shared" si="113"/>
        <v>3500000</v>
      </c>
      <c r="AE162" s="114"/>
    </row>
    <row r="163" spans="1:31" ht="12.95" customHeight="1" x14ac:dyDescent="0.35">
      <c r="A163" s="199"/>
      <c r="B163" s="234" t="s">
        <v>82</v>
      </c>
      <c r="C163" s="111" t="s">
        <v>156</v>
      </c>
      <c r="D163" s="111"/>
      <c r="E163" s="217"/>
      <c r="F163" s="217"/>
      <c r="G163" s="217"/>
      <c r="H163" s="107"/>
      <c r="I163" s="108"/>
      <c r="J163" s="109"/>
      <c r="K163" s="110"/>
      <c r="L163" s="111"/>
      <c r="M163" s="111"/>
      <c r="N163" s="111"/>
      <c r="O163" s="134">
        <v>3</v>
      </c>
      <c r="P163" s="111" t="s">
        <v>145</v>
      </c>
      <c r="Q163" s="207"/>
      <c r="R163" s="107">
        <f>O163*400000</f>
        <v>1200000</v>
      </c>
      <c r="S163" s="85">
        <f t="shared" si="109"/>
        <v>5.3590974922549883E-2</v>
      </c>
      <c r="T163" s="99"/>
      <c r="U163" s="87"/>
      <c r="V163" s="87"/>
      <c r="W163" s="87"/>
      <c r="X163" s="87"/>
      <c r="Y163" s="88">
        <v>1200000</v>
      </c>
      <c r="Z163" s="99">
        <f t="shared" si="110"/>
        <v>100</v>
      </c>
      <c r="AA163" s="100">
        <f t="shared" si="111"/>
        <v>7.1428571428571423</v>
      </c>
      <c r="AB163" s="99">
        <f t="shared" si="112"/>
        <v>3.8279267801821343E-3</v>
      </c>
      <c r="AC163" s="88"/>
      <c r="AD163" s="88">
        <f t="shared" si="113"/>
        <v>0</v>
      </c>
      <c r="AE163" s="114"/>
    </row>
    <row r="164" spans="1:31" ht="12.95" customHeight="1" x14ac:dyDescent="0.35">
      <c r="A164" s="199"/>
      <c r="B164" s="234" t="s">
        <v>82</v>
      </c>
      <c r="C164" s="217" t="s">
        <v>157</v>
      </c>
      <c r="D164" s="111"/>
      <c r="E164" s="217"/>
      <c r="F164" s="217"/>
      <c r="G164" s="217"/>
      <c r="H164" s="107"/>
      <c r="I164" s="108"/>
      <c r="J164" s="109"/>
      <c r="K164" s="110"/>
      <c r="L164" s="111"/>
      <c r="M164" s="111"/>
      <c r="N164" s="111"/>
      <c r="O164" s="134">
        <v>12</v>
      </c>
      <c r="P164" s="111" t="s">
        <v>145</v>
      </c>
      <c r="Q164" s="207"/>
      <c r="R164" s="107">
        <f>O164*700000</f>
        <v>8400000</v>
      </c>
      <c r="S164" s="85">
        <f t="shared" si="109"/>
        <v>0.37513682445784913</v>
      </c>
      <c r="T164" s="99"/>
      <c r="U164" s="87"/>
      <c r="V164" s="87"/>
      <c r="W164" s="87"/>
      <c r="X164" s="87"/>
      <c r="Y164" s="88">
        <f>R164/12*7</f>
        <v>4900000</v>
      </c>
      <c r="Z164" s="99">
        <f t="shared" si="110"/>
        <v>58.333333333333336</v>
      </c>
      <c r="AA164" s="100">
        <f t="shared" si="111"/>
        <v>4.166666666666667</v>
      </c>
      <c r="AB164" s="99">
        <f t="shared" si="112"/>
        <v>1.5630701019077049E-2</v>
      </c>
      <c r="AC164" s="88"/>
      <c r="AD164" s="88">
        <f t="shared" si="113"/>
        <v>3500000</v>
      </c>
      <c r="AE164" s="114"/>
    </row>
    <row r="165" spans="1:31" ht="12.95" customHeight="1" x14ac:dyDescent="0.35">
      <c r="A165" s="199"/>
      <c r="B165" s="234" t="s">
        <v>82</v>
      </c>
      <c r="C165" s="217" t="s">
        <v>158</v>
      </c>
      <c r="D165" s="111"/>
      <c r="E165" s="217"/>
      <c r="F165" s="217"/>
      <c r="G165" s="217"/>
      <c r="H165" s="107"/>
      <c r="I165" s="108"/>
      <c r="J165" s="109"/>
      <c r="K165" s="110"/>
      <c r="L165" s="111"/>
      <c r="M165" s="111"/>
      <c r="N165" s="111"/>
      <c r="O165" s="134">
        <v>12</v>
      </c>
      <c r="P165" s="111" t="s">
        <v>145</v>
      </c>
      <c r="Q165" s="207"/>
      <c r="R165" s="107">
        <f>O165*650000</f>
        <v>7800000</v>
      </c>
      <c r="S165" s="85">
        <f t="shared" si="109"/>
        <v>0.34834133699657421</v>
      </c>
      <c r="T165" s="99"/>
      <c r="U165" s="87"/>
      <c r="V165" s="87"/>
      <c r="W165" s="87"/>
      <c r="X165" s="87"/>
      <c r="Y165" s="88">
        <f>R165/12*7</f>
        <v>4550000</v>
      </c>
      <c r="Z165" s="99">
        <f t="shared" si="110"/>
        <v>58.333333333333336</v>
      </c>
      <c r="AA165" s="100">
        <f t="shared" si="111"/>
        <v>4.166666666666667</v>
      </c>
      <c r="AB165" s="99">
        <f t="shared" si="112"/>
        <v>1.451422237485726E-2</v>
      </c>
      <c r="AC165" s="88"/>
      <c r="AD165" s="88">
        <f t="shared" si="113"/>
        <v>3250000</v>
      </c>
      <c r="AE165" s="114"/>
    </row>
    <row r="166" spans="1:31" ht="12.95" customHeight="1" x14ac:dyDescent="0.35">
      <c r="A166" s="199"/>
      <c r="B166" s="234" t="s">
        <v>82</v>
      </c>
      <c r="C166" s="217" t="s">
        <v>159</v>
      </c>
      <c r="D166" s="111"/>
      <c r="E166" s="217"/>
      <c r="F166" s="217"/>
      <c r="G166" s="218"/>
      <c r="H166" s="107"/>
      <c r="I166" s="108"/>
      <c r="J166" s="109"/>
      <c r="K166" s="110"/>
      <c r="L166" s="111"/>
      <c r="M166" s="111"/>
      <c r="N166" s="111"/>
      <c r="O166" s="134">
        <v>24</v>
      </c>
      <c r="P166" s="111" t="s">
        <v>145</v>
      </c>
      <c r="Q166" s="207"/>
      <c r="R166" s="107">
        <f>O166*300000</f>
        <v>7200000</v>
      </c>
      <c r="S166" s="85">
        <f t="shared" si="109"/>
        <v>0.32154584953529924</v>
      </c>
      <c r="T166" s="99"/>
      <c r="U166" s="87"/>
      <c r="V166" s="87"/>
      <c r="W166" s="87"/>
      <c r="X166" s="87"/>
      <c r="Y166" s="88">
        <f>R166/12*7</f>
        <v>4200000</v>
      </c>
      <c r="Z166" s="99">
        <f t="shared" si="110"/>
        <v>58.333333333333336</v>
      </c>
      <c r="AA166" s="100">
        <f t="shared" si="111"/>
        <v>4.166666666666667</v>
      </c>
      <c r="AB166" s="99">
        <f t="shared" si="112"/>
        <v>1.3397743730637471E-2</v>
      </c>
      <c r="AC166" s="88"/>
      <c r="AD166" s="88">
        <f t="shared" si="113"/>
        <v>3000000</v>
      </c>
      <c r="AE166" s="114"/>
    </row>
    <row r="167" spans="1:31" ht="12.95" customHeight="1" x14ac:dyDescent="0.35">
      <c r="A167" s="132"/>
      <c r="B167" s="104"/>
      <c r="C167" s="511" t="s">
        <v>160</v>
      </c>
      <c r="D167" s="511"/>
      <c r="E167" s="511"/>
      <c r="F167" s="511"/>
      <c r="G167" s="512"/>
      <c r="H167" s="107"/>
      <c r="I167" s="108"/>
      <c r="J167" s="109"/>
      <c r="K167" s="110"/>
      <c r="L167" s="111"/>
      <c r="M167" s="111"/>
      <c r="N167" s="111"/>
      <c r="O167" s="112"/>
      <c r="P167" s="105"/>
      <c r="Q167" s="212"/>
      <c r="R167" s="188"/>
      <c r="S167" s="113"/>
      <c r="T167" s="195"/>
      <c r="U167" s="198"/>
      <c r="V167" s="198"/>
      <c r="W167" s="198"/>
      <c r="X167" s="198"/>
      <c r="Y167" s="116"/>
      <c r="Z167" s="195"/>
      <c r="AA167" s="100"/>
      <c r="AB167" s="197"/>
      <c r="AC167" s="116"/>
      <c r="AD167" s="116"/>
      <c r="AE167" s="114"/>
    </row>
    <row r="168" spans="1:31" ht="12.95" customHeight="1" x14ac:dyDescent="0.35">
      <c r="A168" s="199"/>
      <c r="B168" s="234" t="s">
        <v>82</v>
      </c>
      <c r="C168" s="217" t="s">
        <v>161</v>
      </c>
      <c r="D168" s="111"/>
      <c r="E168" s="217"/>
      <c r="F168" s="217"/>
      <c r="G168" s="217"/>
      <c r="H168" s="107"/>
      <c r="I168" s="108"/>
      <c r="J168" s="109"/>
      <c r="K168" s="110"/>
      <c r="L168" s="111"/>
      <c r="M168" s="111"/>
      <c r="N168" s="111"/>
      <c r="O168" s="134">
        <v>12</v>
      </c>
      <c r="P168" s="111" t="s">
        <v>145</v>
      </c>
      <c r="Q168" s="207"/>
      <c r="R168" s="107">
        <f>O168*350000</f>
        <v>4200000</v>
      </c>
      <c r="S168" s="85">
        <f t="shared" ref="S168:S171" si="114">+R168/$R$184*100</f>
        <v>0.18756841222892456</v>
      </c>
      <c r="T168" s="99"/>
      <c r="U168" s="87"/>
      <c r="V168" s="87"/>
      <c r="W168" s="87"/>
      <c r="X168" s="87"/>
      <c r="Y168" s="88">
        <f>R168/12*7</f>
        <v>2450000</v>
      </c>
      <c r="Z168" s="99">
        <f t="shared" ref="Z168:Z171" si="115">+Y168/R168*100</f>
        <v>58.333333333333336</v>
      </c>
      <c r="AA168" s="100">
        <f t="shared" ref="AA168:AA170" si="116">1/14*Z168</f>
        <v>4.166666666666667</v>
      </c>
      <c r="AB168" s="99">
        <f t="shared" ref="AB168:AB171" si="117">AA168*S168/100</f>
        <v>7.8153505095385246E-3</v>
      </c>
      <c r="AC168" s="88"/>
      <c r="AD168" s="88">
        <f t="shared" ref="AD168:AD171" si="118">+R168-Y168</f>
        <v>1750000</v>
      </c>
      <c r="AE168" s="86"/>
    </row>
    <row r="169" spans="1:31" ht="12.95" customHeight="1" x14ac:dyDescent="0.35">
      <c r="A169" s="199"/>
      <c r="B169" s="234" t="s">
        <v>82</v>
      </c>
      <c r="C169" s="217" t="s">
        <v>162</v>
      </c>
      <c r="D169" s="111"/>
      <c r="E169" s="217"/>
      <c r="F169" s="217"/>
      <c r="G169" s="217"/>
      <c r="H169" s="107"/>
      <c r="I169" s="108"/>
      <c r="J169" s="109"/>
      <c r="K169" s="110"/>
      <c r="L169" s="111"/>
      <c r="M169" s="111"/>
      <c r="N169" s="111"/>
      <c r="O169" s="134">
        <v>12</v>
      </c>
      <c r="P169" s="111" t="s">
        <v>145</v>
      </c>
      <c r="Q169" s="207"/>
      <c r="R169" s="107">
        <f>O169*300000</f>
        <v>3600000</v>
      </c>
      <c r="S169" s="85">
        <f t="shared" si="114"/>
        <v>0.16077292476764962</v>
      </c>
      <c r="T169" s="99"/>
      <c r="U169" s="87"/>
      <c r="V169" s="87"/>
      <c r="W169" s="87"/>
      <c r="X169" s="87"/>
      <c r="Y169" s="88">
        <f>R169/12*7</f>
        <v>2100000</v>
      </c>
      <c r="Z169" s="99">
        <f t="shared" si="115"/>
        <v>58.333333333333336</v>
      </c>
      <c r="AA169" s="100">
        <f t="shared" si="116"/>
        <v>4.166666666666667</v>
      </c>
      <c r="AB169" s="99">
        <f t="shared" si="117"/>
        <v>6.6988718653187354E-3</v>
      </c>
      <c r="AC169" s="88"/>
      <c r="AD169" s="88">
        <f t="shared" si="118"/>
        <v>1500000</v>
      </c>
      <c r="AE169" s="114"/>
    </row>
    <row r="170" spans="1:31" ht="12.95" customHeight="1" x14ac:dyDescent="0.35">
      <c r="A170" s="199"/>
      <c r="B170" s="234" t="s">
        <v>82</v>
      </c>
      <c r="C170" s="217" t="s">
        <v>163</v>
      </c>
      <c r="D170" s="111"/>
      <c r="E170" s="217"/>
      <c r="F170" s="217"/>
      <c r="G170" s="217"/>
      <c r="H170" s="107"/>
      <c r="I170" s="108"/>
      <c r="J170" s="109"/>
      <c r="K170" s="110"/>
      <c r="L170" s="111"/>
      <c r="M170" s="111"/>
      <c r="N170" s="111"/>
      <c r="O170" s="134">
        <v>12</v>
      </c>
      <c r="P170" s="111" t="s">
        <v>145</v>
      </c>
      <c r="Q170" s="207"/>
      <c r="R170" s="107">
        <f>O170*250000</f>
        <v>3000000</v>
      </c>
      <c r="S170" s="85">
        <f t="shared" si="114"/>
        <v>0.13397743730637471</v>
      </c>
      <c r="T170" s="99"/>
      <c r="U170" s="87"/>
      <c r="V170" s="87"/>
      <c r="W170" s="87"/>
      <c r="X170" s="87"/>
      <c r="Y170" s="88">
        <f>R170/12*7</f>
        <v>1750000</v>
      </c>
      <c r="Z170" s="99">
        <f t="shared" si="115"/>
        <v>58.333333333333336</v>
      </c>
      <c r="AA170" s="100">
        <f t="shared" si="116"/>
        <v>4.166666666666667</v>
      </c>
      <c r="AB170" s="99">
        <f t="shared" si="117"/>
        <v>5.582393221098947E-3</v>
      </c>
      <c r="AC170" s="88"/>
      <c r="AD170" s="88">
        <f t="shared" si="118"/>
        <v>1250000</v>
      </c>
      <c r="AE170" s="114"/>
    </row>
    <row r="171" spans="1:31" ht="12.95" customHeight="1" x14ac:dyDescent="0.35">
      <c r="A171" s="199"/>
      <c r="B171" s="234" t="s">
        <v>82</v>
      </c>
      <c r="C171" s="217" t="s">
        <v>164</v>
      </c>
      <c r="D171" s="111"/>
      <c r="E171" s="217"/>
      <c r="F171" s="217"/>
      <c r="G171" s="217"/>
      <c r="H171" s="107"/>
      <c r="I171" s="108"/>
      <c r="J171" s="109"/>
      <c r="K171" s="110"/>
      <c r="L171" s="111"/>
      <c r="M171" s="111"/>
      <c r="N171" s="111"/>
      <c r="O171" s="134">
        <v>48</v>
      </c>
      <c r="P171" s="111" t="s">
        <v>145</v>
      </c>
      <c r="Q171" s="207"/>
      <c r="R171" s="107">
        <f>O171*200000</f>
        <v>9600000</v>
      </c>
      <c r="S171" s="85">
        <f t="shared" si="114"/>
        <v>0.42872779938039907</v>
      </c>
      <c r="T171" s="99"/>
      <c r="U171" s="87"/>
      <c r="V171" s="87"/>
      <c r="W171" s="87"/>
      <c r="X171" s="87"/>
      <c r="Y171" s="88">
        <f>R171/12*7</f>
        <v>5600000</v>
      </c>
      <c r="Z171" s="99">
        <f t="shared" si="115"/>
        <v>58.333333333333336</v>
      </c>
      <c r="AA171" s="100">
        <f>1/14*Z171</f>
        <v>4.166666666666667</v>
      </c>
      <c r="AB171" s="99">
        <f t="shared" si="117"/>
        <v>1.7863658307516631E-2</v>
      </c>
      <c r="AC171" s="88"/>
      <c r="AD171" s="88">
        <f t="shared" si="118"/>
        <v>4000000</v>
      </c>
      <c r="AE171" s="114"/>
    </row>
    <row r="172" spans="1:31" ht="12.95" customHeight="1" x14ac:dyDescent="0.35">
      <c r="A172" s="199"/>
      <c r="B172" s="234"/>
      <c r="C172" s="217"/>
      <c r="D172" s="111"/>
      <c r="E172" s="217"/>
      <c r="F172" s="217"/>
      <c r="G172" s="217"/>
      <c r="H172" s="107"/>
      <c r="I172" s="108"/>
      <c r="J172" s="109"/>
      <c r="K172" s="110"/>
      <c r="L172" s="111"/>
      <c r="M172" s="111"/>
      <c r="N172" s="111"/>
      <c r="O172" s="134"/>
      <c r="P172" s="111"/>
      <c r="Q172" s="207"/>
      <c r="R172" s="107"/>
      <c r="S172" s="113"/>
      <c r="T172" s="195"/>
      <c r="U172" s="196"/>
      <c r="V172" s="196"/>
      <c r="W172" s="196"/>
      <c r="X172" s="196"/>
      <c r="Y172" s="116"/>
      <c r="Z172" s="195"/>
      <c r="AA172" s="100"/>
      <c r="AB172" s="197"/>
      <c r="AC172" s="116"/>
      <c r="AD172" s="116"/>
      <c r="AE172" s="114"/>
    </row>
    <row r="173" spans="1:31" ht="12.95" customHeight="1" x14ac:dyDescent="0.35">
      <c r="A173" s="219">
        <v>521219</v>
      </c>
      <c r="B173" s="211" t="s">
        <v>165</v>
      </c>
      <c r="C173" s="105"/>
      <c r="D173" s="105"/>
      <c r="E173" s="105"/>
      <c r="F173" s="105"/>
      <c r="G173" s="106"/>
      <c r="H173" s="188"/>
      <c r="I173" s="171"/>
      <c r="J173" s="170"/>
      <c r="K173" s="189"/>
      <c r="L173" s="105"/>
      <c r="M173" s="105"/>
      <c r="N173" s="105"/>
      <c r="O173" s="112"/>
      <c r="P173" s="105"/>
      <c r="Q173" s="212"/>
      <c r="R173" s="188"/>
      <c r="S173" s="113"/>
      <c r="T173" s="190"/>
      <c r="U173" s="191"/>
      <c r="V173" s="191"/>
      <c r="W173" s="191"/>
      <c r="X173" s="191"/>
      <c r="Y173" s="192"/>
      <c r="Z173" s="190"/>
      <c r="AA173" s="100"/>
      <c r="AB173" s="193"/>
      <c r="AC173" s="192"/>
      <c r="AD173" s="192"/>
      <c r="AE173" s="179"/>
    </row>
    <row r="174" spans="1:31" ht="12.95" customHeight="1" x14ac:dyDescent="0.35">
      <c r="A174" s="199"/>
      <c r="B174" s="299" t="s">
        <v>82</v>
      </c>
      <c r="C174" s="300" t="s">
        <v>166</v>
      </c>
      <c r="D174" s="81"/>
      <c r="E174" s="81"/>
      <c r="F174" s="81"/>
      <c r="G174" s="289"/>
      <c r="H174" s="77"/>
      <c r="I174" s="78"/>
      <c r="J174" s="79"/>
      <c r="K174" s="80"/>
      <c r="L174" s="81"/>
      <c r="M174" s="81"/>
      <c r="N174" s="81"/>
      <c r="O174" s="185">
        <v>1</v>
      </c>
      <c r="P174" s="81" t="s">
        <v>83</v>
      </c>
      <c r="Q174" s="144"/>
      <c r="R174" s="77">
        <f>O174*4500000</f>
        <v>4500000</v>
      </c>
      <c r="S174" s="85">
        <f t="shared" ref="S174:S175" si="119">+R174/$R$184*100</f>
        <v>0.20096615595956205</v>
      </c>
      <c r="T174" s="99"/>
      <c r="U174" s="87"/>
      <c r="V174" s="87"/>
      <c r="W174" s="87"/>
      <c r="X174" s="87"/>
      <c r="Y174" s="88">
        <v>0</v>
      </c>
      <c r="Z174" s="99">
        <f t="shared" ref="Z174:Z175" si="120">+Y174/R174*100</f>
        <v>0</v>
      </c>
      <c r="AA174" s="100">
        <f t="shared" ref="AA174:AA175" si="121">Z174</f>
        <v>0</v>
      </c>
      <c r="AB174" s="99">
        <f t="shared" ref="AB174:AB175" si="122">AA174*S174/100</f>
        <v>0</v>
      </c>
      <c r="AC174" s="88"/>
      <c r="AD174" s="88">
        <f t="shared" ref="AD174:AD175" si="123">+R174-Y174</f>
        <v>4500000</v>
      </c>
      <c r="AE174" s="86"/>
    </row>
    <row r="175" spans="1:31" ht="12.95" customHeight="1" x14ac:dyDescent="0.35">
      <c r="A175" s="199"/>
      <c r="B175" s="235" t="s">
        <v>82</v>
      </c>
      <c r="C175" s="216" t="s">
        <v>167</v>
      </c>
      <c r="D175" s="111"/>
      <c r="E175" s="111"/>
      <c r="F175" s="111"/>
      <c r="G175" s="137"/>
      <c r="H175" s="107"/>
      <c r="I175" s="108"/>
      <c r="J175" s="109"/>
      <c r="K175" s="110"/>
      <c r="L175" s="111"/>
      <c r="M175" s="111"/>
      <c r="N175" s="111"/>
      <c r="O175" s="134">
        <v>2</v>
      </c>
      <c r="P175" s="111" t="s">
        <v>147</v>
      </c>
      <c r="Q175" s="207"/>
      <c r="R175" s="107">
        <f>O175*3000000</f>
        <v>6000000</v>
      </c>
      <c r="S175" s="85">
        <f t="shared" si="119"/>
        <v>0.26795487461274942</v>
      </c>
      <c r="T175" s="99"/>
      <c r="U175" s="87"/>
      <c r="V175" s="87"/>
      <c r="W175" s="87"/>
      <c r="X175" s="87"/>
      <c r="Y175" s="88">
        <v>0</v>
      </c>
      <c r="Z175" s="99">
        <f t="shared" si="120"/>
        <v>0</v>
      </c>
      <c r="AA175" s="100">
        <f t="shared" si="121"/>
        <v>0</v>
      </c>
      <c r="AB175" s="99">
        <f t="shared" si="122"/>
        <v>0</v>
      </c>
      <c r="AC175" s="88"/>
      <c r="AD175" s="88">
        <f t="shared" si="123"/>
        <v>6000000</v>
      </c>
      <c r="AE175" s="114"/>
    </row>
    <row r="176" spans="1:31" ht="12.95" customHeight="1" x14ac:dyDescent="0.35">
      <c r="A176" s="199"/>
      <c r="B176" s="235"/>
      <c r="C176" s="216"/>
      <c r="D176" s="111"/>
      <c r="E176" s="111"/>
      <c r="F176" s="111"/>
      <c r="G176" s="137"/>
      <c r="H176" s="107"/>
      <c r="I176" s="108"/>
      <c r="J176" s="109"/>
      <c r="K176" s="110"/>
      <c r="L176" s="111"/>
      <c r="M176" s="111"/>
      <c r="N176" s="111"/>
      <c r="O176" s="134"/>
      <c r="P176" s="111"/>
      <c r="Q176" s="207"/>
      <c r="R176" s="107"/>
      <c r="S176" s="113"/>
      <c r="T176" s="195"/>
      <c r="U176" s="196"/>
      <c r="V176" s="196"/>
      <c r="W176" s="196"/>
      <c r="X176" s="196"/>
      <c r="Y176" s="116"/>
      <c r="Z176" s="195"/>
      <c r="AA176" s="100"/>
      <c r="AB176" s="197"/>
      <c r="AC176" s="116"/>
      <c r="AD176" s="116"/>
      <c r="AE176" s="114"/>
    </row>
    <row r="177" spans="1:32" ht="12.95" customHeight="1" x14ac:dyDescent="0.35">
      <c r="A177" s="219">
        <v>522141</v>
      </c>
      <c r="B177" s="513" t="s">
        <v>168</v>
      </c>
      <c r="C177" s="514"/>
      <c r="D177" s="514"/>
      <c r="E177" s="514"/>
      <c r="F177" s="514"/>
      <c r="G177" s="515"/>
      <c r="H177" s="107"/>
      <c r="I177" s="108"/>
      <c r="J177" s="109"/>
      <c r="K177" s="110"/>
      <c r="L177" s="111"/>
      <c r="M177" s="111"/>
      <c r="N177" s="111"/>
      <c r="O177" s="134"/>
      <c r="P177" s="111"/>
      <c r="Q177" s="207"/>
      <c r="R177" s="107"/>
      <c r="S177" s="113"/>
      <c r="T177" s="195"/>
      <c r="U177" s="196"/>
      <c r="V177" s="196"/>
      <c r="W177" s="196"/>
      <c r="X177" s="196"/>
      <c r="Y177" s="116"/>
      <c r="Z177" s="195"/>
      <c r="AA177" s="100"/>
      <c r="AB177" s="197"/>
      <c r="AC177" s="116"/>
      <c r="AD177" s="116"/>
      <c r="AE177" s="114"/>
    </row>
    <row r="178" spans="1:32" ht="12.95" customHeight="1" x14ac:dyDescent="0.35">
      <c r="A178" s="199"/>
      <c r="B178" s="235" t="s">
        <v>82</v>
      </c>
      <c r="C178" s="216" t="s">
        <v>169</v>
      </c>
      <c r="D178" s="111"/>
      <c r="E178" s="111"/>
      <c r="F178" s="111"/>
      <c r="G178" s="137"/>
      <c r="H178" s="107"/>
      <c r="I178" s="108"/>
      <c r="J178" s="109"/>
      <c r="K178" s="110"/>
      <c r="L178" s="111"/>
      <c r="M178" s="111"/>
      <c r="N178" s="111"/>
      <c r="O178" s="134">
        <v>1</v>
      </c>
      <c r="P178" s="111" t="s">
        <v>83</v>
      </c>
      <c r="Q178" s="207"/>
      <c r="R178" s="107">
        <f>O178*4000000</f>
        <v>4000000</v>
      </c>
      <c r="S178" s="85">
        <f t="shared" ref="S178" si="124">+R178/$R$184*100</f>
        <v>0.17863658307516625</v>
      </c>
      <c r="T178" s="99"/>
      <c r="U178" s="87"/>
      <c r="V178" s="87"/>
      <c r="W178" s="87"/>
      <c r="X178" s="87"/>
      <c r="Y178" s="88">
        <v>0</v>
      </c>
      <c r="Z178" s="99">
        <f t="shared" ref="Z178" si="125">+Y178/R178*100</f>
        <v>0</v>
      </c>
      <c r="AA178" s="100">
        <f t="shared" ref="AA178" si="126">Z178</f>
        <v>0</v>
      </c>
      <c r="AB178" s="99">
        <f t="shared" ref="AB178" si="127">AA178*S178/100</f>
        <v>0</v>
      </c>
      <c r="AC178" s="88"/>
      <c r="AD178" s="88">
        <f t="shared" ref="AD178" si="128">+R178-Y178</f>
        <v>4000000</v>
      </c>
      <c r="AE178" s="86"/>
    </row>
    <row r="179" spans="1:32" ht="12.95" customHeight="1" x14ac:dyDescent="0.35">
      <c r="A179" s="199"/>
      <c r="B179" s="235"/>
      <c r="C179" s="216"/>
      <c r="D179" s="111"/>
      <c r="E179" s="111"/>
      <c r="F179" s="111"/>
      <c r="G179" s="137"/>
      <c r="H179" s="107"/>
      <c r="I179" s="108"/>
      <c r="J179" s="109"/>
      <c r="K179" s="110"/>
      <c r="L179" s="111"/>
      <c r="M179" s="111"/>
      <c r="N179" s="111"/>
      <c r="O179" s="134"/>
      <c r="P179" s="111"/>
      <c r="Q179" s="207"/>
      <c r="R179" s="107"/>
      <c r="S179" s="113"/>
      <c r="T179" s="195"/>
      <c r="U179" s="196"/>
      <c r="V179" s="196"/>
      <c r="W179" s="196"/>
      <c r="X179" s="196"/>
      <c r="Y179" s="116"/>
      <c r="Z179" s="195"/>
      <c r="AA179" s="100"/>
      <c r="AB179" s="197"/>
      <c r="AC179" s="116"/>
      <c r="AD179" s="116"/>
      <c r="AE179" s="114"/>
    </row>
    <row r="180" spans="1:32" ht="12.95" customHeight="1" x14ac:dyDescent="0.35">
      <c r="A180" s="199">
        <v>524111</v>
      </c>
      <c r="B180" s="301" t="s">
        <v>85</v>
      </c>
      <c r="C180" s="216"/>
      <c r="D180" s="111"/>
      <c r="E180" s="111"/>
      <c r="F180" s="111"/>
      <c r="G180" s="137"/>
      <c r="H180" s="107"/>
      <c r="I180" s="108"/>
      <c r="J180" s="109"/>
      <c r="K180" s="110"/>
      <c r="L180" s="111"/>
      <c r="M180" s="111"/>
      <c r="N180" s="111"/>
      <c r="O180" s="134"/>
      <c r="P180" s="111"/>
      <c r="Q180" s="207"/>
      <c r="R180" s="107"/>
      <c r="S180" s="113"/>
      <c r="T180" s="195"/>
      <c r="U180" s="196"/>
      <c r="V180" s="196"/>
      <c r="W180" s="196"/>
      <c r="X180" s="196"/>
      <c r="Y180" s="116"/>
      <c r="Z180" s="195"/>
      <c r="AA180" s="100"/>
      <c r="AB180" s="197"/>
      <c r="AC180" s="116"/>
      <c r="AD180" s="116"/>
      <c r="AE180" s="114"/>
    </row>
    <row r="181" spans="1:32" ht="12.95" customHeight="1" x14ac:dyDescent="0.35">
      <c r="A181" s="199"/>
      <c r="B181" s="230" t="s">
        <v>82</v>
      </c>
      <c r="C181" s="217" t="s">
        <v>102</v>
      </c>
      <c r="D181" s="217"/>
      <c r="E181" s="217"/>
      <c r="F181" s="217"/>
      <c r="G181" s="218"/>
      <c r="H181" s="107"/>
      <c r="I181" s="108"/>
      <c r="J181" s="109"/>
      <c r="K181" s="110"/>
      <c r="L181" s="111"/>
      <c r="M181" s="111"/>
      <c r="N181" s="111"/>
      <c r="O181" s="134">
        <v>1</v>
      </c>
      <c r="P181" s="111" t="s">
        <v>83</v>
      </c>
      <c r="Q181" s="207"/>
      <c r="R181" s="107">
        <f>O181*40500000</f>
        <v>40500000</v>
      </c>
      <c r="S181" s="85">
        <f t="shared" ref="S181" si="129">+R181/$R$184*100</f>
        <v>1.8086954036360583</v>
      </c>
      <c r="T181" s="99"/>
      <c r="U181" s="87"/>
      <c r="V181" s="87"/>
      <c r="W181" s="87"/>
      <c r="X181" s="87"/>
      <c r="Y181" s="88">
        <v>30502000</v>
      </c>
      <c r="Z181" s="99">
        <f t="shared" ref="Z181" si="130">+Y181/R181*100</f>
        <v>75.313580246913574</v>
      </c>
      <c r="AA181" s="100">
        <f>4/12*Z181</f>
        <v>25.104526748971189</v>
      </c>
      <c r="AB181" s="99">
        <f t="shared" ref="AB181" si="131">AA181*S181/100</f>
        <v>0.45406442141322662</v>
      </c>
      <c r="AC181" s="88"/>
      <c r="AD181" s="88">
        <f t="shared" ref="AD181" si="132">+R181-Y181</f>
        <v>9998000</v>
      </c>
      <c r="AE181" s="86"/>
    </row>
    <row r="182" spans="1:32" ht="12.95" customHeight="1" x14ac:dyDescent="0.35">
      <c r="A182" s="302"/>
      <c r="B182" s="303"/>
      <c r="C182" s="304"/>
      <c r="D182" s="278"/>
      <c r="E182" s="278"/>
      <c r="F182" s="278"/>
      <c r="G182" s="101"/>
      <c r="H182" s="173"/>
      <c r="I182" s="290"/>
      <c r="J182" s="291"/>
      <c r="K182" s="292"/>
      <c r="L182" s="278"/>
      <c r="M182" s="278"/>
      <c r="N182" s="278"/>
      <c r="O182" s="293"/>
      <c r="P182" s="278"/>
      <c r="Q182" s="294"/>
      <c r="R182" s="173"/>
      <c r="S182" s="305"/>
      <c r="T182" s="175"/>
      <c r="U182" s="306"/>
      <c r="V182" s="306"/>
      <c r="W182" s="306"/>
      <c r="X182" s="306"/>
      <c r="Y182" s="177"/>
      <c r="Z182" s="175"/>
      <c r="AA182" s="178"/>
      <c r="AB182" s="295"/>
      <c r="AC182" s="177"/>
      <c r="AD182" s="177"/>
      <c r="AE182" s="174"/>
      <c r="AF182" s="90"/>
    </row>
    <row r="183" spans="1:32" ht="12.95" customHeight="1" x14ac:dyDescent="0.35">
      <c r="A183" s="199"/>
      <c r="B183" s="495"/>
      <c r="C183" s="217"/>
      <c r="D183" s="111"/>
      <c r="E183" s="217"/>
      <c r="F183" s="217"/>
      <c r="G183" s="217"/>
      <c r="H183" s="107"/>
      <c r="I183" s="108"/>
      <c r="J183" s="109"/>
      <c r="K183" s="110"/>
      <c r="L183" s="111"/>
      <c r="M183" s="111"/>
      <c r="N183" s="111"/>
      <c r="O183" s="134"/>
      <c r="P183" s="111"/>
      <c r="Q183" s="207"/>
      <c r="R183" s="107"/>
      <c r="S183" s="113"/>
      <c r="T183" s="195"/>
      <c r="U183" s="196"/>
      <c r="V183" s="196"/>
      <c r="W183" s="196"/>
      <c r="X183" s="196"/>
      <c r="Y183" s="116"/>
      <c r="Z183" s="195"/>
      <c r="AA183" s="202"/>
      <c r="AB183" s="197"/>
      <c r="AC183" s="116"/>
      <c r="AD183" s="116"/>
      <c r="AE183" s="114"/>
    </row>
    <row r="184" spans="1:32" s="28" customFormat="1" ht="14.25" customHeight="1" thickBot="1" x14ac:dyDescent="0.4">
      <c r="A184" s="238"/>
      <c r="B184" s="239" t="s">
        <v>171</v>
      </c>
      <c r="C184" s="240"/>
      <c r="D184" s="241"/>
      <c r="E184" s="241"/>
      <c r="F184" s="241"/>
      <c r="G184" s="242"/>
      <c r="H184" s="243"/>
      <c r="I184" s="244"/>
      <c r="J184" s="245"/>
      <c r="K184" s="246"/>
      <c r="L184" s="241"/>
      <c r="M184" s="241"/>
      <c r="N184" s="241"/>
      <c r="O184" s="247"/>
      <c r="P184" s="248"/>
      <c r="Q184" s="249"/>
      <c r="R184" s="250">
        <f>SUM(R17:R183)</f>
        <v>2239183000</v>
      </c>
      <c r="S184" s="251">
        <f>SUM(S26:S183)</f>
        <v>100.00000000000001</v>
      </c>
      <c r="T184" s="251">
        <f>SUM(T66:T183)</f>
        <v>0</v>
      </c>
      <c r="U184" s="252" t="s">
        <v>82</v>
      </c>
      <c r="V184" s="252" t="s">
        <v>82</v>
      </c>
      <c r="W184" s="252" t="s">
        <v>82</v>
      </c>
      <c r="X184" s="252" t="s">
        <v>82</v>
      </c>
      <c r="Y184" s="253">
        <f>SUM(Y17:Y183)</f>
        <v>1190037567</v>
      </c>
      <c r="Z184" s="251">
        <f>+Y184/R184*100</f>
        <v>53.146061174991054</v>
      </c>
      <c r="AA184" s="254">
        <f>SUM(AA17:AA183)</f>
        <v>2386.1970486326263</v>
      </c>
      <c r="AB184" s="254">
        <f>SUM(AB17:AB183)</f>
        <v>24.909973234710634</v>
      </c>
      <c r="AC184" s="253">
        <f>SUM(AC17:AC183)</f>
        <v>0</v>
      </c>
      <c r="AD184" s="253">
        <f>SUM(AD17:AD183)</f>
        <v>1049145433</v>
      </c>
      <c r="AE184" s="255"/>
    </row>
    <row r="185" spans="1:32" ht="12.95" customHeight="1" thickTop="1" x14ac:dyDescent="0.35">
      <c r="A185" s="256"/>
      <c r="B185" s="488"/>
      <c r="C185" s="257"/>
      <c r="D185" s="13"/>
      <c r="E185" s="14"/>
      <c r="F185" s="14"/>
      <c r="G185" s="14"/>
      <c r="H185" s="258"/>
      <c r="I185" s="258"/>
      <c r="J185" s="258"/>
      <c r="K185" s="259"/>
    </row>
    <row r="186" spans="1:32" ht="12.95" customHeight="1" x14ac:dyDescent="0.35">
      <c r="A186" s="261"/>
      <c r="B186" s="262"/>
      <c r="C186" s="262"/>
      <c r="G186" s="516"/>
      <c r="H186" s="516"/>
      <c r="I186" s="516"/>
      <c r="J186" s="516"/>
      <c r="K186" s="516"/>
      <c r="AB186" s="502" t="s">
        <v>276</v>
      </c>
      <c r="AC186" s="502"/>
      <c r="AD186" s="502"/>
      <c r="AE186" s="502"/>
    </row>
    <row r="187" spans="1:32" ht="12.95" customHeight="1" x14ac:dyDescent="0.35">
      <c r="A187" s="261"/>
      <c r="B187" s="262"/>
      <c r="C187" s="262"/>
      <c r="G187" s="265"/>
      <c r="H187" s="266"/>
      <c r="I187" s="266"/>
      <c r="J187" s="266"/>
      <c r="K187" s="266"/>
      <c r="Q187" s="267" t="s">
        <v>172</v>
      </c>
    </row>
    <row r="188" spans="1:32" ht="12.95" customHeight="1" x14ac:dyDescent="0.35">
      <c r="A188" s="261"/>
      <c r="B188" s="262"/>
      <c r="C188" s="268"/>
      <c r="G188" s="265"/>
      <c r="H188" s="265"/>
      <c r="I188" s="265"/>
      <c r="J188" s="265"/>
      <c r="K188" s="265"/>
      <c r="Q188" s="267" t="s">
        <v>173</v>
      </c>
      <c r="AB188" s="502" t="s">
        <v>174</v>
      </c>
      <c r="AC188" s="502"/>
      <c r="AD188" s="502"/>
      <c r="AE188" s="502"/>
    </row>
    <row r="189" spans="1:32" ht="12.95" customHeight="1" x14ac:dyDescent="0.35">
      <c r="A189" s="261"/>
      <c r="B189" s="262"/>
      <c r="C189" s="262"/>
      <c r="G189" s="269"/>
      <c r="H189" s="269"/>
      <c r="I189" s="269"/>
      <c r="J189" s="269"/>
      <c r="K189" s="269"/>
      <c r="Q189" s="270" t="s">
        <v>175</v>
      </c>
    </row>
    <row r="190" spans="1:32" ht="12.95" customHeight="1" x14ac:dyDescent="0.35">
      <c r="A190" s="261"/>
      <c r="B190" s="262"/>
      <c r="C190" s="262"/>
      <c r="G190" s="28"/>
      <c r="H190" s="28"/>
      <c r="I190" s="271"/>
      <c r="J190" s="271"/>
      <c r="K190" s="272"/>
    </row>
    <row r="191" spans="1:32" ht="12.95" customHeight="1" x14ac:dyDescent="0.35">
      <c r="A191" s="273"/>
      <c r="G191" s="28"/>
      <c r="H191" s="28"/>
      <c r="I191" s="271"/>
      <c r="J191" s="271"/>
      <c r="K191" s="272"/>
      <c r="AB191" s="517" t="s">
        <v>176</v>
      </c>
      <c r="AC191" s="517"/>
      <c r="AD191" s="517"/>
      <c r="AE191" s="517"/>
    </row>
    <row r="192" spans="1:32" ht="12.95" customHeight="1" x14ac:dyDescent="0.35">
      <c r="A192" s="273"/>
      <c r="H192" s="13"/>
      <c r="I192" s="13"/>
      <c r="J192" s="272"/>
      <c r="K192" s="274"/>
      <c r="AB192" s="502" t="s">
        <v>177</v>
      </c>
      <c r="AC192" s="502"/>
      <c r="AD192" s="502"/>
      <c r="AE192" s="502"/>
    </row>
    <row r="193" spans="1:17" ht="18" customHeight="1" x14ac:dyDescent="0.35">
      <c r="A193" s="273"/>
      <c r="H193" s="13"/>
      <c r="I193" s="13"/>
      <c r="J193" s="272"/>
      <c r="K193" s="274"/>
      <c r="Q193" s="267" t="s">
        <v>178</v>
      </c>
    </row>
    <row r="194" spans="1:17" ht="18" customHeight="1" x14ac:dyDescent="0.35">
      <c r="A194" s="273"/>
      <c r="H194" s="268"/>
      <c r="I194" s="268"/>
      <c r="J194" s="268"/>
      <c r="K194" s="268"/>
    </row>
  </sheetData>
  <mergeCells count="34">
    <mergeCell ref="A1:S1"/>
    <mergeCell ref="A2:AE2"/>
    <mergeCell ref="A3:AE3"/>
    <mergeCell ref="F7:G7"/>
    <mergeCell ref="W11:X12"/>
    <mergeCell ref="Y11:Z11"/>
    <mergeCell ref="AA11:AB11"/>
    <mergeCell ref="AC11:AD12"/>
    <mergeCell ref="AE11:AE15"/>
    <mergeCell ref="A12:A15"/>
    <mergeCell ref="B12:G15"/>
    <mergeCell ref="H12:K12"/>
    <mergeCell ref="O12:P15"/>
    <mergeCell ref="Q12:Q15"/>
    <mergeCell ref="R12:R15"/>
    <mergeCell ref="T12:U12"/>
    <mergeCell ref="Y12:Z12"/>
    <mergeCell ref="AA12:AB12"/>
    <mergeCell ref="H13:I15"/>
    <mergeCell ref="J13:J15"/>
    <mergeCell ref="K13:K15"/>
    <mergeCell ref="S12:S15"/>
    <mergeCell ref="AB192:AE192"/>
    <mergeCell ref="B16:G16"/>
    <mergeCell ref="H16:I16"/>
    <mergeCell ref="O16:P16"/>
    <mergeCell ref="D68:G68"/>
    <mergeCell ref="B139:G139"/>
    <mergeCell ref="C167:G167"/>
    <mergeCell ref="B177:G177"/>
    <mergeCell ref="G186:K186"/>
    <mergeCell ref="AB186:AE186"/>
    <mergeCell ref="AB188:AE188"/>
    <mergeCell ref="AB191:AE191"/>
  </mergeCells>
  <printOptions horizontalCentered="1"/>
  <pageMargins left="0.25" right="0.25" top="0.5" bottom="0.5" header="0.511811023622047" footer="0.511811023622047"/>
  <pageSetup paperSize="5" scale="75" orientation="landscape" horizontalDpi="4294967294" r:id="rId1"/>
  <headerFooter alignWithMargins="0"/>
  <rowBreaks count="1" manualBreakCount="1">
    <brk id="92" max="16383" man="1"/>
  </row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93"/>
  <sheetViews>
    <sheetView tabSelected="1" zoomScale="64" zoomScaleNormal="64" workbookViewId="0">
      <selection activeCell="U25" sqref="U25"/>
    </sheetView>
  </sheetViews>
  <sheetFormatPr defaultRowHeight="15" x14ac:dyDescent="0.25"/>
  <cols>
    <col min="1" max="1" width="9.42578125" bestFit="1" customWidth="1"/>
    <col min="2" max="2" width="2.5703125" customWidth="1"/>
    <col min="10" max="12" width="9.42578125" bestFit="1" customWidth="1"/>
    <col min="14" max="14" width="9.42578125" bestFit="1" customWidth="1"/>
    <col min="15" max="15" width="12.7109375" bestFit="1" customWidth="1"/>
    <col min="16" max="21" width="9.42578125" bestFit="1" customWidth="1"/>
    <col min="22" max="22" width="14" bestFit="1" customWidth="1"/>
    <col min="23" max="26" width="9.42578125" bestFit="1" customWidth="1"/>
    <col min="27" max="27" width="14" bestFit="1" customWidth="1"/>
    <col min="28" max="28" width="9.42578125" bestFit="1" customWidth="1"/>
  </cols>
  <sheetData>
    <row r="1" spans="1:29" x14ac:dyDescent="0.25">
      <c r="A1" s="560"/>
      <c r="B1" s="560"/>
      <c r="C1" s="560"/>
      <c r="D1" s="560"/>
      <c r="E1" s="560"/>
      <c r="F1" s="560"/>
      <c r="G1" s="560"/>
      <c r="H1" s="560"/>
      <c r="I1" s="560"/>
      <c r="J1" s="560"/>
      <c r="K1" s="560"/>
      <c r="L1" s="560"/>
      <c r="M1" s="560"/>
      <c r="N1" s="560"/>
      <c r="O1" s="560"/>
      <c r="P1" s="560"/>
      <c r="Q1" s="561"/>
      <c r="R1" s="561"/>
      <c r="S1" s="561"/>
      <c r="T1" s="561"/>
      <c r="U1" s="561"/>
      <c r="V1" s="561"/>
      <c r="W1" s="561"/>
      <c r="X1" s="561"/>
      <c r="Y1" s="561"/>
      <c r="Z1" s="561"/>
      <c r="AA1" s="561"/>
      <c r="AB1" s="561"/>
    </row>
    <row r="2" spans="1:29" ht="15.75" x14ac:dyDescent="0.25">
      <c r="A2" s="567" t="s">
        <v>31</v>
      </c>
      <c r="B2" s="567"/>
      <c r="C2" s="567"/>
      <c r="D2" s="567"/>
      <c r="E2" s="567"/>
      <c r="F2" s="567"/>
      <c r="G2" s="567"/>
      <c r="H2" s="567"/>
      <c r="I2" s="567"/>
      <c r="J2" s="567"/>
      <c r="K2" s="567"/>
      <c r="L2" s="567"/>
      <c r="M2" s="567"/>
      <c r="N2" s="567"/>
      <c r="O2" s="567"/>
      <c r="P2" s="567"/>
      <c r="Q2" s="567"/>
      <c r="R2" s="567"/>
      <c r="S2" s="567"/>
      <c r="T2" s="567"/>
      <c r="U2" s="567"/>
      <c r="V2" s="567"/>
      <c r="W2" s="567"/>
      <c r="X2" s="567"/>
      <c r="Y2" s="567"/>
      <c r="Z2" s="567"/>
      <c r="AA2" s="567"/>
      <c r="AB2" s="567"/>
    </row>
    <row r="3" spans="1:29" ht="15.75" x14ac:dyDescent="0.25">
      <c r="A3" s="568" t="s">
        <v>277</v>
      </c>
      <c r="B3" s="567"/>
      <c r="C3" s="567"/>
      <c r="D3" s="567"/>
      <c r="E3" s="567"/>
      <c r="F3" s="567"/>
      <c r="G3" s="567"/>
      <c r="H3" s="567"/>
      <c r="I3" s="567"/>
      <c r="J3" s="567"/>
      <c r="K3" s="567"/>
      <c r="L3" s="567"/>
      <c r="M3" s="567"/>
      <c r="N3" s="567"/>
      <c r="O3" s="567"/>
      <c r="P3" s="567"/>
      <c r="Q3" s="567"/>
      <c r="R3" s="567"/>
      <c r="S3" s="567"/>
      <c r="T3" s="567"/>
      <c r="U3" s="567"/>
      <c r="V3" s="567"/>
      <c r="W3" s="567"/>
      <c r="X3" s="567"/>
      <c r="Y3" s="567"/>
      <c r="Z3" s="567"/>
      <c r="AA3" s="567"/>
      <c r="AB3" s="567"/>
    </row>
    <row r="4" spans="1:29" x14ac:dyDescent="0.25">
      <c r="A4" s="562"/>
      <c r="B4" s="562"/>
      <c r="C4" s="562"/>
      <c r="D4" s="562"/>
      <c r="E4" s="562"/>
      <c r="F4" s="562"/>
      <c r="G4" s="562"/>
      <c r="H4" s="562"/>
      <c r="I4" s="562"/>
      <c r="J4" s="562"/>
      <c r="K4" s="562"/>
      <c r="L4" s="562"/>
      <c r="M4" s="562"/>
      <c r="N4" s="562"/>
      <c r="O4" s="562"/>
      <c r="P4" s="562"/>
      <c r="Q4" s="563"/>
      <c r="R4" s="563"/>
      <c r="S4" s="563"/>
      <c r="T4" s="563"/>
      <c r="U4" s="563"/>
      <c r="V4" s="563"/>
      <c r="W4" s="563"/>
      <c r="X4" s="563"/>
      <c r="Y4" s="563"/>
      <c r="Z4" s="563"/>
      <c r="AA4" s="563"/>
      <c r="AB4" s="563"/>
    </row>
    <row r="5" spans="1:29" x14ac:dyDescent="0.25">
      <c r="A5" s="569" t="s">
        <v>32</v>
      </c>
      <c r="B5" s="570"/>
      <c r="C5" s="570"/>
      <c r="D5" s="570"/>
      <c r="E5" s="570" t="s">
        <v>33</v>
      </c>
      <c r="F5" s="569" t="s">
        <v>34</v>
      </c>
      <c r="G5" s="570"/>
      <c r="H5" s="570"/>
      <c r="I5" s="570"/>
      <c r="J5" s="570"/>
      <c r="K5" s="562"/>
      <c r="L5" s="562"/>
      <c r="M5" s="562"/>
      <c r="N5" s="562"/>
      <c r="O5" s="562"/>
      <c r="P5" s="562"/>
      <c r="Q5" s="563"/>
      <c r="R5" s="563"/>
      <c r="S5" s="563"/>
      <c r="T5" s="563"/>
      <c r="U5" s="563"/>
      <c r="V5" s="563"/>
      <c r="W5" s="563"/>
      <c r="X5" s="563"/>
      <c r="Y5" s="563"/>
      <c r="Z5" s="563"/>
      <c r="AA5" s="563"/>
      <c r="AB5" s="563"/>
    </row>
    <row r="6" spans="1:29" x14ac:dyDescent="0.25">
      <c r="A6" s="569" t="s">
        <v>35</v>
      </c>
      <c r="B6" s="570"/>
      <c r="C6" s="570"/>
      <c r="D6" s="570"/>
      <c r="E6" s="570" t="s">
        <v>33</v>
      </c>
      <c r="F6" s="569" t="s">
        <v>179</v>
      </c>
      <c r="G6" s="570"/>
      <c r="H6" s="570"/>
      <c r="I6" s="570"/>
      <c r="J6" s="570"/>
      <c r="K6" s="562"/>
      <c r="L6" s="562"/>
      <c r="M6" s="562"/>
      <c r="N6" s="562"/>
      <c r="O6" s="562"/>
      <c r="P6" s="562"/>
      <c r="Q6" s="563"/>
      <c r="R6" s="563"/>
      <c r="S6" s="563"/>
      <c r="T6" s="563"/>
      <c r="U6" s="563"/>
      <c r="V6" s="563"/>
      <c r="W6" s="563"/>
      <c r="X6" s="563"/>
      <c r="Y6" s="563"/>
      <c r="Z6" s="563"/>
      <c r="AA6" s="563"/>
      <c r="AB6" s="563"/>
    </row>
    <row r="7" spans="1:29" x14ac:dyDescent="0.25">
      <c r="A7" s="569" t="s">
        <v>36</v>
      </c>
      <c r="B7" s="570"/>
      <c r="C7" s="570"/>
      <c r="D7" s="570"/>
      <c r="E7" s="570" t="s">
        <v>33</v>
      </c>
      <c r="F7" s="571">
        <v>2239183000</v>
      </c>
      <c r="G7" s="571"/>
      <c r="H7" s="572"/>
      <c r="I7" s="572"/>
      <c r="J7" s="572"/>
      <c r="K7" s="564"/>
      <c r="L7" s="564"/>
      <c r="M7" s="564"/>
      <c r="N7" s="562"/>
      <c r="O7" s="562"/>
      <c r="P7" s="562"/>
      <c r="Q7" s="563"/>
      <c r="R7" s="563"/>
      <c r="S7" s="563"/>
      <c r="T7" s="563"/>
      <c r="U7" s="563"/>
      <c r="V7" s="563"/>
      <c r="W7" s="563"/>
      <c r="X7" s="563"/>
      <c r="Y7" s="563"/>
      <c r="Z7" s="563"/>
      <c r="AA7" s="563"/>
      <c r="AB7" s="563"/>
    </row>
    <row r="8" spans="1:29" x14ac:dyDescent="0.25">
      <c r="A8" s="569" t="s">
        <v>37</v>
      </c>
      <c r="B8" s="570"/>
      <c r="C8" s="570"/>
      <c r="D8" s="570"/>
      <c r="E8" s="570" t="s">
        <v>33</v>
      </c>
      <c r="F8" s="569" t="s">
        <v>38</v>
      </c>
      <c r="G8" s="570"/>
      <c r="H8" s="570"/>
      <c r="I8" s="570"/>
      <c r="J8" s="570"/>
      <c r="K8" s="562"/>
      <c r="L8" s="562"/>
      <c r="M8" s="562"/>
      <c r="N8" s="562"/>
      <c r="O8" s="562"/>
      <c r="P8" s="562"/>
      <c r="Q8" s="563"/>
      <c r="R8" s="563"/>
      <c r="S8" s="563"/>
      <c r="T8" s="563"/>
      <c r="U8" s="563"/>
      <c r="V8" s="563"/>
      <c r="W8" s="563"/>
      <c r="X8" s="563"/>
      <c r="Y8" s="563"/>
      <c r="Z8" s="563"/>
      <c r="AA8" s="563"/>
      <c r="AB8" s="563"/>
    </row>
    <row r="9" spans="1:29" x14ac:dyDescent="0.25">
      <c r="A9" s="569" t="s">
        <v>39</v>
      </c>
      <c r="B9" s="570"/>
      <c r="C9" s="570"/>
      <c r="D9" s="570"/>
      <c r="E9" s="570" t="s">
        <v>33</v>
      </c>
      <c r="F9" s="569" t="s">
        <v>40</v>
      </c>
      <c r="G9" s="570"/>
      <c r="H9" s="570"/>
      <c r="I9" s="570"/>
      <c r="J9" s="570"/>
      <c r="K9" s="562"/>
      <c r="L9" s="562"/>
      <c r="M9" s="562"/>
      <c r="N9" s="562"/>
      <c r="O9" s="562"/>
      <c r="P9" s="562"/>
      <c r="Q9" s="563"/>
      <c r="R9" s="563"/>
      <c r="S9" s="563"/>
      <c r="T9" s="563"/>
      <c r="U9" s="563"/>
      <c r="V9" s="563"/>
      <c r="W9" s="563"/>
      <c r="X9" s="563"/>
      <c r="Y9" s="563"/>
      <c r="Z9" s="563"/>
      <c r="AA9" s="563"/>
      <c r="AB9" s="563"/>
    </row>
    <row r="10" spans="1:29" x14ac:dyDescent="0.25">
      <c r="A10" s="565"/>
      <c r="B10" s="565"/>
      <c r="C10" s="565"/>
      <c r="D10" s="565"/>
      <c r="E10" s="565"/>
      <c r="F10" s="565"/>
      <c r="G10" s="565"/>
      <c r="H10" s="565"/>
      <c r="I10" s="565"/>
      <c r="J10" s="565"/>
      <c r="K10" s="565"/>
      <c r="L10" s="565"/>
      <c r="M10" s="565"/>
      <c r="N10" s="565"/>
      <c r="O10" s="565"/>
      <c r="P10" s="565"/>
      <c r="Q10" s="566"/>
      <c r="R10" s="566"/>
      <c r="S10" s="566"/>
      <c r="T10" s="566"/>
      <c r="U10" s="566"/>
      <c r="V10" s="566"/>
      <c r="W10" s="566"/>
      <c r="X10" s="566"/>
      <c r="Y10" s="566"/>
      <c r="Z10" s="566"/>
      <c r="AA10" s="566"/>
      <c r="AB10" s="566"/>
    </row>
    <row r="11" spans="1:29" x14ac:dyDescent="0.25">
      <c r="A11" s="573"/>
      <c r="B11" s="574"/>
      <c r="C11" s="575"/>
      <c r="D11" s="575"/>
      <c r="E11" s="575"/>
      <c r="F11" s="575"/>
      <c r="G11" s="576"/>
      <c r="H11" s="577" t="s">
        <v>49</v>
      </c>
      <c r="I11" s="577"/>
      <c r="J11" s="578" t="s">
        <v>50</v>
      </c>
      <c r="K11" s="579" t="s">
        <v>57</v>
      </c>
      <c r="L11" s="574"/>
      <c r="M11" s="576"/>
      <c r="N11" s="580"/>
      <c r="O11" s="580"/>
      <c r="P11" s="581"/>
      <c r="Q11" s="575"/>
      <c r="R11" s="576"/>
      <c r="S11" s="576"/>
      <c r="T11" s="582" t="s">
        <v>41</v>
      </c>
      <c r="U11" s="583"/>
      <c r="V11" s="584" t="s">
        <v>42</v>
      </c>
      <c r="W11" s="585"/>
      <c r="X11" s="584" t="s">
        <v>43</v>
      </c>
      <c r="Y11" s="585"/>
      <c r="Z11" s="582" t="s">
        <v>44</v>
      </c>
      <c r="AA11" s="586"/>
      <c r="AB11" s="587" t="s">
        <v>45</v>
      </c>
      <c r="AC11" s="588"/>
    </row>
    <row r="12" spans="1:29" x14ac:dyDescent="0.25">
      <c r="A12" s="589" t="s">
        <v>46</v>
      </c>
      <c r="B12" s="590" t="s">
        <v>47</v>
      </c>
      <c r="C12" s="590"/>
      <c r="D12" s="590"/>
      <c r="E12" s="590"/>
      <c r="F12" s="590"/>
      <c r="G12" s="590"/>
      <c r="H12" s="591"/>
      <c r="I12" s="591"/>
      <c r="J12" s="592"/>
      <c r="K12" s="593"/>
      <c r="L12" s="594" t="s">
        <v>49</v>
      </c>
      <c r="M12" s="590"/>
      <c r="N12" s="595" t="s">
        <v>50</v>
      </c>
      <c r="O12" s="596" t="s">
        <v>51</v>
      </c>
      <c r="P12" s="597" t="s">
        <v>52</v>
      </c>
      <c r="Q12" s="598" t="s">
        <v>53</v>
      </c>
      <c r="R12" s="599"/>
      <c r="S12" s="600" t="s">
        <v>54</v>
      </c>
      <c r="T12" s="601"/>
      <c r="U12" s="602"/>
      <c r="V12" s="598" t="s">
        <v>55</v>
      </c>
      <c r="W12" s="603"/>
      <c r="X12" s="598" t="s">
        <v>56</v>
      </c>
      <c r="Y12" s="603"/>
      <c r="Z12" s="601"/>
      <c r="AA12" s="604"/>
      <c r="AB12" s="605"/>
      <c r="AC12" s="588"/>
    </row>
    <row r="13" spans="1:29" ht="15" customHeight="1" x14ac:dyDescent="0.25">
      <c r="A13" s="589"/>
      <c r="B13" s="590"/>
      <c r="C13" s="590"/>
      <c r="D13" s="590"/>
      <c r="E13" s="590"/>
      <c r="F13" s="590"/>
      <c r="G13" s="590"/>
      <c r="H13" s="591"/>
      <c r="I13" s="591"/>
      <c r="J13" s="592"/>
      <c r="K13" s="593"/>
      <c r="L13" s="594"/>
      <c r="M13" s="590"/>
      <c r="N13" s="595"/>
      <c r="O13" s="596"/>
      <c r="P13" s="597"/>
      <c r="Q13" s="606" t="s">
        <v>58</v>
      </c>
      <c r="R13" s="606" t="s">
        <v>59</v>
      </c>
      <c r="S13" s="607"/>
      <c r="T13" s="607"/>
      <c r="U13" s="607" t="s">
        <v>60</v>
      </c>
      <c r="V13" s="607"/>
      <c r="W13" s="607" t="s">
        <v>61</v>
      </c>
      <c r="X13" s="607" t="s">
        <v>62</v>
      </c>
      <c r="Y13" s="607" t="s">
        <v>63</v>
      </c>
      <c r="Z13" s="607" t="s">
        <v>64</v>
      </c>
      <c r="AA13" s="607" t="s">
        <v>65</v>
      </c>
      <c r="AB13" s="605"/>
      <c r="AC13" s="588"/>
    </row>
    <row r="14" spans="1:29" x14ac:dyDescent="0.25">
      <c r="A14" s="589"/>
      <c r="B14" s="590"/>
      <c r="C14" s="590"/>
      <c r="D14" s="590"/>
      <c r="E14" s="590"/>
      <c r="F14" s="590"/>
      <c r="G14" s="590"/>
      <c r="H14" s="591"/>
      <c r="I14" s="591"/>
      <c r="J14" s="592"/>
      <c r="K14" s="593"/>
      <c r="L14" s="594"/>
      <c r="M14" s="590"/>
      <c r="N14" s="595"/>
      <c r="O14" s="596"/>
      <c r="P14" s="597"/>
      <c r="Q14" s="606" t="s">
        <v>66</v>
      </c>
      <c r="R14" s="606" t="s">
        <v>67</v>
      </c>
      <c r="S14" s="606" t="s">
        <v>68</v>
      </c>
      <c r="T14" s="607" t="s">
        <v>69</v>
      </c>
      <c r="U14" s="607" t="s">
        <v>60</v>
      </c>
      <c r="V14" s="607" t="s">
        <v>70</v>
      </c>
      <c r="W14" s="607" t="s">
        <v>71</v>
      </c>
      <c r="X14" s="607" t="s">
        <v>72</v>
      </c>
      <c r="Y14" s="607" t="s">
        <v>73</v>
      </c>
      <c r="Z14" s="607" t="s">
        <v>74</v>
      </c>
      <c r="AA14" s="607" t="s">
        <v>75</v>
      </c>
      <c r="AB14" s="605"/>
      <c r="AC14" s="588"/>
    </row>
    <row r="15" spans="1:29" ht="15.75" thickBot="1" x14ac:dyDescent="0.3">
      <c r="A15" s="608"/>
      <c r="B15" s="609"/>
      <c r="C15" s="609"/>
      <c r="D15" s="609"/>
      <c r="E15" s="609"/>
      <c r="F15" s="609"/>
      <c r="G15" s="609"/>
      <c r="H15" s="610"/>
      <c r="I15" s="610"/>
      <c r="J15" s="611"/>
      <c r="K15" s="612"/>
      <c r="L15" s="613"/>
      <c r="M15" s="609"/>
      <c r="N15" s="614"/>
      <c r="O15" s="615"/>
      <c r="P15" s="616"/>
      <c r="Q15" s="617" t="s">
        <v>76</v>
      </c>
      <c r="R15" s="617"/>
      <c r="S15" s="618"/>
      <c r="T15" s="618"/>
      <c r="U15" s="618"/>
      <c r="V15" s="618"/>
      <c r="W15" s="618"/>
      <c r="X15" s="618"/>
      <c r="Y15" s="618"/>
      <c r="Z15" s="618" t="s">
        <v>77</v>
      </c>
      <c r="AA15" s="618" t="s">
        <v>78</v>
      </c>
      <c r="AB15" s="619"/>
      <c r="AC15" s="588"/>
    </row>
    <row r="16" spans="1:29" ht="15.75" thickTop="1" x14ac:dyDescent="0.25">
      <c r="A16" s="620">
        <v>1</v>
      </c>
      <c r="B16" s="621">
        <v>2</v>
      </c>
      <c r="C16" s="622"/>
      <c r="D16" s="622"/>
      <c r="E16" s="622"/>
      <c r="F16" s="622"/>
      <c r="G16" s="623"/>
      <c r="H16" s="621">
        <v>3</v>
      </c>
      <c r="I16" s="623"/>
      <c r="J16" s="624">
        <v>4</v>
      </c>
      <c r="K16" s="625">
        <v>5</v>
      </c>
      <c r="L16" s="621">
        <v>3</v>
      </c>
      <c r="M16" s="623"/>
      <c r="N16" s="624">
        <v>4</v>
      </c>
      <c r="O16" s="626">
        <v>4</v>
      </c>
      <c r="P16" s="627">
        <v>5</v>
      </c>
      <c r="Q16" s="628">
        <v>6</v>
      </c>
      <c r="R16" s="628">
        <v>7</v>
      </c>
      <c r="S16" s="628">
        <v>8</v>
      </c>
      <c r="T16" s="628">
        <v>9</v>
      </c>
      <c r="U16" s="628">
        <v>10</v>
      </c>
      <c r="V16" s="628">
        <v>11</v>
      </c>
      <c r="W16" s="628">
        <v>12</v>
      </c>
      <c r="X16" s="628">
        <v>13</v>
      </c>
      <c r="Y16" s="628">
        <v>14</v>
      </c>
      <c r="Z16" s="628">
        <v>15</v>
      </c>
      <c r="AA16" s="628">
        <v>16</v>
      </c>
      <c r="AB16" s="628">
        <v>17</v>
      </c>
      <c r="AC16" s="588"/>
    </row>
    <row r="17" spans="1:29" x14ac:dyDescent="0.25">
      <c r="A17" s="629"/>
      <c r="B17" s="630"/>
      <c r="C17" s="630"/>
      <c r="D17" s="630"/>
      <c r="E17" s="630"/>
      <c r="F17" s="630"/>
      <c r="G17" s="631"/>
      <c r="H17" s="632"/>
      <c r="I17" s="631"/>
      <c r="J17" s="633"/>
      <c r="K17" s="634"/>
      <c r="L17" s="635"/>
      <c r="M17" s="636"/>
      <c r="N17" s="637"/>
      <c r="O17" s="638"/>
      <c r="P17" s="639"/>
      <c r="Q17" s="640"/>
      <c r="R17" s="641"/>
      <c r="S17" s="641"/>
      <c r="T17" s="641"/>
      <c r="U17" s="641"/>
      <c r="V17" s="642"/>
      <c r="W17" s="640"/>
      <c r="X17" s="640"/>
      <c r="Y17" s="640"/>
      <c r="Z17" s="642"/>
      <c r="AA17" s="642"/>
      <c r="AB17" s="640"/>
      <c r="AC17" s="588"/>
    </row>
    <row r="18" spans="1:29" x14ac:dyDescent="0.25">
      <c r="A18" s="643" t="s">
        <v>79</v>
      </c>
      <c r="B18" s="644" t="s">
        <v>80</v>
      </c>
      <c r="C18" s="644"/>
      <c r="D18" s="644"/>
      <c r="E18" s="644"/>
      <c r="F18" s="644"/>
      <c r="G18" s="645"/>
      <c r="H18" s="646"/>
      <c r="I18" s="647"/>
      <c r="J18" s="648"/>
      <c r="K18" s="649"/>
      <c r="L18" s="650"/>
      <c r="M18" s="644"/>
      <c r="N18" s="651"/>
      <c r="O18" s="652"/>
      <c r="P18" s="653"/>
      <c r="Q18" s="654"/>
      <c r="R18" s="655"/>
      <c r="S18" s="655"/>
      <c r="T18" s="655"/>
      <c r="U18" s="655"/>
      <c r="V18" s="656"/>
      <c r="W18" s="654"/>
      <c r="X18" s="654"/>
      <c r="Y18" s="654"/>
      <c r="Z18" s="656"/>
      <c r="AA18" s="656"/>
      <c r="AB18" s="654"/>
      <c r="AC18" s="588"/>
    </row>
    <row r="19" spans="1:29" x14ac:dyDescent="0.25">
      <c r="A19" s="657"/>
      <c r="B19" s="658"/>
      <c r="C19" s="658"/>
      <c r="D19" s="658"/>
      <c r="E19" s="658"/>
      <c r="F19" s="658"/>
      <c r="G19" s="659"/>
      <c r="H19" s="660"/>
      <c r="I19" s="661"/>
      <c r="J19" s="662"/>
      <c r="K19" s="663"/>
      <c r="L19" s="664"/>
      <c r="M19" s="658"/>
      <c r="N19" s="665"/>
      <c r="O19" s="666"/>
      <c r="P19" s="667"/>
      <c r="Q19" s="668"/>
      <c r="R19" s="669"/>
      <c r="S19" s="669"/>
      <c r="T19" s="669"/>
      <c r="U19" s="669"/>
      <c r="V19" s="670"/>
      <c r="W19" s="668"/>
      <c r="X19" s="668"/>
      <c r="Y19" s="668"/>
      <c r="Z19" s="670"/>
      <c r="AA19" s="670"/>
      <c r="AB19" s="668"/>
      <c r="AC19" s="588"/>
    </row>
    <row r="20" spans="1:29" x14ac:dyDescent="0.25">
      <c r="A20" s="671" t="s">
        <v>180</v>
      </c>
      <c r="B20" s="644" t="s">
        <v>181</v>
      </c>
      <c r="C20" s="644"/>
      <c r="D20" s="644"/>
      <c r="E20" s="644"/>
      <c r="F20" s="644"/>
      <c r="G20" s="645"/>
      <c r="H20" s="646"/>
      <c r="I20" s="647"/>
      <c r="J20" s="648"/>
      <c r="K20" s="649"/>
      <c r="L20" s="650"/>
      <c r="M20" s="644"/>
      <c r="N20" s="651"/>
      <c r="O20" s="652"/>
      <c r="P20" s="653"/>
      <c r="Q20" s="654"/>
      <c r="R20" s="655"/>
      <c r="S20" s="655"/>
      <c r="T20" s="655"/>
      <c r="U20" s="655"/>
      <c r="V20" s="656"/>
      <c r="W20" s="654"/>
      <c r="X20" s="654"/>
      <c r="Y20" s="654"/>
      <c r="Z20" s="656"/>
      <c r="AA20" s="656"/>
      <c r="AB20" s="654"/>
      <c r="AC20" s="588"/>
    </row>
    <row r="21" spans="1:29" x14ac:dyDescent="0.25">
      <c r="A21" s="657"/>
      <c r="B21" s="658"/>
      <c r="C21" s="658"/>
      <c r="D21" s="658"/>
      <c r="E21" s="658"/>
      <c r="F21" s="658"/>
      <c r="G21" s="659"/>
      <c r="H21" s="660"/>
      <c r="I21" s="661"/>
      <c r="J21" s="662"/>
      <c r="K21" s="663"/>
      <c r="L21" s="664"/>
      <c r="M21" s="658"/>
      <c r="N21" s="665"/>
      <c r="O21" s="666"/>
      <c r="P21" s="667"/>
      <c r="Q21" s="668"/>
      <c r="R21" s="669"/>
      <c r="S21" s="669"/>
      <c r="T21" s="669"/>
      <c r="U21" s="669"/>
      <c r="V21" s="670"/>
      <c r="W21" s="668"/>
      <c r="X21" s="668"/>
      <c r="Y21" s="668"/>
      <c r="Z21" s="670"/>
      <c r="AA21" s="670"/>
      <c r="AB21" s="668"/>
      <c r="AC21" s="588"/>
    </row>
    <row r="22" spans="1:29" x14ac:dyDescent="0.25">
      <c r="A22" s="672" t="s">
        <v>182</v>
      </c>
      <c r="B22" s="658" t="s">
        <v>183</v>
      </c>
      <c r="C22" s="658"/>
      <c r="D22" s="658"/>
      <c r="E22" s="658"/>
      <c r="F22" s="658"/>
      <c r="G22" s="659"/>
      <c r="H22" s="660"/>
      <c r="I22" s="661"/>
      <c r="J22" s="662"/>
      <c r="K22" s="663"/>
      <c r="L22" s="664"/>
      <c r="M22" s="658"/>
      <c r="N22" s="665"/>
      <c r="O22" s="666"/>
      <c r="P22" s="667"/>
      <c r="Q22" s="668"/>
      <c r="R22" s="669"/>
      <c r="S22" s="669"/>
      <c r="T22" s="669"/>
      <c r="U22" s="669"/>
      <c r="V22" s="670"/>
      <c r="W22" s="668"/>
      <c r="X22" s="668"/>
      <c r="Y22" s="668"/>
      <c r="Z22" s="670"/>
      <c r="AA22" s="670"/>
      <c r="AB22" s="668"/>
      <c r="AC22" s="588"/>
    </row>
    <row r="23" spans="1:29" x14ac:dyDescent="0.25">
      <c r="A23" s="657"/>
      <c r="B23" s="658"/>
      <c r="C23" s="658"/>
      <c r="D23" s="658"/>
      <c r="E23" s="658"/>
      <c r="F23" s="658"/>
      <c r="G23" s="659"/>
      <c r="H23" s="660"/>
      <c r="I23" s="661"/>
      <c r="J23" s="662"/>
      <c r="K23" s="663"/>
      <c r="L23" s="664"/>
      <c r="M23" s="658"/>
      <c r="N23" s="665"/>
      <c r="O23" s="666"/>
      <c r="P23" s="667"/>
      <c r="Q23" s="668"/>
      <c r="R23" s="669"/>
      <c r="S23" s="669"/>
      <c r="T23" s="669"/>
      <c r="U23" s="669"/>
      <c r="V23" s="670"/>
      <c r="W23" s="668"/>
      <c r="X23" s="668"/>
      <c r="Y23" s="668"/>
      <c r="Z23" s="670"/>
      <c r="AA23" s="670"/>
      <c r="AB23" s="668"/>
      <c r="AC23" s="588"/>
    </row>
    <row r="24" spans="1:29" x14ac:dyDescent="0.25">
      <c r="A24" s="673" t="s">
        <v>184</v>
      </c>
      <c r="B24" s="658" t="s">
        <v>185</v>
      </c>
      <c r="C24" s="658"/>
      <c r="D24" s="658"/>
      <c r="E24" s="658"/>
      <c r="F24" s="658"/>
      <c r="G24" s="659"/>
      <c r="H24" s="660"/>
      <c r="I24" s="661"/>
      <c r="J24" s="662"/>
      <c r="K24" s="663"/>
      <c r="L24" s="664"/>
      <c r="M24" s="658"/>
      <c r="N24" s="665"/>
      <c r="O24" s="666"/>
      <c r="P24" s="667"/>
      <c r="Q24" s="668"/>
      <c r="R24" s="669"/>
      <c r="S24" s="669"/>
      <c r="T24" s="669"/>
      <c r="U24" s="669"/>
      <c r="V24" s="670"/>
      <c r="W24" s="668"/>
      <c r="X24" s="668"/>
      <c r="Y24" s="668"/>
      <c r="Z24" s="670"/>
      <c r="AA24" s="670"/>
      <c r="AB24" s="668"/>
      <c r="AC24" s="588"/>
    </row>
    <row r="25" spans="1:29" x14ac:dyDescent="0.25">
      <c r="A25" s="674">
        <v>521211</v>
      </c>
      <c r="B25" s="675" t="s">
        <v>186</v>
      </c>
      <c r="C25" s="676"/>
      <c r="D25" s="676"/>
      <c r="E25" s="676"/>
      <c r="F25" s="676"/>
      <c r="G25" s="677"/>
      <c r="H25" s="660"/>
      <c r="I25" s="661"/>
      <c r="J25" s="662"/>
      <c r="K25" s="663"/>
      <c r="L25" s="664"/>
      <c r="M25" s="658"/>
      <c r="N25" s="665"/>
      <c r="O25" s="666"/>
      <c r="P25" s="667"/>
      <c r="Q25" s="668"/>
      <c r="R25" s="669"/>
      <c r="S25" s="669"/>
      <c r="T25" s="669"/>
      <c r="U25" s="669"/>
      <c r="V25" s="670"/>
      <c r="W25" s="668"/>
      <c r="X25" s="668"/>
      <c r="Y25" s="668"/>
      <c r="Z25" s="670"/>
      <c r="AA25" s="670"/>
      <c r="AB25" s="668"/>
      <c r="AC25" s="588"/>
    </row>
    <row r="26" spans="1:29" x14ac:dyDescent="0.25">
      <c r="A26" s="678"/>
      <c r="B26" s="679" t="s">
        <v>82</v>
      </c>
      <c r="C26" s="676" t="s">
        <v>189</v>
      </c>
      <c r="D26" s="676"/>
      <c r="E26" s="676"/>
      <c r="F26" s="676"/>
      <c r="G26" s="677"/>
      <c r="H26" s="660"/>
      <c r="I26" s="661"/>
      <c r="J26" s="662"/>
      <c r="K26" s="663"/>
      <c r="L26" s="680">
        <v>1</v>
      </c>
      <c r="M26" s="676" t="s">
        <v>83</v>
      </c>
      <c r="N26" s="681"/>
      <c r="O26" s="682">
        <f>L26*2730000</f>
        <v>2730000</v>
      </c>
      <c r="P26" s="667">
        <f>+O26/$O$184*100</f>
        <v>0.12191946794880097</v>
      </c>
      <c r="Q26" s="683">
        <v>0</v>
      </c>
      <c r="R26" s="669"/>
      <c r="S26" s="669"/>
      <c r="T26" s="669"/>
      <c r="U26" s="669"/>
      <c r="V26" s="670">
        <v>2730000</v>
      </c>
      <c r="W26" s="683">
        <f>+V26/O26*100</f>
        <v>100</v>
      </c>
      <c r="X26" s="684">
        <f>W26</f>
        <v>100</v>
      </c>
      <c r="Y26" s="683">
        <f>X26*P26/100</f>
        <v>0.12191946794880097</v>
      </c>
      <c r="Z26" s="670"/>
      <c r="AA26" s="670">
        <f>+O26-V26</f>
        <v>0</v>
      </c>
      <c r="AB26" s="668"/>
      <c r="AC26" s="588"/>
    </row>
    <row r="27" spans="1:29" x14ac:dyDescent="0.25">
      <c r="A27" s="678"/>
      <c r="B27" s="679" t="s">
        <v>82</v>
      </c>
      <c r="C27" s="676" t="s">
        <v>187</v>
      </c>
      <c r="D27" s="676"/>
      <c r="E27" s="676"/>
      <c r="F27" s="676"/>
      <c r="G27" s="677"/>
      <c r="H27" s="660"/>
      <c r="I27" s="661"/>
      <c r="J27" s="662"/>
      <c r="K27" s="663"/>
      <c r="L27" s="680">
        <v>1</v>
      </c>
      <c r="M27" s="676" t="s">
        <v>83</v>
      </c>
      <c r="N27" s="681"/>
      <c r="O27" s="682">
        <f>L27*2810000</f>
        <v>2810000</v>
      </c>
      <c r="P27" s="667">
        <f>+O27/$O$184*100</f>
        <v>0.12549219961030428</v>
      </c>
      <c r="Q27" s="683"/>
      <c r="R27" s="669"/>
      <c r="S27" s="669"/>
      <c r="T27" s="669"/>
      <c r="U27" s="669"/>
      <c r="V27" s="670">
        <v>0</v>
      </c>
      <c r="W27" s="683">
        <f t="shared" ref="W27:W30" si="0">+V27/O27*100</f>
        <v>0</v>
      </c>
      <c r="X27" s="684">
        <f t="shared" ref="X27:X61" si="1">W27</f>
        <v>0</v>
      </c>
      <c r="Y27" s="683">
        <f t="shared" ref="Y27:Y30" si="2">X27*P27/100</f>
        <v>0</v>
      </c>
      <c r="Z27" s="670"/>
      <c r="AA27" s="670">
        <f t="shared" ref="AA27:AA34" si="3">+O27-V27</f>
        <v>2810000</v>
      </c>
      <c r="AB27" s="668"/>
      <c r="AC27" s="588"/>
    </row>
    <row r="28" spans="1:29" x14ac:dyDescent="0.25">
      <c r="A28" s="678"/>
      <c r="B28" s="679" t="s">
        <v>82</v>
      </c>
      <c r="C28" s="676" t="s">
        <v>190</v>
      </c>
      <c r="D28" s="676"/>
      <c r="E28" s="676"/>
      <c r="F28" s="676"/>
      <c r="G28" s="677"/>
      <c r="H28" s="660"/>
      <c r="I28" s="661"/>
      <c r="J28" s="662"/>
      <c r="K28" s="663"/>
      <c r="L28" s="680">
        <v>1</v>
      </c>
      <c r="M28" s="676" t="s">
        <v>83</v>
      </c>
      <c r="N28" s="681"/>
      <c r="O28" s="682">
        <f>L28*8490000</f>
        <v>8490000</v>
      </c>
      <c r="P28" s="667">
        <f>+O28/$O$184*100</f>
        <v>0.37915614757704036</v>
      </c>
      <c r="Q28" s="683"/>
      <c r="R28" s="669"/>
      <c r="S28" s="669"/>
      <c r="T28" s="669"/>
      <c r="U28" s="669"/>
      <c r="V28" s="670">
        <v>8490000</v>
      </c>
      <c r="W28" s="683">
        <f t="shared" si="0"/>
        <v>100</v>
      </c>
      <c r="X28" s="684">
        <f t="shared" si="1"/>
        <v>100</v>
      </c>
      <c r="Y28" s="683">
        <f t="shared" si="2"/>
        <v>0.37915614757704036</v>
      </c>
      <c r="Z28" s="670"/>
      <c r="AA28" s="670">
        <f t="shared" si="3"/>
        <v>0</v>
      </c>
      <c r="AB28" s="668"/>
      <c r="AC28" s="588"/>
    </row>
    <row r="29" spans="1:29" x14ac:dyDescent="0.25">
      <c r="A29" s="678"/>
      <c r="B29" s="679" t="s">
        <v>82</v>
      </c>
      <c r="C29" s="676" t="s">
        <v>188</v>
      </c>
      <c r="D29" s="676"/>
      <c r="E29" s="676"/>
      <c r="F29" s="676"/>
      <c r="G29" s="677"/>
      <c r="H29" s="660"/>
      <c r="I29" s="661"/>
      <c r="J29" s="662"/>
      <c r="K29" s="663"/>
      <c r="L29" s="680">
        <v>1</v>
      </c>
      <c r="M29" s="676" t="s">
        <v>83</v>
      </c>
      <c r="N29" s="681"/>
      <c r="O29" s="682">
        <f>L29*9990000</f>
        <v>9990000</v>
      </c>
      <c r="P29" s="667">
        <f>+O29/$O$184*100</f>
        <v>0.4461448662302277</v>
      </c>
      <c r="Q29" s="683"/>
      <c r="R29" s="669"/>
      <c r="S29" s="669"/>
      <c r="T29" s="669"/>
      <c r="U29" s="669"/>
      <c r="V29" s="670">
        <v>0</v>
      </c>
      <c r="W29" s="683">
        <f t="shared" si="0"/>
        <v>0</v>
      </c>
      <c r="X29" s="684">
        <f t="shared" si="1"/>
        <v>0</v>
      </c>
      <c r="Y29" s="683">
        <f t="shared" si="2"/>
        <v>0</v>
      </c>
      <c r="Z29" s="670"/>
      <c r="AA29" s="670">
        <f t="shared" si="3"/>
        <v>9990000</v>
      </c>
      <c r="AB29" s="668"/>
      <c r="AC29" s="588"/>
    </row>
    <row r="30" spans="1:29" x14ac:dyDescent="0.25">
      <c r="A30" s="678"/>
      <c r="B30" s="679" t="s">
        <v>191</v>
      </c>
      <c r="C30" s="676" t="s">
        <v>192</v>
      </c>
      <c r="D30" s="676"/>
      <c r="E30" s="676"/>
      <c r="F30" s="676"/>
      <c r="G30" s="677"/>
      <c r="H30" s="660"/>
      <c r="I30" s="661"/>
      <c r="J30" s="662"/>
      <c r="K30" s="663"/>
      <c r="L30" s="680">
        <v>1</v>
      </c>
      <c r="M30" s="676" t="s">
        <v>83</v>
      </c>
      <c r="N30" s="681"/>
      <c r="O30" s="682">
        <f>L30*2480000</f>
        <v>2480000</v>
      </c>
      <c r="P30" s="667">
        <f>+O30/$O$184*100</f>
        <v>0.11075468150660307</v>
      </c>
      <c r="Q30" s="683"/>
      <c r="R30" s="669"/>
      <c r="S30" s="669"/>
      <c r="T30" s="669"/>
      <c r="U30" s="669"/>
      <c r="V30" s="670">
        <f>210000+240000+240000+272000</f>
        <v>962000</v>
      </c>
      <c r="W30" s="683">
        <f t="shared" si="0"/>
        <v>38.79032258064516</v>
      </c>
      <c r="X30" s="684">
        <f t="shared" si="1"/>
        <v>38.79032258064516</v>
      </c>
      <c r="Y30" s="683">
        <f t="shared" si="2"/>
        <v>4.2962098229577486E-2</v>
      </c>
      <c r="Z30" s="670"/>
      <c r="AA30" s="670">
        <f t="shared" si="3"/>
        <v>1518000</v>
      </c>
      <c r="AB30" s="668"/>
      <c r="AC30" s="588"/>
    </row>
    <row r="31" spans="1:29" x14ac:dyDescent="0.25">
      <c r="A31" s="674">
        <v>521213</v>
      </c>
      <c r="B31" s="675" t="s">
        <v>193</v>
      </c>
      <c r="C31" s="676"/>
      <c r="D31" s="676"/>
      <c r="E31" s="676"/>
      <c r="F31" s="676"/>
      <c r="G31" s="677"/>
      <c r="H31" s="660"/>
      <c r="I31" s="661"/>
      <c r="J31" s="662"/>
      <c r="K31" s="663"/>
      <c r="L31" s="680"/>
      <c r="M31" s="676"/>
      <c r="N31" s="681"/>
      <c r="O31" s="682"/>
      <c r="P31" s="667"/>
      <c r="Q31" s="683"/>
      <c r="R31" s="669"/>
      <c r="S31" s="669"/>
      <c r="T31" s="669"/>
      <c r="U31" s="669"/>
      <c r="V31" s="670"/>
      <c r="W31" s="683"/>
      <c r="X31" s="684"/>
      <c r="Y31" s="683"/>
      <c r="Z31" s="670"/>
      <c r="AA31" s="670"/>
      <c r="AB31" s="668"/>
      <c r="AC31" s="588"/>
    </row>
    <row r="32" spans="1:29" x14ac:dyDescent="0.25">
      <c r="A32" s="678"/>
      <c r="B32" s="679" t="s">
        <v>82</v>
      </c>
      <c r="C32" s="676" t="s">
        <v>194</v>
      </c>
      <c r="D32" s="676"/>
      <c r="E32" s="676"/>
      <c r="F32" s="676"/>
      <c r="G32" s="677"/>
      <c r="H32" s="660"/>
      <c r="I32" s="661"/>
      <c r="J32" s="662"/>
      <c r="K32" s="663"/>
      <c r="L32" s="680">
        <v>6</v>
      </c>
      <c r="M32" s="676" t="s">
        <v>147</v>
      </c>
      <c r="N32" s="681"/>
      <c r="O32" s="682">
        <f>L32*300000</f>
        <v>1800000</v>
      </c>
      <c r="P32" s="667">
        <f>+O32/$O$184*100</f>
        <v>8.0386462383824811E-2</v>
      </c>
      <c r="Q32" s="683"/>
      <c r="R32" s="669"/>
      <c r="S32" s="669"/>
      <c r="T32" s="669"/>
      <c r="U32" s="669"/>
      <c r="V32" s="670">
        <v>0</v>
      </c>
      <c r="W32" s="683">
        <f t="shared" ref="W32:W34" si="4">+V32/O32*100</f>
        <v>0</v>
      </c>
      <c r="X32" s="684">
        <f t="shared" si="1"/>
        <v>0</v>
      </c>
      <c r="Y32" s="683">
        <f t="shared" ref="Y32:Y34" si="5">X32*P32/100</f>
        <v>0</v>
      </c>
      <c r="Z32" s="670"/>
      <c r="AA32" s="670">
        <f t="shared" si="3"/>
        <v>1800000</v>
      </c>
      <c r="AB32" s="668"/>
      <c r="AC32" s="588"/>
    </row>
    <row r="33" spans="1:29" x14ac:dyDescent="0.25">
      <c r="A33" s="678"/>
      <c r="B33" s="679" t="s">
        <v>82</v>
      </c>
      <c r="C33" s="676" t="s">
        <v>195</v>
      </c>
      <c r="D33" s="676"/>
      <c r="E33" s="676"/>
      <c r="F33" s="676"/>
      <c r="G33" s="677"/>
      <c r="H33" s="660"/>
      <c r="I33" s="661"/>
      <c r="J33" s="662"/>
      <c r="K33" s="663"/>
      <c r="L33" s="680">
        <v>6</v>
      </c>
      <c r="M33" s="676" t="s">
        <v>147</v>
      </c>
      <c r="N33" s="681"/>
      <c r="O33" s="682">
        <f>L33*250000</f>
        <v>1500000</v>
      </c>
      <c r="P33" s="667">
        <f>+O33/$O$184*100</f>
        <v>6.6988718653187354E-2</v>
      </c>
      <c r="Q33" s="683"/>
      <c r="R33" s="669"/>
      <c r="S33" s="669"/>
      <c r="T33" s="669"/>
      <c r="U33" s="669"/>
      <c r="V33" s="670">
        <v>0</v>
      </c>
      <c r="W33" s="683">
        <f t="shared" si="4"/>
        <v>0</v>
      </c>
      <c r="X33" s="684">
        <f t="shared" si="1"/>
        <v>0</v>
      </c>
      <c r="Y33" s="683">
        <f t="shared" si="5"/>
        <v>0</v>
      </c>
      <c r="Z33" s="670"/>
      <c r="AA33" s="670">
        <f t="shared" si="3"/>
        <v>1500000</v>
      </c>
      <c r="AB33" s="668"/>
      <c r="AC33" s="588"/>
    </row>
    <row r="34" spans="1:29" x14ac:dyDescent="0.25">
      <c r="A34" s="678"/>
      <c r="B34" s="679" t="s">
        <v>82</v>
      </c>
      <c r="C34" s="676" t="s">
        <v>196</v>
      </c>
      <c r="D34" s="676"/>
      <c r="E34" s="676"/>
      <c r="F34" s="676"/>
      <c r="G34" s="677"/>
      <c r="H34" s="660"/>
      <c r="I34" s="661"/>
      <c r="J34" s="662"/>
      <c r="K34" s="663"/>
      <c r="L34" s="680">
        <v>30</v>
      </c>
      <c r="M34" s="676" t="s">
        <v>147</v>
      </c>
      <c r="N34" s="681"/>
      <c r="O34" s="682">
        <f>L34*200000</f>
        <v>6000000</v>
      </c>
      <c r="P34" s="667">
        <f>+O34/$O$184*100</f>
        <v>0.26795487461274942</v>
      </c>
      <c r="Q34" s="683"/>
      <c r="R34" s="669"/>
      <c r="S34" s="669"/>
      <c r="T34" s="669"/>
      <c r="U34" s="669"/>
      <c r="V34" s="670">
        <v>0</v>
      </c>
      <c r="W34" s="683">
        <f t="shared" si="4"/>
        <v>0</v>
      </c>
      <c r="X34" s="684">
        <f t="shared" si="1"/>
        <v>0</v>
      </c>
      <c r="Y34" s="683">
        <f t="shared" si="5"/>
        <v>0</v>
      </c>
      <c r="Z34" s="670"/>
      <c r="AA34" s="670">
        <f t="shared" si="3"/>
        <v>6000000</v>
      </c>
      <c r="AB34" s="668"/>
      <c r="AC34" s="588"/>
    </row>
    <row r="35" spans="1:29" x14ac:dyDescent="0.25">
      <c r="A35" s="674">
        <v>521219</v>
      </c>
      <c r="B35" s="675" t="s">
        <v>197</v>
      </c>
      <c r="C35" s="676"/>
      <c r="D35" s="676"/>
      <c r="E35" s="676"/>
      <c r="F35" s="676"/>
      <c r="G35" s="677"/>
      <c r="H35" s="660"/>
      <c r="I35" s="661"/>
      <c r="J35" s="662"/>
      <c r="K35" s="663"/>
      <c r="L35" s="680"/>
      <c r="M35" s="676"/>
      <c r="N35" s="681"/>
      <c r="O35" s="682"/>
      <c r="P35" s="667"/>
      <c r="Q35" s="683"/>
      <c r="R35" s="669"/>
      <c r="S35" s="669"/>
      <c r="T35" s="669"/>
      <c r="U35" s="669"/>
      <c r="V35" s="670"/>
      <c r="W35" s="683"/>
      <c r="X35" s="684"/>
      <c r="Y35" s="683"/>
      <c r="Z35" s="670"/>
      <c r="AA35" s="670"/>
      <c r="AB35" s="668"/>
      <c r="AC35" s="588"/>
    </row>
    <row r="36" spans="1:29" x14ac:dyDescent="0.25">
      <c r="A36" s="678"/>
      <c r="B36" s="679" t="s">
        <v>82</v>
      </c>
      <c r="C36" s="676" t="s">
        <v>198</v>
      </c>
      <c r="D36" s="676"/>
      <c r="E36" s="676"/>
      <c r="F36" s="676"/>
      <c r="G36" s="677"/>
      <c r="H36" s="660"/>
      <c r="I36" s="661"/>
      <c r="J36" s="662"/>
      <c r="K36" s="663"/>
      <c r="L36" s="680">
        <v>25</v>
      </c>
      <c r="M36" s="676" t="s">
        <v>200</v>
      </c>
      <c r="N36" s="665"/>
      <c r="O36" s="682">
        <f>L36*50000</f>
        <v>1250000</v>
      </c>
      <c r="P36" s="667">
        <f>+O36/$O$184*100</f>
        <v>5.5823932210989448E-2</v>
      </c>
      <c r="Q36" s="683"/>
      <c r="R36" s="669"/>
      <c r="S36" s="669"/>
      <c r="T36" s="669"/>
      <c r="U36" s="669"/>
      <c r="V36" s="670">
        <v>1250000</v>
      </c>
      <c r="W36" s="683">
        <f t="shared" ref="W36:W37" si="6">+V36/O36*100</f>
        <v>100</v>
      </c>
      <c r="X36" s="684">
        <f t="shared" si="1"/>
        <v>100</v>
      </c>
      <c r="Y36" s="683">
        <f t="shared" ref="Y36:Y37" si="7">X36*P36/100</f>
        <v>5.5823932210989448E-2</v>
      </c>
      <c r="Z36" s="670"/>
      <c r="AA36" s="670">
        <f t="shared" ref="AA36:AA37" si="8">+O36-V36</f>
        <v>0</v>
      </c>
      <c r="AB36" s="668"/>
      <c r="AC36" s="588"/>
    </row>
    <row r="37" spans="1:29" x14ac:dyDescent="0.25">
      <c r="A37" s="678"/>
      <c r="B37" s="679" t="s">
        <v>82</v>
      </c>
      <c r="C37" s="676" t="s">
        <v>199</v>
      </c>
      <c r="D37" s="676"/>
      <c r="E37" s="676"/>
      <c r="F37" s="676"/>
      <c r="G37" s="677"/>
      <c r="H37" s="660"/>
      <c r="I37" s="661"/>
      <c r="J37" s="662"/>
      <c r="K37" s="663"/>
      <c r="L37" s="680">
        <v>30</v>
      </c>
      <c r="M37" s="676" t="s">
        <v>200</v>
      </c>
      <c r="N37" s="681"/>
      <c r="O37" s="682">
        <f>L37*50000</f>
        <v>1500000</v>
      </c>
      <c r="P37" s="667">
        <f>+O37/$O$184*100</f>
        <v>6.6988718653187354E-2</v>
      </c>
      <c r="Q37" s="683"/>
      <c r="R37" s="669"/>
      <c r="S37" s="669"/>
      <c r="T37" s="669"/>
      <c r="U37" s="669"/>
      <c r="V37" s="670">
        <v>0</v>
      </c>
      <c r="W37" s="683">
        <f t="shared" si="6"/>
        <v>0</v>
      </c>
      <c r="X37" s="684">
        <f t="shared" si="1"/>
        <v>0</v>
      </c>
      <c r="Y37" s="683">
        <f t="shared" si="7"/>
        <v>0</v>
      </c>
      <c r="Z37" s="670"/>
      <c r="AA37" s="670">
        <f t="shared" si="8"/>
        <v>1500000</v>
      </c>
      <c r="AB37" s="668"/>
      <c r="AC37" s="588"/>
    </row>
    <row r="38" spans="1:29" x14ac:dyDescent="0.25">
      <c r="A38" s="674">
        <v>522141</v>
      </c>
      <c r="B38" s="675" t="s">
        <v>168</v>
      </c>
      <c r="C38" s="676"/>
      <c r="D38" s="676"/>
      <c r="E38" s="676"/>
      <c r="F38" s="676"/>
      <c r="G38" s="677"/>
      <c r="H38" s="660"/>
      <c r="I38" s="661"/>
      <c r="J38" s="662"/>
      <c r="K38" s="663"/>
      <c r="L38" s="664"/>
      <c r="M38" s="658"/>
      <c r="N38" s="665"/>
      <c r="O38" s="666"/>
      <c r="P38" s="667"/>
      <c r="Q38" s="668"/>
      <c r="R38" s="669"/>
      <c r="S38" s="669"/>
      <c r="T38" s="669"/>
      <c r="U38" s="669"/>
      <c r="V38" s="670"/>
      <c r="W38" s="668"/>
      <c r="X38" s="668"/>
      <c r="Y38" s="668"/>
      <c r="Z38" s="670"/>
      <c r="AA38" s="670"/>
      <c r="AB38" s="668"/>
      <c r="AC38" s="588"/>
    </row>
    <row r="39" spans="1:29" x14ac:dyDescent="0.25">
      <c r="A39" s="678"/>
      <c r="B39" s="679" t="s">
        <v>82</v>
      </c>
      <c r="C39" s="676" t="s">
        <v>201</v>
      </c>
      <c r="D39" s="676"/>
      <c r="E39" s="676"/>
      <c r="F39" s="676"/>
      <c r="G39" s="677"/>
      <c r="H39" s="660"/>
      <c r="I39" s="661"/>
      <c r="J39" s="662"/>
      <c r="K39" s="663"/>
      <c r="L39" s="680">
        <v>1</v>
      </c>
      <c r="M39" s="676" t="s">
        <v>205</v>
      </c>
      <c r="N39" s="681"/>
      <c r="O39" s="682">
        <f>L39*2000000</f>
        <v>2000000</v>
      </c>
      <c r="P39" s="667">
        <f>+O39/$O$184*100</f>
        <v>8.9318291537583125E-2</v>
      </c>
      <c r="Q39" s="683"/>
      <c r="R39" s="669"/>
      <c r="S39" s="669"/>
      <c r="T39" s="669"/>
      <c r="U39" s="669"/>
      <c r="V39" s="670">
        <v>2000000</v>
      </c>
      <c r="W39" s="683">
        <f t="shared" ref="W39:W42" si="9">+V39/O39*100</f>
        <v>100</v>
      </c>
      <c r="X39" s="684">
        <f t="shared" si="1"/>
        <v>100</v>
      </c>
      <c r="Y39" s="683">
        <f t="shared" ref="Y39:Y42" si="10">X39*P39/100</f>
        <v>8.9318291537583139E-2</v>
      </c>
      <c r="Z39" s="670"/>
      <c r="AA39" s="670">
        <f t="shared" ref="AA39:AA42" si="11">+O39-V39</f>
        <v>0</v>
      </c>
      <c r="AB39" s="668"/>
      <c r="AC39" s="588"/>
    </row>
    <row r="40" spans="1:29" x14ac:dyDescent="0.25">
      <c r="A40" s="678"/>
      <c r="B40" s="679" t="s">
        <v>82</v>
      </c>
      <c r="C40" s="676" t="s">
        <v>202</v>
      </c>
      <c r="D40" s="676"/>
      <c r="E40" s="676"/>
      <c r="F40" s="676"/>
      <c r="G40" s="677"/>
      <c r="H40" s="660"/>
      <c r="I40" s="661"/>
      <c r="J40" s="662"/>
      <c r="K40" s="663"/>
      <c r="L40" s="680">
        <v>6</v>
      </c>
      <c r="M40" s="676" t="s">
        <v>205</v>
      </c>
      <c r="N40" s="681"/>
      <c r="O40" s="682">
        <f>L40*700000</f>
        <v>4200000</v>
      </c>
      <c r="P40" s="667">
        <f>+O40/$O$184*100</f>
        <v>0.18756841222892456</v>
      </c>
      <c r="Q40" s="683"/>
      <c r="R40" s="669"/>
      <c r="S40" s="669"/>
      <c r="T40" s="669"/>
      <c r="U40" s="669"/>
      <c r="V40" s="670">
        <v>4200000</v>
      </c>
      <c r="W40" s="683">
        <f t="shared" si="9"/>
        <v>100</v>
      </c>
      <c r="X40" s="684">
        <f t="shared" si="1"/>
        <v>100</v>
      </c>
      <c r="Y40" s="683">
        <f t="shared" si="10"/>
        <v>0.18756841222892459</v>
      </c>
      <c r="Z40" s="670"/>
      <c r="AA40" s="670">
        <f t="shared" si="11"/>
        <v>0</v>
      </c>
      <c r="AB40" s="668"/>
      <c r="AC40" s="588"/>
    </row>
    <row r="41" spans="1:29" x14ac:dyDescent="0.25">
      <c r="A41" s="678"/>
      <c r="B41" s="679" t="s">
        <v>82</v>
      </c>
      <c r="C41" s="676" t="s">
        <v>203</v>
      </c>
      <c r="D41" s="676"/>
      <c r="E41" s="676"/>
      <c r="F41" s="676"/>
      <c r="G41" s="677"/>
      <c r="H41" s="660"/>
      <c r="I41" s="661"/>
      <c r="J41" s="662"/>
      <c r="K41" s="663"/>
      <c r="L41" s="680">
        <v>1</v>
      </c>
      <c r="M41" s="676" t="s">
        <v>205</v>
      </c>
      <c r="N41" s="681"/>
      <c r="O41" s="682">
        <f>L41*2000000</f>
        <v>2000000</v>
      </c>
      <c r="P41" s="667">
        <f>+O41/$O$184*100</f>
        <v>8.9318291537583125E-2</v>
      </c>
      <c r="Q41" s="683"/>
      <c r="R41" s="669"/>
      <c r="S41" s="669"/>
      <c r="T41" s="669"/>
      <c r="U41" s="669"/>
      <c r="V41" s="670">
        <v>0</v>
      </c>
      <c r="W41" s="683">
        <f t="shared" si="9"/>
        <v>0</v>
      </c>
      <c r="X41" s="684">
        <f t="shared" si="1"/>
        <v>0</v>
      </c>
      <c r="Y41" s="683">
        <f t="shared" si="10"/>
        <v>0</v>
      </c>
      <c r="Z41" s="670"/>
      <c r="AA41" s="670">
        <f t="shared" si="11"/>
        <v>2000000</v>
      </c>
      <c r="AB41" s="668"/>
      <c r="AC41" s="588"/>
    </row>
    <row r="42" spans="1:29" x14ac:dyDescent="0.25">
      <c r="A42" s="678"/>
      <c r="B42" s="679" t="s">
        <v>82</v>
      </c>
      <c r="C42" s="676" t="s">
        <v>204</v>
      </c>
      <c r="D42" s="676"/>
      <c r="E42" s="676"/>
      <c r="F42" s="676"/>
      <c r="G42" s="677"/>
      <c r="H42" s="660"/>
      <c r="I42" s="661"/>
      <c r="J42" s="662"/>
      <c r="K42" s="663"/>
      <c r="L42" s="680">
        <v>6</v>
      </c>
      <c r="M42" s="676" t="s">
        <v>205</v>
      </c>
      <c r="N42" s="681"/>
      <c r="O42" s="682">
        <f>L42*700000</f>
        <v>4200000</v>
      </c>
      <c r="P42" s="667">
        <f>+O42/$O$184*100</f>
        <v>0.18756841222892456</v>
      </c>
      <c r="Q42" s="683"/>
      <c r="R42" s="669"/>
      <c r="S42" s="669"/>
      <c r="T42" s="669"/>
      <c r="U42" s="669"/>
      <c r="V42" s="670">
        <v>0</v>
      </c>
      <c r="W42" s="683">
        <f t="shared" si="9"/>
        <v>0</v>
      </c>
      <c r="X42" s="684">
        <f t="shared" si="1"/>
        <v>0</v>
      </c>
      <c r="Y42" s="683">
        <f t="shared" si="10"/>
        <v>0</v>
      </c>
      <c r="Z42" s="670"/>
      <c r="AA42" s="670">
        <f t="shared" si="11"/>
        <v>4200000</v>
      </c>
      <c r="AB42" s="668"/>
      <c r="AC42" s="588"/>
    </row>
    <row r="43" spans="1:29" x14ac:dyDescent="0.25">
      <c r="A43" s="674">
        <v>522151</v>
      </c>
      <c r="B43" s="685" t="s">
        <v>84</v>
      </c>
      <c r="C43" s="676"/>
      <c r="D43" s="676"/>
      <c r="E43" s="676"/>
      <c r="F43" s="676"/>
      <c r="G43" s="677"/>
      <c r="H43" s="660"/>
      <c r="I43" s="661"/>
      <c r="J43" s="662"/>
      <c r="K43" s="663"/>
      <c r="L43" s="680"/>
      <c r="M43" s="676"/>
      <c r="N43" s="681"/>
      <c r="O43" s="682"/>
      <c r="P43" s="667"/>
      <c r="Q43" s="668"/>
      <c r="R43" s="669"/>
      <c r="S43" s="669"/>
      <c r="T43" s="669"/>
      <c r="U43" s="669"/>
      <c r="V43" s="670"/>
      <c r="W43" s="668"/>
      <c r="X43" s="668"/>
      <c r="Y43" s="668"/>
      <c r="Z43" s="670"/>
      <c r="AA43" s="670"/>
      <c r="AB43" s="668"/>
      <c r="AC43" s="588"/>
    </row>
    <row r="44" spans="1:29" x14ac:dyDescent="0.25">
      <c r="A44" s="678"/>
      <c r="B44" s="679" t="s">
        <v>82</v>
      </c>
      <c r="C44" s="676" t="s">
        <v>206</v>
      </c>
      <c r="D44" s="676"/>
      <c r="E44" s="676"/>
      <c r="F44" s="676"/>
      <c r="G44" s="677"/>
      <c r="H44" s="660"/>
      <c r="I44" s="661"/>
      <c r="J44" s="662"/>
      <c r="K44" s="663"/>
      <c r="L44" s="680">
        <v>2</v>
      </c>
      <c r="M44" s="676" t="s">
        <v>210</v>
      </c>
      <c r="N44" s="681"/>
      <c r="O44" s="682">
        <f>L44*1300000</f>
        <v>2600000</v>
      </c>
      <c r="P44" s="667">
        <f>+O44/$O$184*100</f>
        <v>0.11611377899885807</v>
      </c>
      <c r="Q44" s="683"/>
      <c r="R44" s="669"/>
      <c r="S44" s="669"/>
      <c r="T44" s="669"/>
      <c r="U44" s="669"/>
      <c r="V44" s="670">
        <v>2600000</v>
      </c>
      <c r="W44" s="683">
        <f t="shared" ref="W44:W47" si="12">+V44/O44*100</f>
        <v>100</v>
      </c>
      <c r="X44" s="684">
        <f t="shared" si="1"/>
        <v>100</v>
      </c>
      <c r="Y44" s="683">
        <f t="shared" ref="Y44:Y47" si="13">X44*P44/100</f>
        <v>0.11611377899885805</v>
      </c>
      <c r="Z44" s="670"/>
      <c r="AA44" s="670">
        <f t="shared" ref="AA44:AA47" si="14">+O44-V44</f>
        <v>0</v>
      </c>
      <c r="AB44" s="668"/>
      <c r="AC44" s="588"/>
    </row>
    <row r="45" spans="1:29" x14ac:dyDescent="0.25">
      <c r="A45" s="678"/>
      <c r="B45" s="679" t="s">
        <v>82</v>
      </c>
      <c r="C45" s="676" t="s">
        <v>207</v>
      </c>
      <c r="D45" s="676"/>
      <c r="E45" s="676"/>
      <c r="F45" s="676"/>
      <c r="G45" s="677"/>
      <c r="H45" s="660"/>
      <c r="I45" s="661"/>
      <c r="J45" s="662"/>
      <c r="K45" s="663"/>
      <c r="L45" s="680">
        <v>10</v>
      </c>
      <c r="M45" s="676" t="s">
        <v>210</v>
      </c>
      <c r="N45" s="681"/>
      <c r="O45" s="682">
        <f>L45*900000</f>
        <v>9000000</v>
      </c>
      <c r="P45" s="667">
        <f>+O45/$O$184*100</f>
        <v>0.4019323119191241</v>
      </c>
      <c r="Q45" s="683"/>
      <c r="R45" s="669"/>
      <c r="S45" s="669"/>
      <c r="T45" s="669"/>
      <c r="U45" s="669"/>
      <c r="V45" s="670">
        <v>9000000</v>
      </c>
      <c r="W45" s="683">
        <f t="shared" si="12"/>
        <v>100</v>
      </c>
      <c r="X45" s="684">
        <f t="shared" si="1"/>
        <v>100</v>
      </c>
      <c r="Y45" s="683">
        <f t="shared" si="13"/>
        <v>0.4019323119191241</v>
      </c>
      <c r="Z45" s="670"/>
      <c r="AA45" s="670">
        <f t="shared" si="14"/>
        <v>0</v>
      </c>
      <c r="AB45" s="668"/>
      <c r="AC45" s="588"/>
    </row>
    <row r="46" spans="1:29" x14ac:dyDescent="0.25">
      <c r="A46" s="678"/>
      <c r="B46" s="679" t="s">
        <v>82</v>
      </c>
      <c r="C46" s="676" t="s">
        <v>208</v>
      </c>
      <c r="D46" s="676"/>
      <c r="E46" s="676"/>
      <c r="F46" s="676"/>
      <c r="G46" s="677"/>
      <c r="H46" s="660"/>
      <c r="I46" s="661"/>
      <c r="J46" s="662"/>
      <c r="K46" s="663"/>
      <c r="L46" s="680">
        <v>2</v>
      </c>
      <c r="M46" s="676" t="s">
        <v>210</v>
      </c>
      <c r="N46" s="681"/>
      <c r="O46" s="682">
        <f>L46*1300000</f>
        <v>2600000</v>
      </c>
      <c r="P46" s="667">
        <f>+O46/$O$184*100</f>
        <v>0.11611377899885807</v>
      </c>
      <c r="Q46" s="683"/>
      <c r="R46" s="669"/>
      <c r="S46" s="669"/>
      <c r="T46" s="669"/>
      <c r="U46" s="669"/>
      <c r="V46" s="670">
        <v>0</v>
      </c>
      <c r="W46" s="683">
        <f t="shared" si="12"/>
        <v>0</v>
      </c>
      <c r="X46" s="684">
        <f t="shared" si="1"/>
        <v>0</v>
      </c>
      <c r="Y46" s="683">
        <f t="shared" si="13"/>
        <v>0</v>
      </c>
      <c r="Z46" s="670"/>
      <c r="AA46" s="670">
        <f t="shared" si="14"/>
        <v>2600000</v>
      </c>
      <c r="AB46" s="668"/>
      <c r="AC46" s="588"/>
    </row>
    <row r="47" spans="1:29" x14ac:dyDescent="0.25">
      <c r="A47" s="678"/>
      <c r="B47" s="679" t="s">
        <v>82</v>
      </c>
      <c r="C47" s="676" t="s">
        <v>209</v>
      </c>
      <c r="D47" s="676"/>
      <c r="E47" s="676"/>
      <c r="F47" s="676"/>
      <c r="G47" s="677"/>
      <c r="H47" s="660"/>
      <c r="I47" s="661"/>
      <c r="J47" s="662"/>
      <c r="K47" s="663"/>
      <c r="L47" s="680">
        <v>10</v>
      </c>
      <c r="M47" s="676" t="s">
        <v>210</v>
      </c>
      <c r="N47" s="681"/>
      <c r="O47" s="682">
        <f>L47*900000</f>
        <v>9000000</v>
      </c>
      <c r="P47" s="667">
        <f>+O47/$O$184*100</f>
        <v>0.4019323119191241</v>
      </c>
      <c r="Q47" s="683"/>
      <c r="R47" s="669"/>
      <c r="S47" s="669"/>
      <c r="T47" s="669"/>
      <c r="U47" s="669"/>
      <c r="V47" s="670">
        <v>0</v>
      </c>
      <c r="W47" s="683">
        <f t="shared" si="12"/>
        <v>0</v>
      </c>
      <c r="X47" s="684">
        <f t="shared" si="1"/>
        <v>0</v>
      </c>
      <c r="Y47" s="683">
        <f t="shared" si="13"/>
        <v>0</v>
      </c>
      <c r="Z47" s="670"/>
      <c r="AA47" s="670">
        <f t="shared" si="14"/>
        <v>9000000</v>
      </c>
      <c r="AB47" s="668"/>
      <c r="AC47" s="588"/>
    </row>
    <row r="48" spans="1:29" x14ac:dyDescent="0.25">
      <c r="A48" s="674">
        <v>524111</v>
      </c>
      <c r="B48" s="685" t="s">
        <v>85</v>
      </c>
      <c r="C48" s="676"/>
      <c r="D48" s="676"/>
      <c r="E48" s="676"/>
      <c r="F48" s="676"/>
      <c r="G48" s="677"/>
      <c r="H48" s="660"/>
      <c r="I48" s="661"/>
      <c r="J48" s="662"/>
      <c r="K48" s="663"/>
      <c r="L48" s="680"/>
      <c r="M48" s="676"/>
      <c r="N48" s="681"/>
      <c r="O48" s="682"/>
      <c r="P48" s="667"/>
      <c r="Q48" s="683"/>
      <c r="R48" s="669"/>
      <c r="S48" s="669"/>
      <c r="T48" s="669"/>
      <c r="U48" s="669"/>
      <c r="V48" s="670"/>
      <c r="W48" s="683"/>
      <c r="X48" s="684"/>
      <c r="Y48" s="683"/>
      <c r="Z48" s="670"/>
      <c r="AA48" s="670"/>
      <c r="AB48" s="668"/>
      <c r="AC48" s="588"/>
    </row>
    <row r="49" spans="1:29" x14ac:dyDescent="0.25">
      <c r="A49" s="678"/>
      <c r="B49" s="679" t="s">
        <v>82</v>
      </c>
      <c r="C49" s="676" t="s">
        <v>211</v>
      </c>
      <c r="D49" s="676"/>
      <c r="E49" s="676"/>
      <c r="F49" s="676"/>
      <c r="G49" s="677"/>
      <c r="H49" s="660"/>
      <c r="I49" s="661"/>
      <c r="J49" s="662"/>
      <c r="K49" s="663"/>
      <c r="L49" s="680">
        <v>6</v>
      </c>
      <c r="M49" s="676" t="s">
        <v>217</v>
      </c>
      <c r="N49" s="681"/>
      <c r="O49" s="682">
        <f>L49*430000</f>
        <v>2580000</v>
      </c>
      <c r="P49" s="667">
        <f t="shared" ref="P49:P54" si="15">+O49/$O$184*100</f>
        <v>0.11522059608348224</v>
      </c>
      <c r="Q49" s="683"/>
      <c r="R49" s="669"/>
      <c r="S49" s="669"/>
      <c r="T49" s="669"/>
      <c r="U49" s="669"/>
      <c r="V49" s="670">
        <v>2580000</v>
      </c>
      <c r="W49" s="683">
        <f t="shared" ref="W49:W54" si="16">+V49/O49*100</f>
        <v>100</v>
      </c>
      <c r="X49" s="684">
        <f t="shared" si="1"/>
        <v>100</v>
      </c>
      <c r="Y49" s="683">
        <f t="shared" ref="Y49:Y54" si="17">X49*P49/100</f>
        <v>0.11522059608348224</v>
      </c>
      <c r="Z49" s="670"/>
      <c r="AA49" s="670">
        <f t="shared" ref="AA49:AA54" si="18">+O49-V49</f>
        <v>0</v>
      </c>
      <c r="AB49" s="668"/>
      <c r="AC49" s="588"/>
    </row>
    <row r="50" spans="1:29" x14ac:dyDescent="0.25">
      <c r="A50" s="678"/>
      <c r="B50" s="679" t="s">
        <v>82</v>
      </c>
      <c r="C50" s="676" t="s">
        <v>212</v>
      </c>
      <c r="D50" s="676"/>
      <c r="E50" s="676"/>
      <c r="F50" s="676"/>
      <c r="G50" s="677"/>
      <c r="H50" s="660"/>
      <c r="I50" s="661"/>
      <c r="J50" s="662"/>
      <c r="K50" s="663"/>
      <c r="L50" s="680">
        <v>4</v>
      </c>
      <c r="M50" s="676" t="s">
        <v>217</v>
      </c>
      <c r="N50" s="681"/>
      <c r="O50" s="682">
        <f>L50*580000</f>
        <v>2320000</v>
      </c>
      <c r="P50" s="667">
        <f t="shared" si="15"/>
        <v>0.10360921818359642</v>
      </c>
      <c r="Q50" s="683"/>
      <c r="R50" s="669"/>
      <c r="S50" s="669"/>
      <c r="T50" s="669"/>
      <c r="U50" s="669"/>
      <c r="V50" s="670">
        <v>2320000</v>
      </c>
      <c r="W50" s="683">
        <f t="shared" si="16"/>
        <v>100</v>
      </c>
      <c r="X50" s="684">
        <f t="shared" si="1"/>
        <v>100</v>
      </c>
      <c r="Y50" s="683">
        <f t="shared" si="17"/>
        <v>0.10360921818359642</v>
      </c>
      <c r="Z50" s="670"/>
      <c r="AA50" s="670">
        <f t="shared" si="18"/>
        <v>0</v>
      </c>
      <c r="AB50" s="668"/>
      <c r="AC50" s="588"/>
    </row>
    <row r="51" spans="1:29" x14ac:dyDescent="0.25">
      <c r="A51" s="678"/>
      <c r="B51" s="679" t="s">
        <v>82</v>
      </c>
      <c r="C51" s="676" t="s">
        <v>213</v>
      </c>
      <c r="D51" s="676"/>
      <c r="E51" s="676"/>
      <c r="F51" s="676"/>
      <c r="G51" s="677"/>
      <c r="H51" s="660"/>
      <c r="I51" s="661"/>
      <c r="J51" s="662"/>
      <c r="K51" s="663"/>
      <c r="L51" s="680">
        <v>2</v>
      </c>
      <c r="M51" s="676" t="s">
        <v>147</v>
      </c>
      <c r="N51" s="681"/>
      <c r="O51" s="682">
        <f>L51*400000</f>
        <v>800000</v>
      </c>
      <c r="P51" s="667">
        <f t="shared" si="15"/>
        <v>3.5727316615033249E-2</v>
      </c>
      <c r="Q51" s="683"/>
      <c r="R51" s="669"/>
      <c r="S51" s="669"/>
      <c r="T51" s="669"/>
      <c r="U51" s="669"/>
      <c r="V51" s="670">
        <v>800000</v>
      </c>
      <c r="W51" s="683">
        <f t="shared" si="16"/>
        <v>100</v>
      </c>
      <c r="X51" s="684">
        <f t="shared" si="1"/>
        <v>100</v>
      </c>
      <c r="Y51" s="683">
        <f t="shared" si="17"/>
        <v>3.5727316615033249E-2</v>
      </c>
      <c r="Z51" s="670"/>
      <c r="AA51" s="670">
        <f t="shared" si="18"/>
        <v>0</v>
      </c>
      <c r="AB51" s="668"/>
      <c r="AC51" s="588"/>
    </row>
    <row r="52" spans="1:29" x14ac:dyDescent="0.25">
      <c r="A52" s="678"/>
      <c r="B52" s="679" t="s">
        <v>82</v>
      </c>
      <c r="C52" s="676" t="s">
        <v>214</v>
      </c>
      <c r="D52" s="676"/>
      <c r="E52" s="676"/>
      <c r="F52" s="676"/>
      <c r="G52" s="677"/>
      <c r="H52" s="660"/>
      <c r="I52" s="661"/>
      <c r="J52" s="662"/>
      <c r="K52" s="663"/>
      <c r="L52" s="680">
        <v>5</v>
      </c>
      <c r="M52" s="676" t="s">
        <v>217</v>
      </c>
      <c r="N52" s="681"/>
      <c r="O52" s="682">
        <f>L52*430000</f>
        <v>2150000</v>
      </c>
      <c r="P52" s="667">
        <f t="shared" si="15"/>
        <v>9.6017163402901867E-2</v>
      </c>
      <c r="Q52" s="683"/>
      <c r="R52" s="669"/>
      <c r="S52" s="669"/>
      <c r="T52" s="669"/>
      <c r="U52" s="669"/>
      <c r="V52" s="670">
        <v>2150000</v>
      </c>
      <c r="W52" s="683">
        <f t="shared" si="16"/>
        <v>100</v>
      </c>
      <c r="X52" s="684">
        <f t="shared" si="1"/>
        <v>100</v>
      </c>
      <c r="Y52" s="683">
        <f t="shared" si="17"/>
        <v>9.6017163402901867E-2</v>
      </c>
      <c r="Z52" s="670"/>
      <c r="AA52" s="670">
        <f t="shared" si="18"/>
        <v>0</v>
      </c>
      <c r="AB52" s="668"/>
      <c r="AC52" s="588"/>
    </row>
    <row r="53" spans="1:29" x14ac:dyDescent="0.25">
      <c r="A53" s="678"/>
      <c r="B53" s="679" t="s">
        <v>82</v>
      </c>
      <c r="C53" s="676" t="s">
        <v>215</v>
      </c>
      <c r="D53" s="676"/>
      <c r="E53" s="676"/>
      <c r="F53" s="676"/>
      <c r="G53" s="677"/>
      <c r="H53" s="660"/>
      <c r="I53" s="661"/>
      <c r="J53" s="662"/>
      <c r="K53" s="663"/>
      <c r="L53" s="680">
        <v>2</v>
      </c>
      <c r="M53" s="676" t="s">
        <v>218</v>
      </c>
      <c r="N53" s="681"/>
      <c r="O53" s="682">
        <f>L53*3000000</f>
        <v>6000000</v>
      </c>
      <c r="P53" s="667">
        <f t="shared" si="15"/>
        <v>0.26795487461274942</v>
      </c>
      <c r="Q53" s="683"/>
      <c r="R53" s="669"/>
      <c r="S53" s="669"/>
      <c r="T53" s="669"/>
      <c r="U53" s="669"/>
      <c r="V53" s="670">
        <f>2339000+1767700</f>
        <v>4106700</v>
      </c>
      <c r="W53" s="683">
        <f t="shared" si="16"/>
        <v>68.444999999999993</v>
      </c>
      <c r="X53" s="684">
        <f t="shared" si="1"/>
        <v>68.444999999999993</v>
      </c>
      <c r="Y53" s="683">
        <f t="shared" si="17"/>
        <v>0.18340171392869631</v>
      </c>
      <c r="Z53" s="670"/>
      <c r="AA53" s="670">
        <f t="shared" si="18"/>
        <v>1893300</v>
      </c>
      <c r="AB53" s="668"/>
      <c r="AC53" s="588"/>
    </row>
    <row r="54" spans="1:29" x14ac:dyDescent="0.25">
      <c r="A54" s="678"/>
      <c r="B54" s="679" t="s">
        <v>82</v>
      </c>
      <c r="C54" s="676" t="s">
        <v>216</v>
      </c>
      <c r="D54" s="676"/>
      <c r="E54" s="676"/>
      <c r="F54" s="676"/>
      <c r="G54" s="677"/>
      <c r="H54" s="660"/>
      <c r="I54" s="661"/>
      <c r="J54" s="662"/>
      <c r="K54" s="663"/>
      <c r="L54" s="680">
        <v>5</v>
      </c>
      <c r="M54" s="676" t="s">
        <v>147</v>
      </c>
      <c r="N54" s="681"/>
      <c r="O54" s="682">
        <f>L54*200000</f>
        <v>1000000</v>
      </c>
      <c r="P54" s="667">
        <f t="shared" si="15"/>
        <v>4.4659145768791562E-2</v>
      </c>
      <c r="Q54" s="683"/>
      <c r="R54" s="669"/>
      <c r="S54" s="669"/>
      <c r="T54" s="669"/>
      <c r="U54" s="669"/>
      <c r="V54" s="670">
        <v>1000000</v>
      </c>
      <c r="W54" s="683">
        <f t="shared" si="16"/>
        <v>100</v>
      </c>
      <c r="X54" s="684">
        <f t="shared" si="1"/>
        <v>100</v>
      </c>
      <c r="Y54" s="683">
        <f t="shared" si="17"/>
        <v>4.4659145768791569E-2</v>
      </c>
      <c r="Z54" s="670"/>
      <c r="AA54" s="670">
        <f t="shared" si="18"/>
        <v>0</v>
      </c>
      <c r="AB54" s="668"/>
      <c r="AC54" s="588"/>
    </row>
    <row r="55" spans="1:29" x14ac:dyDescent="0.25">
      <c r="A55" s="674">
        <v>524119</v>
      </c>
      <c r="B55" s="685" t="s">
        <v>219</v>
      </c>
      <c r="C55" s="676"/>
      <c r="D55" s="676"/>
      <c r="E55" s="676"/>
      <c r="F55" s="676"/>
      <c r="G55" s="677"/>
      <c r="H55" s="660"/>
      <c r="I55" s="661"/>
      <c r="J55" s="662"/>
      <c r="K55" s="663"/>
      <c r="L55" s="680"/>
      <c r="M55" s="676"/>
      <c r="N55" s="681"/>
      <c r="O55" s="682"/>
      <c r="P55" s="667"/>
      <c r="Q55" s="683"/>
      <c r="R55" s="669"/>
      <c r="S55" s="669"/>
      <c r="T55" s="669"/>
      <c r="U55" s="669"/>
      <c r="V55" s="670"/>
      <c r="W55" s="683"/>
      <c r="X55" s="684"/>
      <c r="Y55" s="683"/>
      <c r="Z55" s="670"/>
      <c r="AA55" s="670"/>
      <c r="AB55" s="668"/>
      <c r="AC55" s="588"/>
    </row>
    <row r="56" spans="1:29" x14ac:dyDescent="0.25">
      <c r="A56" s="678"/>
      <c r="B56" s="679" t="s">
        <v>82</v>
      </c>
      <c r="C56" s="676" t="s">
        <v>220</v>
      </c>
      <c r="D56" s="676"/>
      <c r="E56" s="676"/>
      <c r="F56" s="676"/>
      <c r="G56" s="677"/>
      <c r="H56" s="660"/>
      <c r="I56" s="661"/>
      <c r="J56" s="662"/>
      <c r="K56" s="663"/>
      <c r="L56" s="680">
        <v>100</v>
      </c>
      <c r="M56" s="676" t="s">
        <v>217</v>
      </c>
      <c r="N56" s="681"/>
      <c r="O56" s="682">
        <f>L56*700000</f>
        <v>70000000</v>
      </c>
      <c r="P56" s="667">
        <f t="shared" ref="P56:P61" si="19">+O56/$O$184*100</f>
        <v>3.1261402038154094</v>
      </c>
      <c r="Q56" s="683"/>
      <c r="R56" s="676"/>
      <c r="S56" s="669"/>
      <c r="T56" s="669"/>
      <c r="U56" s="669"/>
      <c r="V56" s="670">
        <v>69500000</v>
      </c>
      <c r="W56" s="683">
        <f t="shared" ref="W56:W61" si="20">+V56/O56*100</f>
        <v>99.285714285714292</v>
      </c>
      <c r="X56" s="684">
        <f t="shared" si="1"/>
        <v>99.285714285714292</v>
      </c>
      <c r="Y56" s="683">
        <f t="shared" ref="Y56:Y61" si="21">X56*P56/100</f>
        <v>3.1038106309310138</v>
      </c>
      <c r="Z56" s="670"/>
      <c r="AA56" s="670">
        <f t="shared" ref="AA56:AA61" si="22">+O56-V56</f>
        <v>500000</v>
      </c>
      <c r="AB56" s="668"/>
      <c r="AC56" s="588"/>
    </row>
    <row r="57" spans="1:29" x14ac:dyDescent="0.25">
      <c r="A57" s="678"/>
      <c r="B57" s="679" t="s">
        <v>82</v>
      </c>
      <c r="C57" s="676" t="s">
        <v>221</v>
      </c>
      <c r="D57" s="676"/>
      <c r="E57" s="676"/>
      <c r="F57" s="676"/>
      <c r="G57" s="677"/>
      <c r="H57" s="660"/>
      <c r="I57" s="661"/>
      <c r="J57" s="662"/>
      <c r="K57" s="663"/>
      <c r="L57" s="680">
        <v>80</v>
      </c>
      <c r="M57" s="676" t="s">
        <v>217</v>
      </c>
      <c r="N57" s="681"/>
      <c r="O57" s="682">
        <f>L57*150000</f>
        <v>12000000</v>
      </c>
      <c r="P57" s="667">
        <f t="shared" si="19"/>
        <v>0.53590974922549883</v>
      </c>
      <c r="Q57" s="683"/>
      <c r="R57" s="669"/>
      <c r="S57" s="669"/>
      <c r="T57" s="669"/>
      <c r="U57" s="669"/>
      <c r="V57" s="670">
        <v>12000000</v>
      </c>
      <c r="W57" s="683">
        <f t="shared" si="20"/>
        <v>100</v>
      </c>
      <c r="X57" s="684">
        <f t="shared" si="1"/>
        <v>100</v>
      </c>
      <c r="Y57" s="683">
        <f t="shared" si="21"/>
        <v>0.53590974922549883</v>
      </c>
      <c r="Z57" s="670"/>
      <c r="AA57" s="670">
        <f t="shared" si="22"/>
        <v>0</v>
      </c>
      <c r="AB57" s="668"/>
      <c r="AC57" s="588"/>
    </row>
    <row r="58" spans="1:29" x14ac:dyDescent="0.25">
      <c r="A58" s="678"/>
      <c r="B58" s="679" t="s">
        <v>82</v>
      </c>
      <c r="C58" s="676" t="s">
        <v>222</v>
      </c>
      <c r="D58" s="676"/>
      <c r="E58" s="676"/>
      <c r="F58" s="676"/>
      <c r="G58" s="677"/>
      <c r="H58" s="660"/>
      <c r="I58" s="661"/>
      <c r="J58" s="662"/>
      <c r="K58" s="663"/>
      <c r="L58" s="680">
        <v>50</v>
      </c>
      <c r="M58" s="676" t="s">
        <v>147</v>
      </c>
      <c r="N58" s="681"/>
      <c r="O58" s="682">
        <f>L58*500000</f>
        <v>25000000</v>
      </c>
      <c r="P58" s="667">
        <f t="shared" si="19"/>
        <v>1.1164786442197892</v>
      </c>
      <c r="Q58" s="683"/>
      <c r="R58" s="669"/>
      <c r="S58" s="669"/>
      <c r="T58" s="669"/>
      <c r="U58" s="669"/>
      <c r="V58" s="670">
        <v>25000000</v>
      </c>
      <c r="W58" s="683">
        <f t="shared" si="20"/>
        <v>100</v>
      </c>
      <c r="X58" s="684">
        <f t="shared" si="1"/>
        <v>100</v>
      </c>
      <c r="Y58" s="683">
        <f t="shared" si="21"/>
        <v>1.1164786442197892</v>
      </c>
      <c r="Z58" s="670"/>
      <c r="AA58" s="670">
        <f t="shared" si="22"/>
        <v>0</v>
      </c>
      <c r="AB58" s="668"/>
      <c r="AC58" s="588"/>
    </row>
    <row r="59" spans="1:29" x14ac:dyDescent="0.25">
      <c r="A59" s="678"/>
      <c r="B59" s="679" t="s">
        <v>82</v>
      </c>
      <c r="C59" s="676" t="s">
        <v>224</v>
      </c>
      <c r="D59" s="676"/>
      <c r="E59" s="676"/>
      <c r="F59" s="676"/>
      <c r="G59" s="677"/>
      <c r="H59" s="660"/>
      <c r="I59" s="661"/>
      <c r="J59" s="662"/>
      <c r="K59" s="663"/>
      <c r="L59" s="680">
        <v>100</v>
      </c>
      <c r="M59" s="676" t="s">
        <v>217</v>
      </c>
      <c r="N59" s="681"/>
      <c r="O59" s="682">
        <f>L59*150000</f>
        <v>15000000</v>
      </c>
      <c r="P59" s="667">
        <f t="shared" si="19"/>
        <v>0.6698871865318734</v>
      </c>
      <c r="Q59" s="683"/>
      <c r="R59" s="669"/>
      <c r="S59" s="669"/>
      <c r="T59" s="669"/>
      <c r="U59" s="669"/>
      <c r="V59" s="670">
        <v>0</v>
      </c>
      <c r="W59" s="683">
        <f t="shared" si="20"/>
        <v>0</v>
      </c>
      <c r="X59" s="684">
        <f t="shared" si="1"/>
        <v>0</v>
      </c>
      <c r="Y59" s="683">
        <f t="shared" si="21"/>
        <v>0</v>
      </c>
      <c r="Z59" s="670"/>
      <c r="AA59" s="670">
        <f t="shared" si="22"/>
        <v>15000000</v>
      </c>
      <c r="AB59" s="668"/>
      <c r="AC59" s="588"/>
    </row>
    <row r="60" spans="1:29" x14ac:dyDescent="0.25">
      <c r="A60" s="678"/>
      <c r="B60" s="679" t="s">
        <v>82</v>
      </c>
      <c r="C60" s="676" t="s">
        <v>223</v>
      </c>
      <c r="D60" s="676"/>
      <c r="E60" s="676"/>
      <c r="F60" s="676"/>
      <c r="G60" s="677"/>
      <c r="H60" s="660"/>
      <c r="I60" s="661"/>
      <c r="J60" s="662"/>
      <c r="K60" s="663"/>
      <c r="L60" s="680">
        <v>120</v>
      </c>
      <c r="M60" s="676" t="s">
        <v>217</v>
      </c>
      <c r="N60" s="681"/>
      <c r="O60" s="682">
        <f>L60*700000</f>
        <v>84000000</v>
      </c>
      <c r="P60" s="667">
        <f t="shared" si="19"/>
        <v>3.7513682445784915</v>
      </c>
      <c r="Q60" s="683"/>
      <c r="R60" s="669"/>
      <c r="S60" s="669"/>
      <c r="T60" s="669"/>
      <c r="U60" s="669"/>
      <c r="V60" s="670">
        <v>0</v>
      </c>
      <c r="W60" s="683">
        <f t="shared" si="20"/>
        <v>0</v>
      </c>
      <c r="X60" s="684">
        <f t="shared" si="1"/>
        <v>0</v>
      </c>
      <c r="Y60" s="683">
        <f t="shared" si="21"/>
        <v>0</v>
      </c>
      <c r="Z60" s="670"/>
      <c r="AA60" s="670">
        <f t="shared" si="22"/>
        <v>84000000</v>
      </c>
      <c r="AB60" s="668"/>
      <c r="AC60" s="588"/>
    </row>
    <row r="61" spans="1:29" x14ac:dyDescent="0.25">
      <c r="A61" s="678"/>
      <c r="B61" s="679" t="s">
        <v>82</v>
      </c>
      <c r="C61" s="676" t="s">
        <v>225</v>
      </c>
      <c r="D61" s="676"/>
      <c r="E61" s="676"/>
      <c r="F61" s="676"/>
      <c r="G61" s="677"/>
      <c r="H61" s="660"/>
      <c r="I61" s="661"/>
      <c r="J61" s="662"/>
      <c r="K61" s="663"/>
      <c r="L61" s="680">
        <v>60</v>
      </c>
      <c r="M61" s="676" t="s">
        <v>147</v>
      </c>
      <c r="N61" s="681"/>
      <c r="O61" s="682">
        <f>L61*500000</f>
        <v>30000000</v>
      </c>
      <c r="P61" s="667">
        <f t="shared" si="19"/>
        <v>1.3397743730637468</v>
      </c>
      <c r="Q61" s="683"/>
      <c r="R61" s="669"/>
      <c r="S61" s="669"/>
      <c r="T61" s="669"/>
      <c r="U61" s="669"/>
      <c r="V61" s="670">
        <v>0</v>
      </c>
      <c r="W61" s="683">
        <f t="shared" si="20"/>
        <v>0</v>
      </c>
      <c r="X61" s="684">
        <f t="shared" si="1"/>
        <v>0</v>
      </c>
      <c r="Y61" s="683">
        <f t="shared" si="21"/>
        <v>0</v>
      </c>
      <c r="Z61" s="670"/>
      <c r="AA61" s="670">
        <f t="shared" si="22"/>
        <v>30000000</v>
      </c>
      <c r="AB61" s="668"/>
      <c r="AC61" s="588"/>
    </row>
    <row r="62" spans="1:29" x14ac:dyDescent="0.25">
      <c r="A62" s="678"/>
      <c r="B62" s="679"/>
      <c r="C62" s="676"/>
      <c r="D62" s="676"/>
      <c r="E62" s="676"/>
      <c r="F62" s="676"/>
      <c r="G62" s="677"/>
      <c r="H62" s="660"/>
      <c r="I62" s="661"/>
      <c r="J62" s="662"/>
      <c r="K62" s="663"/>
      <c r="L62" s="680"/>
      <c r="M62" s="676"/>
      <c r="N62" s="681"/>
      <c r="O62" s="682"/>
      <c r="P62" s="667"/>
      <c r="Q62" s="668"/>
      <c r="R62" s="669"/>
      <c r="S62" s="669"/>
      <c r="T62" s="669"/>
      <c r="U62" s="669"/>
      <c r="V62" s="670"/>
      <c r="W62" s="668"/>
      <c r="X62" s="668"/>
      <c r="Y62" s="668"/>
      <c r="Z62" s="670"/>
      <c r="AA62" s="670"/>
      <c r="AB62" s="668"/>
      <c r="AC62" s="588"/>
    </row>
    <row r="63" spans="1:29" x14ac:dyDescent="0.25">
      <c r="A63" s="686" t="s">
        <v>226</v>
      </c>
      <c r="B63" s="687" t="s">
        <v>227</v>
      </c>
      <c r="C63" s="688"/>
      <c r="D63" s="688"/>
      <c r="E63" s="688"/>
      <c r="F63" s="688"/>
      <c r="G63" s="688"/>
      <c r="H63" s="689"/>
      <c r="I63" s="690"/>
      <c r="J63" s="691"/>
      <c r="K63" s="692"/>
      <c r="L63" s="693"/>
      <c r="M63" s="688"/>
      <c r="N63" s="694"/>
      <c r="O63" s="695"/>
      <c r="P63" s="696"/>
      <c r="Q63" s="697"/>
      <c r="R63" s="698"/>
      <c r="S63" s="698"/>
      <c r="T63" s="698"/>
      <c r="U63" s="698"/>
      <c r="V63" s="699"/>
      <c r="W63" s="697"/>
      <c r="X63" s="697"/>
      <c r="Y63" s="697"/>
      <c r="Z63" s="699"/>
      <c r="AA63" s="699"/>
      <c r="AB63" s="697"/>
      <c r="AC63" s="588"/>
    </row>
    <row r="64" spans="1:29" x14ac:dyDescent="0.25">
      <c r="A64" s="700"/>
      <c r="B64" s="701"/>
      <c r="C64" s="702"/>
      <c r="D64" s="702"/>
      <c r="E64" s="703"/>
      <c r="F64" s="703"/>
      <c r="G64" s="703"/>
      <c r="H64" s="704"/>
      <c r="I64" s="705"/>
      <c r="J64" s="706"/>
      <c r="K64" s="707"/>
      <c r="L64" s="708"/>
      <c r="M64" s="705"/>
      <c r="N64" s="709"/>
      <c r="O64" s="708"/>
      <c r="P64" s="710"/>
      <c r="Q64" s="709"/>
      <c r="R64" s="711"/>
      <c r="S64" s="711"/>
      <c r="T64" s="711"/>
      <c r="U64" s="711"/>
      <c r="V64" s="712"/>
      <c r="W64" s="709"/>
      <c r="X64" s="709"/>
      <c r="Y64" s="709"/>
      <c r="Z64" s="712"/>
      <c r="AA64" s="712"/>
      <c r="AB64" s="709"/>
      <c r="AC64" s="588"/>
    </row>
    <row r="65" spans="1:29" x14ac:dyDescent="0.25">
      <c r="A65" s="700" t="s">
        <v>228</v>
      </c>
      <c r="B65" s="701" t="s">
        <v>229</v>
      </c>
      <c r="C65" s="702"/>
      <c r="D65" s="702"/>
      <c r="E65" s="702"/>
      <c r="F65" s="702"/>
      <c r="G65" s="713"/>
      <c r="H65" s="704"/>
      <c r="I65" s="705"/>
      <c r="J65" s="706"/>
      <c r="K65" s="707"/>
      <c r="L65" s="714"/>
      <c r="M65" s="703"/>
      <c r="N65" s="715"/>
      <c r="O65" s="716"/>
      <c r="P65" s="710"/>
      <c r="Q65" s="709"/>
      <c r="R65" s="711"/>
      <c r="S65" s="711"/>
      <c r="T65" s="711"/>
      <c r="U65" s="711"/>
      <c r="V65" s="712"/>
      <c r="W65" s="709"/>
      <c r="X65" s="709"/>
      <c r="Y65" s="709"/>
      <c r="Z65" s="712"/>
      <c r="AA65" s="712"/>
      <c r="AB65" s="709"/>
      <c r="AC65" s="588"/>
    </row>
    <row r="66" spans="1:29" hidden="1" x14ac:dyDescent="0.25">
      <c r="A66" s="717"/>
      <c r="B66" s="718"/>
      <c r="C66" s="719" t="s">
        <v>89</v>
      </c>
      <c r="D66" s="720" t="s">
        <v>90</v>
      </c>
      <c r="E66" s="721"/>
      <c r="F66" s="721"/>
      <c r="G66" s="722"/>
      <c r="H66" s="723"/>
      <c r="I66" s="724"/>
      <c r="J66" s="725"/>
      <c r="K66" s="725"/>
      <c r="L66" s="682"/>
      <c r="M66" s="726"/>
      <c r="N66" s="727"/>
      <c r="O66" s="728"/>
      <c r="P66" s="729"/>
      <c r="Q66" s="730"/>
      <c r="R66" s="731"/>
      <c r="S66" s="731"/>
      <c r="T66" s="731"/>
      <c r="U66" s="731"/>
      <c r="V66" s="732"/>
      <c r="W66" s="730"/>
      <c r="X66" s="733"/>
      <c r="Y66" s="730"/>
      <c r="Z66" s="670"/>
      <c r="AA66" s="732"/>
      <c r="AB66" s="734"/>
      <c r="AC66" s="588"/>
    </row>
    <row r="67" spans="1:29" hidden="1" x14ac:dyDescent="0.25">
      <c r="A67" s="717"/>
      <c r="B67" s="718"/>
      <c r="C67" s="719" t="s">
        <v>89</v>
      </c>
      <c r="D67" s="720" t="s">
        <v>91</v>
      </c>
      <c r="E67" s="721"/>
      <c r="F67" s="721"/>
      <c r="G67" s="722"/>
      <c r="H67" s="723"/>
      <c r="I67" s="724"/>
      <c r="J67" s="725"/>
      <c r="K67" s="725"/>
      <c r="L67" s="682"/>
      <c r="M67" s="726"/>
      <c r="N67" s="727"/>
      <c r="O67" s="728"/>
      <c r="P67" s="729"/>
      <c r="Q67" s="730"/>
      <c r="R67" s="731"/>
      <c r="S67" s="731"/>
      <c r="T67" s="731"/>
      <c r="U67" s="731"/>
      <c r="V67" s="732"/>
      <c r="W67" s="730"/>
      <c r="X67" s="733"/>
      <c r="Y67" s="730"/>
      <c r="Z67" s="670"/>
      <c r="AA67" s="732"/>
      <c r="AB67" s="734"/>
      <c r="AC67" s="588"/>
    </row>
    <row r="68" spans="1:29" hidden="1" x14ac:dyDescent="0.25">
      <c r="A68" s="717"/>
      <c r="B68" s="718"/>
      <c r="C68" s="735" t="s">
        <v>89</v>
      </c>
      <c r="D68" s="736" t="s">
        <v>92</v>
      </c>
      <c r="E68" s="736"/>
      <c r="F68" s="736"/>
      <c r="G68" s="737"/>
      <c r="H68" s="723"/>
      <c r="I68" s="724"/>
      <c r="J68" s="725"/>
      <c r="K68" s="725"/>
      <c r="L68" s="682"/>
      <c r="M68" s="726"/>
      <c r="N68" s="727"/>
      <c r="O68" s="728"/>
      <c r="P68" s="729"/>
      <c r="Q68" s="730"/>
      <c r="R68" s="731"/>
      <c r="S68" s="731"/>
      <c r="T68" s="731"/>
      <c r="U68" s="731"/>
      <c r="V68" s="732"/>
      <c r="W68" s="730"/>
      <c r="X68" s="733"/>
      <c r="Y68" s="730"/>
      <c r="Z68" s="670"/>
      <c r="AA68" s="732"/>
      <c r="AB68" s="734"/>
      <c r="AC68" s="588"/>
    </row>
    <row r="69" spans="1:29" x14ac:dyDescent="0.25">
      <c r="A69" s="738">
        <v>521211</v>
      </c>
      <c r="B69" s="739" t="s">
        <v>186</v>
      </c>
      <c r="C69" s="735"/>
      <c r="D69" s="740"/>
      <c r="E69" s="740"/>
      <c r="F69" s="740"/>
      <c r="G69" s="741"/>
      <c r="H69" s="723"/>
      <c r="I69" s="724"/>
      <c r="J69" s="742"/>
      <c r="K69" s="725"/>
      <c r="L69" s="682"/>
      <c r="M69" s="743"/>
      <c r="N69" s="727"/>
      <c r="O69" s="728"/>
      <c r="P69" s="729"/>
      <c r="Q69" s="730"/>
      <c r="R69" s="731"/>
      <c r="S69" s="731"/>
      <c r="T69" s="731"/>
      <c r="U69" s="731"/>
      <c r="V69" s="732"/>
      <c r="W69" s="730"/>
      <c r="X69" s="733"/>
      <c r="Y69" s="730"/>
      <c r="Z69" s="670"/>
      <c r="AA69" s="732"/>
      <c r="AB69" s="734"/>
      <c r="AC69" s="588"/>
    </row>
    <row r="70" spans="1:29" x14ac:dyDescent="0.25">
      <c r="A70" s="744"/>
      <c r="B70" s="745" t="s">
        <v>82</v>
      </c>
      <c r="C70" s="721" t="s">
        <v>87</v>
      </c>
      <c r="D70" s="746"/>
      <c r="E70" s="746"/>
      <c r="F70" s="746"/>
      <c r="G70" s="747"/>
      <c r="H70" s="704"/>
      <c r="I70" s="705"/>
      <c r="J70" s="706"/>
      <c r="K70" s="707"/>
      <c r="L70" s="748">
        <v>12</v>
      </c>
      <c r="M70" s="676" t="s">
        <v>88</v>
      </c>
      <c r="N70" s="749">
        <v>1500000</v>
      </c>
      <c r="O70" s="660">
        <f>L70*6750000</f>
        <v>81000000</v>
      </c>
      <c r="P70" s="667">
        <f t="shared" ref="P70" si="23">+O70/$O$184*100</f>
        <v>3.6173908072721166</v>
      </c>
      <c r="Q70" s="683"/>
      <c r="R70" s="669"/>
      <c r="S70" s="669"/>
      <c r="T70" s="669"/>
      <c r="U70" s="669"/>
      <c r="V70" s="670">
        <f>21394000+24000000+900000</f>
        <v>46294000</v>
      </c>
      <c r="W70" s="683">
        <f t="shared" ref="W70" si="24">+V70/O70*100</f>
        <v>57.153086419753087</v>
      </c>
      <c r="X70" s="684">
        <f>4/12*100</f>
        <v>33.333333333333329</v>
      </c>
      <c r="Y70" s="683">
        <f t="shared" ref="Y70" si="25">X70*P70/100</f>
        <v>1.2057969357573721</v>
      </c>
      <c r="Z70" s="670"/>
      <c r="AA70" s="670">
        <f t="shared" ref="AA70" si="26">+O70-V70</f>
        <v>34706000</v>
      </c>
      <c r="AB70" s="668"/>
      <c r="AC70" s="588"/>
    </row>
    <row r="71" spans="1:29" x14ac:dyDescent="0.25">
      <c r="A71" s="750">
        <v>521219</v>
      </c>
      <c r="B71" s="751" t="s">
        <v>93</v>
      </c>
      <c r="C71" s="702"/>
      <c r="D71" s="702"/>
      <c r="E71" s="702"/>
      <c r="F71" s="702"/>
      <c r="G71" s="713"/>
      <c r="H71" s="752"/>
      <c r="I71" s="753"/>
      <c r="J71" s="752"/>
      <c r="K71" s="754"/>
      <c r="L71" s="755"/>
      <c r="M71" s="756"/>
      <c r="N71" s="757"/>
      <c r="O71" s="755"/>
      <c r="P71" s="667"/>
      <c r="Q71" s="758"/>
      <c r="R71" s="759"/>
      <c r="S71" s="759"/>
      <c r="T71" s="759"/>
      <c r="U71" s="759"/>
      <c r="V71" s="760"/>
      <c r="W71" s="758"/>
      <c r="X71" s="761"/>
      <c r="Y71" s="758"/>
      <c r="Z71" s="670"/>
      <c r="AA71" s="760"/>
      <c r="AB71" s="762"/>
      <c r="AC71" s="588"/>
    </row>
    <row r="72" spans="1:29" x14ac:dyDescent="0.25">
      <c r="A72" s="715"/>
      <c r="B72" s="745" t="s">
        <v>82</v>
      </c>
      <c r="C72" s="703" t="s">
        <v>94</v>
      </c>
      <c r="D72" s="702"/>
      <c r="E72" s="703"/>
      <c r="F72" s="703"/>
      <c r="G72" s="763"/>
      <c r="H72" s="706"/>
      <c r="I72" s="705"/>
      <c r="J72" s="706"/>
      <c r="K72" s="754"/>
      <c r="L72" s="748">
        <v>12</v>
      </c>
      <c r="M72" s="676" t="s">
        <v>96</v>
      </c>
      <c r="N72" s="749">
        <v>100000</v>
      </c>
      <c r="O72" s="660">
        <f>L72*3500000</f>
        <v>42000000</v>
      </c>
      <c r="P72" s="667">
        <f t="shared" ref="P72:P74" si="27">+O72/$O$184*100</f>
        <v>1.8756841222892457</v>
      </c>
      <c r="Q72" s="683"/>
      <c r="R72" s="669"/>
      <c r="S72" s="669"/>
      <c r="T72" s="669"/>
      <c r="U72" s="669"/>
      <c r="V72" s="670">
        <f>5820000+13876000</f>
        <v>19696000</v>
      </c>
      <c r="W72" s="683">
        <f t="shared" ref="W72:W74" si="28">+V72/O72*100</f>
        <v>46.895238095238092</v>
      </c>
      <c r="X72" s="684">
        <f t="shared" ref="X72:X74" si="29">W72</f>
        <v>46.895238095238092</v>
      </c>
      <c r="Y72" s="683">
        <f t="shared" ref="Y72:Y74" si="30">X72*P72/100</f>
        <v>0.8796065350621185</v>
      </c>
      <c r="Z72" s="670"/>
      <c r="AA72" s="670">
        <f t="shared" ref="AA72:AA74" si="31">+O72-V72</f>
        <v>22304000</v>
      </c>
      <c r="AB72" s="668"/>
      <c r="AC72" s="588"/>
    </row>
    <row r="73" spans="1:29" x14ac:dyDescent="0.25">
      <c r="A73" s="715"/>
      <c r="B73" s="745" t="s">
        <v>82</v>
      </c>
      <c r="C73" s="703" t="s">
        <v>97</v>
      </c>
      <c r="D73" s="702"/>
      <c r="E73" s="703"/>
      <c r="F73" s="703"/>
      <c r="G73" s="763"/>
      <c r="H73" s="706"/>
      <c r="I73" s="705"/>
      <c r="J73" s="706"/>
      <c r="K73" s="754"/>
      <c r="L73" s="748">
        <v>12</v>
      </c>
      <c r="M73" s="676" t="s">
        <v>96</v>
      </c>
      <c r="N73" s="749"/>
      <c r="O73" s="660">
        <f>L73*600000</f>
        <v>7200000</v>
      </c>
      <c r="P73" s="667">
        <f t="shared" si="27"/>
        <v>0.32154584953529924</v>
      </c>
      <c r="Q73" s="683"/>
      <c r="R73" s="669"/>
      <c r="S73" s="669"/>
      <c r="T73" s="669"/>
      <c r="U73" s="669"/>
      <c r="V73" s="670">
        <v>0</v>
      </c>
      <c r="W73" s="683">
        <f t="shared" si="28"/>
        <v>0</v>
      </c>
      <c r="X73" s="684">
        <f t="shared" si="29"/>
        <v>0</v>
      </c>
      <c r="Y73" s="683">
        <f t="shared" si="30"/>
        <v>0</v>
      </c>
      <c r="Z73" s="670"/>
      <c r="AA73" s="670">
        <f t="shared" si="31"/>
        <v>7200000</v>
      </c>
      <c r="AB73" s="709"/>
      <c r="AC73" s="588"/>
    </row>
    <row r="74" spans="1:29" x14ac:dyDescent="0.25">
      <c r="A74" s="764"/>
      <c r="B74" s="765" t="s">
        <v>82</v>
      </c>
      <c r="C74" s="766" t="s">
        <v>230</v>
      </c>
      <c r="D74" s="766"/>
      <c r="E74" s="766"/>
      <c r="F74" s="766"/>
      <c r="G74" s="767"/>
      <c r="H74" s="768"/>
      <c r="I74" s="769"/>
      <c r="J74" s="768"/>
      <c r="K74" s="770"/>
      <c r="L74" s="771">
        <v>1</v>
      </c>
      <c r="M74" s="772" t="s">
        <v>231</v>
      </c>
      <c r="N74" s="773"/>
      <c r="O74" s="774">
        <f>L74*50000000</f>
        <v>50000000</v>
      </c>
      <c r="P74" s="775">
        <f t="shared" si="27"/>
        <v>2.2329572884395783</v>
      </c>
      <c r="Q74" s="776"/>
      <c r="R74" s="777"/>
      <c r="S74" s="777"/>
      <c r="T74" s="777"/>
      <c r="U74" s="777"/>
      <c r="V74" s="778">
        <f>5000000*4</f>
        <v>20000000</v>
      </c>
      <c r="W74" s="776">
        <f t="shared" si="28"/>
        <v>40</v>
      </c>
      <c r="X74" s="779">
        <f t="shared" si="29"/>
        <v>40</v>
      </c>
      <c r="Y74" s="776">
        <f t="shared" si="30"/>
        <v>0.89318291537583139</v>
      </c>
      <c r="Z74" s="778"/>
      <c r="AA74" s="778">
        <f t="shared" si="31"/>
        <v>30000000</v>
      </c>
      <c r="AB74" s="780"/>
      <c r="AC74" s="588"/>
    </row>
    <row r="75" spans="1:29" x14ac:dyDescent="0.25">
      <c r="A75" s="750">
        <v>523121</v>
      </c>
      <c r="B75" s="751" t="s">
        <v>98</v>
      </c>
      <c r="C75" s="702"/>
      <c r="D75" s="702"/>
      <c r="E75" s="702"/>
      <c r="F75" s="702"/>
      <c r="G75" s="713"/>
      <c r="H75" s="752"/>
      <c r="I75" s="753"/>
      <c r="J75" s="752"/>
      <c r="K75" s="754"/>
      <c r="L75" s="755"/>
      <c r="M75" s="756"/>
      <c r="N75" s="757"/>
      <c r="O75" s="755"/>
      <c r="P75" s="667"/>
      <c r="Q75" s="758"/>
      <c r="R75" s="759"/>
      <c r="S75" s="759"/>
      <c r="T75" s="759"/>
      <c r="U75" s="759"/>
      <c r="V75" s="760"/>
      <c r="W75" s="758"/>
      <c r="X75" s="761"/>
      <c r="Y75" s="758"/>
      <c r="Z75" s="670"/>
      <c r="AA75" s="760"/>
      <c r="AB75" s="762"/>
      <c r="AC75" s="588"/>
    </row>
    <row r="76" spans="1:29" x14ac:dyDescent="0.25">
      <c r="A76" s="715"/>
      <c r="B76" s="745" t="s">
        <v>82</v>
      </c>
      <c r="C76" s="703" t="s">
        <v>99</v>
      </c>
      <c r="D76" s="702"/>
      <c r="E76" s="703"/>
      <c r="F76" s="703"/>
      <c r="G76" s="763"/>
      <c r="H76" s="706"/>
      <c r="I76" s="705"/>
      <c r="J76" s="706"/>
      <c r="K76" s="754"/>
      <c r="L76" s="748">
        <v>1</v>
      </c>
      <c r="M76" s="676" t="s">
        <v>86</v>
      </c>
      <c r="N76" s="749">
        <v>100000</v>
      </c>
      <c r="O76" s="660">
        <f>L76*600000</f>
        <v>600000</v>
      </c>
      <c r="P76" s="667">
        <f t="shared" ref="P76" si="32">+O76/$O$184*100</f>
        <v>2.6795487461274942E-2</v>
      </c>
      <c r="Q76" s="683"/>
      <c r="R76" s="669"/>
      <c r="S76" s="669"/>
      <c r="T76" s="669"/>
      <c r="U76" s="669"/>
      <c r="V76" s="670">
        <v>0</v>
      </c>
      <c r="W76" s="683">
        <f t="shared" ref="W76" si="33">+V76/O76*100</f>
        <v>0</v>
      </c>
      <c r="X76" s="684">
        <f t="shared" ref="X76" si="34">W76</f>
        <v>0</v>
      </c>
      <c r="Y76" s="683">
        <f t="shared" ref="Y76" si="35">X76*P76/100</f>
        <v>0</v>
      </c>
      <c r="Z76" s="670"/>
      <c r="AA76" s="670">
        <f t="shared" ref="AA76" si="36">+O76-V76</f>
        <v>600000</v>
      </c>
      <c r="AB76" s="668"/>
      <c r="AC76" s="588"/>
    </row>
    <row r="77" spans="1:29" x14ac:dyDescent="0.25">
      <c r="A77" s="700" t="s">
        <v>232</v>
      </c>
      <c r="B77" s="701" t="s">
        <v>233</v>
      </c>
      <c r="C77" s="702"/>
      <c r="D77" s="702"/>
      <c r="E77" s="703"/>
      <c r="F77" s="703"/>
      <c r="G77" s="763"/>
      <c r="H77" s="704"/>
      <c r="I77" s="705"/>
      <c r="J77" s="706"/>
      <c r="K77" s="707"/>
      <c r="L77" s="781"/>
      <c r="M77" s="782"/>
      <c r="N77" s="783"/>
      <c r="O77" s="784"/>
      <c r="P77" s="667"/>
      <c r="Q77" s="683"/>
      <c r="R77" s="785"/>
      <c r="S77" s="785"/>
      <c r="T77" s="785"/>
      <c r="U77" s="785"/>
      <c r="V77" s="670"/>
      <c r="W77" s="683"/>
      <c r="X77" s="684"/>
      <c r="Y77" s="786"/>
      <c r="Z77" s="670"/>
      <c r="AA77" s="670"/>
      <c r="AB77" s="709"/>
      <c r="AC77" s="588"/>
    </row>
    <row r="78" spans="1:29" x14ac:dyDescent="0.25">
      <c r="A78" s="787">
        <v>521119</v>
      </c>
      <c r="B78" s="751" t="s">
        <v>100</v>
      </c>
      <c r="C78" s="702"/>
      <c r="D78" s="702"/>
      <c r="E78" s="702"/>
      <c r="F78" s="702"/>
      <c r="G78" s="713"/>
      <c r="H78" s="788"/>
      <c r="I78" s="753"/>
      <c r="J78" s="752"/>
      <c r="K78" s="789"/>
      <c r="L78" s="790"/>
      <c r="M78" s="702"/>
      <c r="N78" s="791"/>
      <c r="O78" s="788"/>
      <c r="P78" s="710"/>
      <c r="Q78" s="792"/>
      <c r="R78" s="793"/>
      <c r="S78" s="793"/>
      <c r="T78" s="793"/>
      <c r="U78" s="793"/>
      <c r="V78" s="794"/>
      <c r="W78" s="792"/>
      <c r="X78" s="761"/>
      <c r="Y78" s="795"/>
      <c r="Z78" s="794"/>
      <c r="AA78" s="794"/>
      <c r="AB78" s="762"/>
      <c r="AC78" s="588"/>
    </row>
    <row r="79" spans="1:29" x14ac:dyDescent="0.25">
      <c r="A79" s="709"/>
      <c r="B79" s="796" t="s">
        <v>82</v>
      </c>
      <c r="C79" s="703" t="s">
        <v>101</v>
      </c>
      <c r="D79" s="702"/>
      <c r="E79" s="703"/>
      <c r="F79" s="703"/>
      <c r="G79" s="763"/>
      <c r="H79" s="704"/>
      <c r="I79" s="705"/>
      <c r="J79" s="706"/>
      <c r="K79" s="707"/>
      <c r="L79" s="797">
        <v>12</v>
      </c>
      <c r="M79" s="721" t="s">
        <v>96</v>
      </c>
      <c r="N79" s="798">
        <v>125000</v>
      </c>
      <c r="O79" s="723">
        <f>L79*600000</f>
        <v>7200000</v>
      </c>
      <c r="P79" s="667">
        <f t="shared" ref="P79" si="37">+O79/$O$184*100</f>
        <v>0.32154584953529924</v>
      </c>
      <c r="Q79" s="683"/>
      <c r="R79" s="669"/>
      <c r="S79" s="669"/>
      <c r="T79" s="669"/>
      <c r="U79" s="669"/>
      <c r="V79" s="670">
        <v>0</v>
      </c>
      <c r="W79" s="683">
        <f t="shared" ref="W79" si="38">+V79/O79*100</f>
        <v>0</v>
      </c>
      <c r="X79" s="684">
        <f t="shared" ref="X79" si="39">W79</f>
        <v>0</v>
      </c>
      <c r="Y79" s="683">
        <f t="shared" ref="Y79" si="40">X79*P79/100</f>
        <v>0</v>
      </c>
      <c r="Z79" s="670"/>
      <c r="AA79" s="670">
        <f t="shared" ref="AA79" si="41">+O79-V79</f>
        <v>7200000</v>
      </c>
      <c r="AB79" s="668"/>
      <c r="AC79" s="588"/>
    </row>
    <row r="80" spans="1:29" x14ac:dyDescent="0.25">
      <c r="A80" s="700" t="s">
        <v>184</v>
      </c>
      <c r="B80" s="701" t="s">
        <v>234</v>
      </c>
      <c r="C80" s="702"/>
      <c r="D80" s="702"/>
      <c r="E80" s="703"/>
      <c r="F80" s="703"/>
      <c r="G80" s="763"/>
      <c r="H80" s="704"/>
      <c r="I80" s="705"/>
      <c r="J80" s="706"/>
      <c r="K80" s="707"/>
      <c r="L80" s="714"/>
      <c r="M80" s="703"/>
      <c r="N80" s="715"/>
      <c r="O80" s="716"/>
      <c r="P80" s="710"/>
      <c r="Q80" s="799"/>
      <c r="R80" s="800"/>
      <c r="S80" s="800"/>
      <c r="T80" s="800"/>
      <c r="U80" s="800"/>
      <c r="V80" s="712"/>
      <c r="W80" s="799"/>
      <c r="X80" s="684"/>
      <c r="Y80" s="801"/>
      <c r="Z80" s="712"/>
      <c r="AA80" s="712"/>
      <c r="AB80" s="709"/>
      <c r="AC80" s="588"/>
    </row>
    <row r="81" spans="1:29" x14ac:dyDescent="0.25">
      <c r="A81" s="802">
        <v>523119</v>
      </c>
      <c r="B81" s="751" t="s">
        <v>103</v>
      </c>
      <c r="C81" s="702"/>
      <c r="D81" s="702"/>
      <c r="E81" s="703"/>
      <c r="F81" s="703"/>
      <c r="G81" s="763"/>
      <c r="H81" s="704"/>
      <c r="I81" s="705"/>
      <c r="J81" s="706"/>
      <c r="K81" s="707"/>
      <c r="L81" s="703"/>
      <c r="M81" s="703"/>
      <c r="N81" s="715"/>
      <c r="O81" s="788"/>
      <c r="P81" s="710"/>
      <c r="Q81" s="799"/>
      <c r="R81" s="800"/>
      <c r="S81" s="800"/>
      <c r="T81" s="800"/>
      <c r="U81" s="800"/>
      <c r="V81" s="712"/>
      <c r="W81" s="799"/>
      <c r="X81" s="684"/>
      <c r="Y81" s="801"/>
      <c r="Z81" s="712"/>
      <c r="AA81" s="712"/>
      <c r="AB81" s="709"/>
      <c r="AC81" s="588"/>
    </row>
    <row r="82" spans="1:29" x14ac:dyDescent="0.25">
      <c r="A82" s="700"/>
      <c r="B82" s="796" t="s">
        <v>82</v>
      </c>
      <c r="C82" s="703" t="s">
        <v>104</v>
      </c>
      <c r="D82" s="702"/>
      <c r="E82" s="703"/>
      <c r="F82" s="703"/>
      <c r="G82" s="763"/>
      <c r="H82" s="704"/>
      <c r="I82" s="705"/>
      <c r="J82" s="706"/>
      <c r="K82" s="707"/>
      <c r="L82" s="714">
        <v>70</v>
      </c>
      <c r="M82" s="703" t="s">
        <v>105</v>
      </c>
      <c r="N82" s="803">
        <v>10000</v>
      </c>
      <c r="O82" s="723">
        <f>L82*15000</f>
        <v>1050000</v>
      </c>
      <c r="P82" s="667">
        <f t="shared" ref="P82" si="42">+O82/$O$184*100</f>
        <v>4.6892103057231141E-2</v>
      </c>
      <c r="Q82" s="683"/>
      <c r="R82" s="669"/>
      <c r="S82" s="669"/>
      <c r="T82" s="669"/>
      <c r="U82" s="669"/>
      <c r="V82" s="670">
        <v>0</v>
      </c>
      <c r="W82" s="683">
        <f t="shared" ref="W82" si="43">+V82/O82*100</f>
        <v>0</v>
      </c>
      <c r="X82" s="684">
        <f t="shared" ref="X82" si="44">W82</f>
        <v>0</v>
      </c>
      <c r="Y82" s="683">
        <f t="shared" ref="Y82" si="45">X82*P82/100</f>
        <v>0</v>
      </c>
      <c r="Z82" s="670"/>
      <c r="AA82" s="670">
        <f t="shared" ref="AA82" si="46">+O82-V82</f>
        <v>1050000</v>
      </c>
      <c r="AB82" s="668"/>
      <c r="AC82" s="588"/>
    </row>
    <row r="83" spans="1:29" x14ac:dyDescent="0.25">
      <c r="A83" s="802">
        <v>523121</v>
      </c>
      <c r="B83" s="751" t="s">
        <v>106</v>
      </c>
      <c r="C83" s="702"/>
      <c r="D83" s="702"/>
      <c r="E83" s="703"/>
      <c r="F83" s="703"/>
      <c r="G83" s="763"/>
      <c r="H83" s="704"/>
      <c r="I83" s="705"/>
      <c r="J83" s="706"/>
      <c r="K83" s="707"/>
      <c r="L83" s="797"/>
      <c r="M83" s="721"/>
      <c r="N83" s="798"/>
      <c r="O83" s="804"/>
      <c r="P83" s="710"/>
      <c r="Q83" s="799"/>
      <c r="R83" s="800"/>
      <c r="S83" s="800"/>
      <c r="T83" s="800"/>
      <c r="U83" s="800"/>
      <c r="V83" s="712"/>
      <c r="W83" s="799"/>
      <c r="X83" s="684"/>
      <c r="Y83" s="801"/>
      <c r="Z83" s="712"/>
      <c r="AA83" s="712"/>
      <c r="AB83" s="709"/>
      <c r="AC83" s="588"/>
    </row>
    <row r="84" spans="1:29" x14ac:dyDescent="0.25">
      <c r="A84" s="700"/>
      <c r="B84" s="796" t="s">
        <v>82</v>
      </c>
      <c r="C84" s="703" t="s">
        <v>107</v>
      </c>
      <c r="D84" s="702"/>
      <c r="E84" s="703"/>
      <c r="F84" s="703"/>
      <c r="G84" s="763"/>
      <c r="H84" s="704"/>
      <c r="I84" s="705"/>
      <c r="J84" s="706"/>
      <c r="K84" s="707"/>
      <c r="L84" s="797">
        <v>12</v>
      </c>
      <c r="M84" s="703" t="s">
        <v>88</v>
      </c>
      <c r="N84" s="798">
        <v>600000</v>
      </c>
      <c r="O84" s="723">
        <f>L84*1500000</f>
        <v>18000000</v>
      </c>
      <c r="P84" s="667">
        <f t="shared" ref="P84:P85" si="47">+O84/$O$184*100</f>
        <v>0.80386462383824819</v>
      </c>
      <c r="Q84" s="683"/>
      <c r="R84" s="669"/>
      <c r="S84" s="669"/>
      <c r="T84" s="669"/>
      <c r="U84" s="669"/>
      <c r="V84" s="670">
        <v>0</v>
      </c>
      <c r="W84" s="683">
        <f t="shared" ref="W84:W85" si="48">+V84/O84*100</f>
        <v>0</v>
      </c>
      <c r="X84" s="684">
        <f t="shared" ref="X84:X85" si="49">W84</f>
        <v>0</v>
      </c>
      <c r="Y84" s="683">
        <f t="shared" ref="Y84:Y85" si="50">X84*P84/100</f>
        <v>0</v>
      </c>
      <c r="Z84" s="670"/>
      <c r="AA84" s="670">
        <f t="shared" ref="AA84:AA85" si="51">+O84-V84</f>
        <v>18000000</v>
      </c>
      <c r="AB84" s="668"/>
      <c r="AC84" s="588"/>
    </row>
    <row r="85" spans="1:29" x14ac:dyDescent="0.25">
      <c r="A85" s="700"/>
      <c r="B85" s="796" t="s">
        <v>82</v>
      </c>
      <c r="C85" s="703" t="s">
        <v>108</v>
      </c>
      <c r="D85" s="702"/>
      <c r="E85" s="703"/>
      <c r="F85" s="703"/>
      <c r="G85" s="763"/>
      <c r="H85" s="704"/>
      <c r="I85" s="705"/>
      <c r="J85" s="706"/>
      <c r="K85" s="707"/>
      <c r="L85" s="797">
        <v>12</v>
      </c>
      <c r="M85" s="703" t="s">
        <v>88</v>
      </c>
      <c r="N85" s="798">
        <v>1000000</v>
      </c>
      <c r="O85" s="723">
        <f>L85*500000</f>
        <v>6000000</v>
      </c>
      <c r="P85" s="667">
        <f t="shared" si="47"/>
        <v>0.26795487461274942</v>
      </c>
      <c r="Q85" s="683"/>
      <c r="R85" s="669"/>
      <c r="S85" s="669"/>
      <c r="T85" s="669"/>
      <c r="U85" s="669"/>
      <c r="V85" s="670">
        <v>0</v>
      </c>
      <c r="W85" s="683">
        <f t="shared" si="48"/>
        <v>0</v>
      </c>
      <c r="X85" s="684">
        <f t="shared" si="49"/>
        <v>0</v>
      </c>
      <c r="Y85" s="683">
        <f t="shared" si="50"/>
        <v>0</v>
      </c>
      <c r="Z85" s="670"/>
      <c r="AA85" s="670">
        <f t="shared" si="51"/>
        <v>6000000</v>
      </c>
      <c r="AB85" s="709"/>
      <c r="AC85" s="588"/>
    </row>
    <row r="86" spans="1:29" x14ac:dyDescent="0.25">
      <c r="A86" s="805">
        <v>532111</v>
      </c>
      <c r="B86" s="806" t="s">
        <v>170</v>
      </c>
      <c r="C86" s="807"/>
      <c r="D86" s="808"/>
      <c r="E86" s="809"/>
      <c r="F86" s="809"/>
      <c r="G86" s="810"/>
      <c r="H86" s="811"/>
      <c r="I86" s="812"/>
      <c r="J86" s="813"/>
      <c r="K86" s="814"/>
      <c r="L86" s="815"/>
      <c r="M86" s="809"/>
      <c r="N86" s="816"/>
      <c r="O86" s="817"/>
      <c r="P86" s="818"/>
      <c r="Q86" s="819"/>
      <c r="R86" s="820"/>
      <c r="S86" s="820"/>
      <c r="T86" s="820"/>
      <c r="U86" s="820"/>
      <c r="V86" s="821"/>
      <c r="W86" s="819"/>
      <c r="X86" s="822"/>
      <c r="Y86" s="823"/>
      <c r="Z86" s="821"/>
      <c r="AA86" s="821"/>
      <c r="AB86" s="824"/>
      <c r="AC86" s="588"/>
    </row>
    <row r="87" spans="1:29" x14ac:dyDescent="0.25">
      <c r="A87" s="805"/>
      <c r="B87" s="825" t="s">
        <v>82</v>
      </c>
      <c r="C87" s="807" t="s">
        <v>235</v>
      </c>
      <c r="D87" s="808"/>
      <c r="E87" s="809"/>
      <c r="F87" s="809"/>
      <c r="G87" s="810"/>
      <c r="H87" s="811"/>
      <c r="I87" s="812"/>
      <c r="J87" s="813"/>
      <c r="K87" s="814"/>
      <c r="L87" s="815">
        <v>1</v>
      </c>
      <c r="M87" s="809" t="s">
        <v>127</v>
      </c>
      <c r="N87" s="816"/>
      <c r="O87" s="817">
        <f>L87*12000000</f>
        <v>12000000</v>
      </c>
      <c r="P87" s="818">
        <f t="shared" ref="P87:P91" si="52">+O87/$O$184*100</f>
        <v>0.53590974922549883</v>
      </c>
      <c r="Q87" s="819"/>
      <c r="R87" s="826"/>
      <c r="S87" s="826"/>
      <c r="T87" s="826"/>
      <c r="U87" s="826"/>
      <c r="V87" s="821">
        <v>0</v>
      </c>
      <c r="W87" s="819">
        <f t="shared" ref="W87:W91" si="53">+V87/O87*100</f>
        <v>0</v>
      </c>
      <c r="X87" s="822">
        <f t="shared" ref="X87:X91" si="54">W87</f>
        <v>0</v>
      </c>
      <c r="Y87" s="819">
        <f t="shared" ref="Y87:Y91" si="55">X87*P87/100</f>
        <v>0</v>
      </c>
      <c r="Z87" s="821"/>
      <c r="AA87" s="821">
        <f t="shared" ref="AA87:AA91" si="56">+O87-V87</f>
        <v>12000000</v>
      </c>
      <c r="AB87" s="824"/>
      <c r="AC87" s="588"/>
    </row>
    <row r="88" spans="1:29" x14ac:dyDescent="0.25">
      <c r="A88" s="805"/>
      <c r="B88" s="825" t="s">
        <v>82</v>
      </c>
      <c r="C88" s="807" t="s">
        <v>236</v>
      </c>
      <c r="D88" s="808"/>
      <c r="E88" s="809"/>
      <c r="F88" s="809"/>
      <c r="G88" s="810"/>
      <c r="H88" s="811"/>
      <c r="I88" s="812"/>
      <c r="J88" s="813"/>
      <c r="K88" s="814"/>
      <c r="L88" s="815">
        <v>1</v>
      </c>
      <c r="M88" s="809" t="s">
        <v>127</v>
      </c>
      <c r="N88" s="816"/>
      <c r="O88" s="817">
        <f>L88*3300000</f>
        <v>3300000</v>
      </c>
      <c r="P88" s="818">
        <f t="shared" si="52"/>
        <v>0.14737518103701217</v>
      </c>
      <c r="Q88" s="819"/>
      <c r="R88" s="826"/>
      <c r="S88" s="826"/>
      <c r="T88" s="826"/>
      <c r="U88" s="826"/>
      <c r="V88" s="821">
        <v>0</v>
      </c>
      <c r="W88" s="819">
        <f t="shared" si="53"/>
        <v>0</v>
      </c>
      <c r="X88" s="822">
        <f t="shared" si="54"/>
        <v>0</v>
      </c>
      <c r="Y88" s="819">
        <f t="shared" si="55"/>
        <v>0</v>
      </c>
      <c r="Z88" s="821"/>
      <c r="AA88" s="821">
        <f t="shared" si="56"/>
        <v>3300000</v>
      </c>
      <c r="AB88" s="824"/>
      <c r="AC88" s="588"/>
    </row>
    <row r="89" spans="1:29" x14ac:dyDescent="0.25">
      <c r="A89" s="805"/>
      <c r="B89" s="825" t="s">
        <v>82</v>
      </c>
      <c r="C89" s="807" t="s">
        <v>237</v>
      </c>
      <c r="D89" s="808"/>
      <c r="E89" s="809"/>
      <c r="F89" s="809"/>
      <c r="G89" s="810"/>
      <c r="H89" s="811"/>
      <c r="I89" s="812"/>
      <c r="J89" s="813"/>
      <c r="K89" s="814"/>
      <c r="L89" s="815">
        <v>1</v>
      </c>
      <c r="M89" s="809" t="s">
        <v>127</v>
      </c>
      <c r="N89" s="816"/>
      <c r="O89" s="817">
        <f>L89*8700000</f>
        <v>8700000</v>
      </c>
      <c r="P89" s="818">
        <f t="shared" si="52"/>
        <v>0.38853456818848658</v>
      </c>
      <c r="Q89" s="819"/>
      <c r="R89" s="826"/>
      <c r="S89" s="826"/>
      <c r="T89" s="826"/>
      <c r="U89" s="826"/>
      <c r="V89" s="821">
        <v>0</v>
      </c>
      <c r="W89" s="819">
        <f t="shared" si="53"/>
        <v>0</v>
      </c>
      <c r="X89" s="822">
        <f t="shared" si="54"/>
        <v>0</v>
      </c>
      <c r="Y89" s="819">
        <f t="shared" si="55"/>
        <v>0</v>
      </c>
      <c r="Z89" s="821"/>
      <c r="AA89" s="821">
        <f t="shared" si="56"/>
        <v>8700000</v>
      </c>
      <c r="AB89" s="824"/>
      <c r="AC89" s="588"/>
    </row>
    <row r="90" spans="1:29" x14ac:dyDescent="0.25">
      <c r="A90" s="805"/>
      <c r="B90" s="825" t="s">
        <v>82</v>
      </c>
      <c r="C90" s="807" t="s">
        <v>238</v>
      </c>
      <c r="D90" s="808"/>
      <c r="E90" s="809"/>
      <c r="F90" s="809"/>
      <c r="G90" s="810"/>
      <c r="H90" s="811"/>
      <c r="I90" s="812"/>
      <c r="J90" s="813"/>
      <c r="K90" s="814"/>
      <c r="L90" s="815">
        <v>10</v>
      </c>
      <c r="M90" s="809" t="s">
        <v>127</v>
      </c>
      <c r="N90" s="816"/>
      <c r="O90" s="817">
        <f>L90*600000</f>
        <v>6000000</v>
      </c>
      <c r="P90" s="818">
        <f t="shared" si="52"/>
        <v>0.26795487461274942</v>
      </c>
      <c r="Q90" s="819"/>
      <c r="R90" s="826"/>
      <c r="S90" s="826"/>
      <c r="T90" s="826"/>
      <c r="U90" s="826"/>
      <c r="V90" s="821">
        <v>0</v>
      </c>
      <c r="W90" s="819">
        <f t="shared" si="53"/>
        <v>0</v>
      </c>
      <c r="X90" s="822">
        <f t="shared" si="54"/>
        <v>0</v>
      </c>
      <c r="Y90" s="819">
        <f t="shared" si="55"/>
        <v>0</v>
      </c>
      <c r="Z90" s="821"/>
      <c r="AA90" s="821">
        <f t="shared" si="56"/>
        <v>6000000</v>
      </c>
      <c r="AB90" s="824"/>
      <c r="AC90" s="588"/>
    </row>
    <row r="91" spans="1:29" x14ac:dyDescent="0.25">
      <c r="A91" s="805"/>
      <c r="B91" s="825" t="s">
        <v>82</v>
      </c>
      <c r="C91" s="807" t="s">
        <v>239</v>
      </c>
      <c r="D91" s="808"/>
      <c r="E91" s="809"/>
      <c r="F91" s="809"/>
      <c r="G91" s="810"/>
      <c r="H91" s="811"/>
      <c r="I91" s="812"/>
      <c r="J91" s="813"/>
      <c r="K91" s="814"/>
      <c r="L91" s="815">
        <v>1</v>
      </c>
      <c r="M91" s="809" t="s">
        <v>127</v>
      </c>
      <c r="N91" s="816"/>
      <c r="O91" s="817">
        <f>L91*2000000</f>
        <v>2000000</v>
      </c>
      <c r="P91" s="818">
        <f t="shared" si="52"/>
        <v>8.9318291537583125E-2</v>
      </c>
      <c r="Q91" s="819"/>
      <c r="R91" s="826"/>
      <c r="S91" s="826"/>
      <c r="T91" s="826"/>
      <c r="U91" s="826"/>
      <c r="V91" s="821">
        <v>0</v>
      </c>
      <c r="W91" s="819">
        <f t="shared" si="53"/>
        <v>0</v>
      </c>
      <c r="X91" s="822">
        <f t="shared" si="54"/>
        <v>0</v>
      </c>
      <c r="Y91" s="819">
        <f t="shared" si="55"/>
        <v>0</v>
      </c>
      <c r="Z91" s="821"/>
      <c r="AA91" s="821">
        <f t="shared" si="56"/>
        <v>2000000</v>
      </c>
      <c r="AB91" s="824"/>
      <c r="AC91" s="588"/>
    </row>
    <row r="92" spans="1:29" x14ac:dyDescent="0.25">
      <c r="A92" s="700"/>
      <c r="B92" s="796"/>
      <c r="C92" s="703"/>
      <c r="D92" s="702"/>
      <c r="E92" s="703"/>
      <c r="F92" s="703"/>
      <c r="G92" s="763"/>
      <c r="H92" s="704"/>
      <c r="I92" s="705"/>
      <c r="J92" s="706"/>
      <c r="K92" s="707"/>
      <c r="L92" s="797"/>
      <c r="M92" s="703"/>
      <c r="N92" s="798"/>
      <c r="O92" s="723"/>
      <c r="P92" s="710"/>
      <c r="Q92" s="799"/>
      <c r="R92" s="827"/>
      <c r="S92" s="827"/>
      <c r="T92" s="827"/>
      <c r="U92" s="827"/>
      <c r="V92" s="712"/>
      <c r="W92" s="799"/>
      <c r="X92" s="828"/>
      <c r="Y92" s="801"/>
      <c r="Z92" s="712"/>
      <c r="AA92" s="712"/>
      <c r="AB92" s="709"/>
      <c r="AC92" s="588"/>
    </row>
    <row r="93" spans="1:29" x14ac:dyDescent="0.25">
      <c r="A93" s="829" t="s">
        <v>240</v>
      </c>
      <c r="B93" s="830" t="s">
        <v>109</v>
      </c>
      <c r="C93" s="831"/>
      <c r="D93" s="831"/>
      <c r="E93" s="782"/>
      <c r="F93" s="782"/>
      <c r="G93" s="832"/>
      <c r="H93" s="660"/>
      <c r="I93" s="661"/>
      <c r="J93" s="662"/>
      <c r="K93" s="663"/>
      <c r="L93" s="781"/>
      <c r="M93" s="782"/>
      <c r="N93" s="783"/>
      <c r="O93" s="755"/>
      <c r="P93" s="667"/>
      <c r="Q93" s="683"/>
      <c r="R93" s="785"/>
      <c r="S93" s="785"/>
      <c r="T93" s="785"/>
      <c r="U93" s="785"/>
      <c r="V93" s="670"/>
      <c r="W93" s="683"/>
      <c r="X93" s="684"/>
      <c r="Y93" s="786">
        <f t="shared" ref="Y93:Y112" si="57">X93*P93/100</f>
        <v>0</v>
      </c>
      <c r="Z93" s="670"/>
      <c r="AA93" s="670"/>
      <c r="AB93" s="668"/>
      <c r="AC93" s="588"/>
    </row>
    <row r="94" spans="1:29" x14ac:dyDescent="0.25">
      <c r="A94" s="700"/>
      <c r="B94" s="701"/>
      <c r="C94" s="702"/>
      <c r="D94" s="702"/>
      <c r="E94" s="703"/>
      <c r="F94" s="703"/>
      <c r="G94" s="763"/>
      <c r="H94" s="704"/>
      <c r="I94" s="705"/>
      <c r="J94" s="706"/>
      <c r="K94" s="707"/>
      <c r="L94" s="714"/>
      <c r="M94" s="703"/>
      <c r="N94" s="715"/>
      <c r="O94" s="708"/>
      <c r="P94" s="710"/>
      <c r="Q94" s="799"/>
      <c r="R94" s="800"/>
      <c r="S94" s="800"/>
      <c r="T94" s="800"/>
      <c r="U94" s="800"/>
      <c r="V94" s="712"/>
      <c r="W94" s="799"/>
      <c r="X94" s="828"/>
      <c r="Y94" s="801">
        <f t="shared" si="57"/>
        <v>0</v>
      </c>
      <c r="Z94" s="712"/>
      <c r="AA94" s="712"/>
      <c r="AB94" s="709"/>
      <c r="AC94" s="588"/>
    </row>
    <row r="95" spans="1:29" x14ac:dyDescent="0.25">
      <c r="A95" s="700" t="s">
        <v>110</v>
      </c>
      <c r="B95" s="701" t="s">
        <v>241</v>
      </c>
      <c r="C95" s="702"/>
      <c r="D95" s="702"/>
      <c r="E95" s="703"/>
      <c r="F95" s="703"/>
      <c r="G95" s="763"/>
      <c r="H95" s="704"/>
      <c r="I95" s="705"/>
      <c r="J95" s="706"/>
      <c r="K95" s="707"/>
      <c r="L95" s="714"/>
      <c r="M95" s="703"/>
      <c r="N95" s="715"/>
      <c r="O95" s="833"/>
      <c r="P95" s="710"/>
      <c r="Q95" s="799"/>
      <c r="R95" s="827"/>
      <c r="S95" s="827"/>
      <c r="T95" s="827"/>
      <c r="U95" s="827"/>
      <c r="V95" s="712"/>
      <c r="W95" s="799"/>
      <c r="X95" s="828"/>
      <c r="Y95" s="801"/>
      <c r="Z95" s="670"/>
      <c r="AA95" s="712"/>
      <c r="AB95" s="709"/>
      <c r="AC95" s="588"/>
    </row>
    <row r="96" spans="1:29" x14ac:dyDescent="0.25">
      <c r="A96" s="802">
        <v>511111</v>
      </c>
      <c r="B96" s="751" t="s">
        <v>242</v>
      </c>
      <c r="C96" s="834"/>
      <c r="D96" s="702"/>
      <c r="E96" s="703"/>
      <c r="F96" s="703"/>
      <c r="G96" s="703"/>
      <c r="H96" s="704"/>
      <c r="I96" s="705"/>
      <c r="J96" s="706"/>
      <c r="K96" s="707"/>
      <c r="L96" s="714">
        <v>1</v>
      </c>
      <c r="M96" s="703" t="s">
        <v>111</v>
      </c>
      <c r="N96" s="715"/>
      <c r="O96" s="833">
        <f>L96*806705000</f>
        <v>806705000</v>
      </c>
      <c r="P96" s="667">
        <f t="shared" ref="P96:P106" si="58">+O96/$O$184*100</f>
        <v>36.026756187413</v>
      </c>
      <c r="Q96" s="683"/>
      <c r="R96" s="669"/>
      <c r="S96" s="669"/>
      <c r="T96" s="669"/>
      <c r="U96" s="669"/>
      <c r="V96" s="670">
        <v>560821520</v>
      </c>
      <c r="W96" s="683">
        <f t="shared" ref="W96:W106" si="59">+V96/O96*100</f>
        <v>69.520025288054484</v>
      </c>
      <c r="X96" s="684">
        <f>4/14*100</f>
        <v>28.571428571428569</v>
      </c>
      <c r="Y96" s="683">
        <f t="shared" ref="Y96:Y106" si="60">X96*P96/100</f>
        <v>10.293358910689427</v>
      </c>
      <c r="Z96" s="670"/>
      <c r="AA96" s="670">
        <f t="shared" ref="AA96:AA106" si="61">+O96-V96</f>
        <v>245883480</v>
      </c>
      <c r="AB96" s="668"/>
      <c r="AC96" s="588"/>
    </row>
    <row r="97" spans="1:29" x14ac:dyDescent="0.25">
      <c r="A97" s="802">
        <v>511121</v>
      </c>
      <c r="B97" s="751" t="s">
        <v>243</v>
      </c>
      <c r="C97" s="834"/>
      <c r="D97" s="702"/>
      <c r="E97" s="703"/>
      <c r="F97" s="703"/>
      <c r="G97" s="703"/>
      <c r="H97" s="704"/>
      <c r="I97" s="705"/>
      <c r="J97" s="706"/>
      <c r="K97" s="707"/>
      <c r="L97" s="714">
        <v>1</v>
      </c>
      <c r="M97" s="703" t="s">
        <v>111</v>
      </c>
      <c r="N97" s="715"/>
      <c r="O97" s="704">
        <f>L97*47273000</f>
        <v>47273000</v>
      </c>
      <c r="P97" s="667">
        <f t="shared" si="58"/>
        <v>2.1111717979280837</v>
      </c>
      <c r="Q97" s="683"/>
      <c r="R97" s="669"/>
      <c r="S97" s="669"/>
      <c r="T97" s="669"/>
      <c r="U97" s="669"/>
      <c r="V97" s="670">
        <v>32425130</v>
      </c>
      <c r="W97" s="683">
        <f t="shared" si="59"/>
        <v>68.591225435237874</v>
      </c>
      <c r="X97" s="684">
        <f>4/14*W97</f>
        <v>19.597492981496533</v>
      </c>
      <c r="Y97" s="683">
        <f t="shared" si="60"/>
        <v>0.41373674492629037</v>
      </c>
      <c r="Z97" s="670"/>
      <c r="AA97" s="670">
        <f t="shared" si="61"/>
        <v>14847870</v>
      </c>
      <c r="AB97" s="709"/>
      <c r="AC97" s="588"/>
    </row>
    <row r="98" spans="1:29" x14ac:dyDescent="0.25">
      <c r="A98" s="802">
        <v>511122</v>
      </c>
      <c r="B98" s="751" t="s">
        <v>244</v>
      </c>
      <c r="C98" s="834"/>
      <c r="D98" s="702"/>
      <c r="E98" s="703"/>
      <c r="F98" s="703"/>
      <c r="G98" s="703"/>
      <c r="H98" s="704"/>
      <c r="I98" s="705"/>
      <c r="J98" s="706"/>
      <c r="K98" s="707"/>
      <c r="L98" s="714">
        <v>1</v>
      </c>
      <c r="M98" s="703" t="s">
        <v>111</v>
      </c>
      <c r="N98" s="715"/>
      <c r="O98" s="704">
        <f>L98*16142000</f>
        <v>16142000</v>
      </c>
      <c r="P98" s="667">
        <f t="shared" si="58"/>
        <v>0.72088793099983339</v>
      </c>
      <c r="Q98" s="683"/>
      <c r="R98" s="669"/>
      <c r="S98" s="669"/>
      <c r="T98" s="669"/>
      <c r="U98" s="669"/>
      <c r="V98" s="670">
        <v>10257544</v>
      </c>
      <c r="W98" s="683">
        <f t="shared" si="59"/>
        <v>63.545682071614415</v>
      </c>
      <c r="X98" s="684">
        <f>4/14*W98</f>
        <v>18.155909163318402</v>
      </c>
      <c r="Y98" s="683">
        <f t="shared" si="60"/>
        <v>0.13088375792165519</v>
      </c>
      <c r="Z98" s="670"/>
      <c r="AA98" s="670">
        <f t="shared" si="61"/>
        <v>5884456</v>
      </c>
      <c r="AB98" s="709"/>
      <c r="AC98" s="588"/>
    </row>
    <row r="99" spans="1:29" x14ac:dyDescent="0.25">
      <c r="A99" s="802">
        <v>511123</v>
      </c>
      <c r="B99" s="751" t="s">
        <v>245</v>
      </c>
      <c r="C99" s="834"/>
      <c r="D99" s="702"/>
      <c r="E99" s="703"/>
      <c r="F99" s="703"/>
      <c r="G99" s="703"/>
      <c r="H99" s="704"/>
      <c r="I99" s="705"/>
      <c r="J99" s="706"/>
      <c r="K99" s="707"/>
      <c r="L99" s="714">
        <v>1</v>
      </c>
      <c r="M99" s="703" t="s">
        <v>111</v>
      </c>
      <c r="N99" s="715"/>
      <c r="O99" s="704">
        <f>L99*27440000</f>
        <v>27440000</v>
      </c>
      <c r="P99" s="667">
        <f t="shared" si="58"/>
        <v>1.2254469598956406</v>
      </c>
      <c r="Q99" s="683"/>
      <c r="R99" s="669"/>
      <c r="S99" s="669"/>
      <c r="T99" s="669"/>
      <c r="U99" s="669"/>
      <c r="V99" s="670">
        <v>17640000</v>
      </c>
      <c r="W99" s="683">
        <f t="shared" si="59"/>
        <v>64.285714285714292</v>
      </c>
      <c r="X99" s="684">
        <f>4/14*W99</f>
        <v>18.367346938775512</v>
      </c>
      <c r="Y99" s="683">
        <f t="shared" si="60"/>
        <v>0.22508209467470952</v>
      </c>
      <c r="Z99" s="670"/>
      <c r="AA99" s="670">
        <f t="shared" si="61"/>
        <v>9800000</v>
      </c>
      <c r="AB99" s="709"/>
      <c r="AC99" s="588"/>
    </row>
    <row r="100" spans="1:29" x14ac:dyDescent="0.25">
      <c r="A100" s="802">
        <v>511124</v>
      </c>
      <c r="B100" s="751" t="s">
        <v>246</v>
      </c>
      <c r="C100" s="834"/>
      <c r="D100" s="702"/>
      <c r="E100" s="703"/>
      <c r="F100" s="703"/>
      <c r="G100" s="703"/>
      <c r="H100" s="704"/>
      <c r="I100" s="705"/>
      <c r="J100" s="706"/>
      <c r="K100" s="707"/>
      <c r="L100" s="714">
        <v>1</v>
      </c>
      <c r="M100" s="703" t="s">
        <v>111</v>
      </c>
      <c r="N100" s="715"/>
      <c r="O100" s="704">
        <f>L100*27860000</f>
        <v>27860000</v>
      </c>
      <c r="P100" s="667">
        <f t="shared" si="58"/>
        <v>1.244203801118533</v>
      </c>
      <c r="Q100" s="683"/>
      <c r="R100" s="669"/>
      <c r="S100" s="669"/>
      <c r="T100" s="669"/>
      <c r="U100" s="669"/>
      <c r="V100" s="670">
        <v>15300000</v>
      </c>
      <c r="W100" s="683">
        <f t="shared" si="59"/>
        <v>54.917444364680549</v>
      </c>
      <c r="X100" s="684">
        <f>4/14*W100</f>
        <v>15.690698389908727</v>
      </c>
      <c r="Y100" s="683">
        <f t="shared" si="60"/>
        <v>0.19522426578928884</v>
      </c>
      <c r="Z100" s="670"/>
      <c r="AA100" s="670">
        <f t="shared" si="61"/>
        <v>12560000</v>
      </c>
      <c r="AB100" s="709"/>
      <c r="AC100" s="588"/>
    </row>
    <row r="101" spans="1:29" x14ac:dyDescent="0.25">
      <c r="A101" s="802">
        <v>511125</v>
      </c>
      <c r="B101" s="751" t="s">
        <v>247</v>
      </c>
      <c r="C101" s="834"/>
      <c r="D101" s="702"/>
      <c r="E101" s="703"/>
      <c r="F101" s="703"/>
      <c r="G101" s="703"/>
      <c r="H101" s="704"/>
      <c r="I101" s="705"/>
      <c r="J101" s="706"/>
      <c r="K101" s="707"/>
      <c r="L101" s="714">
        <v>1</v>
      </c>
      <c r="M101" s="703" t="s">
        <v>111</v>
      </c>
      <c r="N101" s="715"/>
      <c r="O101" s="704">
        <f>L101*4525000</f>
        <v>4525000</v>
      </c>
      <c r="P101" s="667">
        <f t="shared" si="58"/>
        <v>0.20208263460378181</v>
      </c>
      <c r="Q101" s="683"/>
      <c r="R101" s="669"/>
      <c r="S101" s="669"/>
      <c r="T101" s="669"/>
      <c r="U101" s="669"/>
      <c r="V101" s="670">
        <v>92000</v>
      </c>
      <c r="W101" s="683">
        <f t="shared" si="59"/>
        <v>2.0331491712707184</v>
      </c>
      <c r="X101" s="684">
        <f t="shared" ref="X101" si="62">1/14*W101</f>
        <v>0.1452249408050513</v>
      </c>
      <c r="Y101" s="683">
        <f t="shared" si="60"/>
        <v>2.9347438648063027E-4</v>
      </c>
      <c r="Z101" s="670"/>
      <c r="AA101" s="670">
        <f t="shared" si="61"/>
        <v>4433000</v>
      </c>
      <c r="AB101" s="709"/>
      <c r="AC101" s="588"/>
    </row>
    <row r="102" spans="1:29" x14ac:dyDescent="0.25">
      <c r="A102" s="802">
        <v>511126</v>
      </c>
      <c r="B102" s="751" t="s">
        <v>248</v>
      </c>
      <c r="C102" s="834"/>
      <c r="D102" s="702"/>
      <c r="E102" s="703"/>
      <c r="F102" s="703"/>
      <c r="G102" s="703"/>
      <c r="H102" s="704"/>
      <c r="I102" s="705"/>
      <c r="J102" s="706"/>
      <c r="K102" s="707"/>
      <c r="L102" s="714">
        <v>1</v>
      </c>
      <c r="M102" s="703" t="s">
        <v>111</v>
      </c>
      <c r="N102" s="715"/>
      <c r="O102" s="704">
        <f>L102*42792000</f>
        <v>42792000</v>
      </c>
      <c r="P102" s="667">
        <f t="shared" si="58"/>
        <v>1.9110541657381286</v>
      </c>
      <c r="Q102" s="683"/>
      <c r="R102" s="669"/>
      <c r="S102" s="669"/>
      <c r="T102" s="669"/>
      <c r="U102" s="669"/>
      <c r="V102" s="670">
        <v>26578140</v>
      </c>
      <c r="W102" s="683">
        <f t="shared" si="59"/>
        <v>62.110067302299498</v>
      </c>
      <c r="X102" s="684">
        <f>4/14*W102</f>
        <v>17.745733514942714</v>
      </c>
      <c r="Y102" s="683">
        <f t="shared" si="60"/>
        <v>0.33913057957809994</v>
      </c>
      <c r="Z102" s="670"/>
      <c r="AA102" s="670">
        <f t="shared" si="61"/>
        <v>16213860</v>
      </c>
      <c r="AB102" s="709"/>
      <c r="AC102" s="588"/>
    </row>
    <row r="103" spans="1:29" x14ac:dyDescent="0.25">
      <c r="A103" s="835">
        <v>511129</v>
      </c>
      <c r="B103" s="836" t="s">
        <v>249</v>
      </c>
      <c r="C103" s="837"/>
      <c r="D103" s="838"/>
      <c r="E103" s="838"/>
      <c r="F103" s="838"/>
      <c r="G103" s="838"/>
      <c r="H103" s="839"/>
      <c r="I103" s="840"/>
      <c r="J103" s="841"/>
      <c r="K103" s="842"/>
      <c r="L103" s="843">
        <v>1</v>
      </c>
      <c r="M103" s="838" t="s">
        <v>111</v>
      </c>
      <c r="N103" s="844"/>
      <c r="O103" s="839">
        <f>L103*146160000</f>
        <v>146160000</v>
      </c>
      <c r="P103" s="845">
        <f t="shared" si="58"/>
        <v>6.5273807455665747</v>
      </c>
      <c r="Q103" s="846"/>
      <c r="R103" s="847"/>
      <c r="S103" s="847"/>
      <c r="T103" s="847"/>
      <c r="U103" s="847"/>
      <c r="V103" s="848">
        <v>50604000</v>
      </c>
      <c r="W103" s="846">
        <f t="shared" si="59"/>
        <v>34.622331691297212</v>
      </c>
      <c r="X103" s="684">
        <f>4/14*W103</f>
        <v>9.8920947689420604</v>
      </c>
      <c r="Y103" s="846">
        <f t="shared" si="60"/>
        <v>0.64569468928112239</v>
      </c>
      <c r="Z103" s="848"/>
      <c r="AA103" s="848">
        <f t="shared" si="61"/>
        <v>95556000</v>
      </c>
      <c r="AB103" s="849"/>
      <c r="AC103" s="588"/>
    </row>
    <row r="104" spans="1:29" x14ac:dyDescent="0.25">
      <c r="A104" s="802">
        <v>511151</v>
      </c>
      <c r="B104" s="751" t="s">
        <v>250</v>
      </c>
      <c r="C104" s="834"/>
      <c r="D104" s="702"/>
      <c r="E104" s="703"/>
      <c r="F104" s="703"/>
      <c r="G104" s="703"/>
      <c r="H104" s="704"/>
      <c r="I104" s="705"/>
      <c r="J104" s="706"/>
      <c r="K104" s="707"/>
      <c r="L104" s="714">
        <v>1</v>
      </c>
      <c r="M104" s="703" t="s">
        <v>111</v>
      </c>
      <c r="N104" s="715"/>
      <c r="O104" s="704">
        <f>L104*35736000</f>
        <v>35736000</v>
      </c>
      <c r="P104" s="667">
        <f t="shared" si="58"/>
        <v>1.5959392331935354</v>
      </c>
      <c r="Q104" s="683"/>
      <c r="R104" s="669"/>
      <c r="S104" s="669"/>
      <c r="T104" s="669"/>
      <c r="U104" s="669"/>
      <c r="V104" s="670">
        <v>14430000</v>
      </c>
      <c r="W104" s="683">
        <f t="shared" si="59"/>
        <v>40.379449294828746</v>
      </c>
      <c r="X104" s="684">
        <f>4/14*W104</f>
        <v>11.536985512808211</v>
      </c>
      <c r="Y104" s="683">
        <f t="shared" si="60"/>
        <v>0.18412327812676066</v>
      </c>
      <c r="Z104" s="670"/>
      <c r="AA104" s="670">
        <f t="shared" si="61"/>
        <v>21306000</v>
      </c>
      <c r="AB104" s="709"/>
      <c r="AC104" s="588"/>
    </row>
    <row r="105" spans="1:29" x14ac:dyDescent="0.25">
      <c r="A105" s="835">
        <v>512211</v>
      </c>
      <c r="B105" s="836" t="s">
        <v>251</v>
      </c>
      <c r="C105" s="837"/>
      <c r="D105" s="837"/>
      <c r="E105" s="837"/>
      <c r="F105" s="837"/>
      <c r="G105" s="837"/>
      <c r="H105" s="850"/>
      <c r="I105" s="851"/>
      <c r="J105" s="852"/>
      <c r="K105" s="853"/>
      <c r="L105" s="854">
        <v>1</v>
      </c>
      <c r="M105" s="837" t="s">
        <v>111</v>
      </c>
      <c r="N105" s="855"/>
      <c r="O105" s="850">
        <f>L105*4320000</f>
        <v>4320000</v>
      </c>
      <c r="P105" s="856">
        <f t="shared" si="58"/>
        <v>0.19292750972117956</v>
      </c>
      <c r="Q105" s="857"/>
      <c r="R105" s="858"/>
      <c r="S105" s="858"/>
      <c r="T105" s="858"/>
      <c r="U105" s="858"/>
      <c r="V105" s="859">
        <v>0</v>
      </c>
      <c r="W105" s="857">
        <f t="shared" si="59"/>
        <v>0</v>
      </c>
      <c r="X105" s="684">
        <f>1/14*W105</f>
        <v>0</v>
      </c>
      <c r="Y105" s="857">
        <f t="shared" si="60"/>
        <v>0</v>
      </c>
      <c r="Z105" s="859"/>
      <c r="AA105" s="859">
        <f t="shared" si="61"/>
        <v>4320000</v>
      </c>
      <c r="AB105" s="860"/>
      <c r="AC105" s="588"/>
    </row>
    <row r="106" spans="1:29" x14ac:dyDescent="0.25">
      <c r="A106" s="802">
        <v>511119</v>
      </c>
      <c r="B106" s="751" t="s">
        <v>262</v>
      </c>
      <c r="C106" s="834"/>
      <c r="D106" s="702"/>
      <c r="E106" s="703"/>
      <c r="F106" s="703"/>
      <c r="G106" s="703"/>
      <c r="H106" s="704"/>
      <c r="I106" s="705"/>
      <c r="J106" s="706"/>
      <c r="K106" s="707"/>
      <c r="L106" s="714">
        <v>1</v>
      </c>
      <c r="M106" s="703" t="s">
        <v>111</v>
      </c>
      <c r="N106" s="715"/>
      <c r="O106" s="704">
        <f>L106*17000</f>
        <v>17000</v>
      </c>
      <c r="P106" s="667">
        <f t="shared" si="58"/>
        <v>7.5920547806945663E-4</v>
      </c>
      <c r="Q106" s="683"/>
      <c r="R106" s="669"/>
      <c r="S106" s="669"/>
      <c r="T106" s="669"/>
      <c r="U106" s="669"/>
      <c r="V106" s="670">
        <v>6716</v>
      </c>
      <c r="W106" s="683">
        <f t="shared" si="59"/>
        <v>39.505882352941171</v>
      </c>
      <c r="X106" s="684">
        <f>4/14*W106</f>
        <v>11.28739495798319</v>
      </c>
      <c r="Y106" s="683">
        <f t="shared" si="60"/>
        <v>8.5694520852344026E-5</v>
      </c>
      <c r="Z106" s="670"/>
      <c r="AA106" s="670">
        <f t="shared" si="61"/>
        <v>10284</v>
      </c>
      <c r="AB106" s="709"/>
      <c r="AC106" s="588"/>
    </row>
    <row r="107" spans="1:29" x14ac:dyDescent="0.25">
      <c r="A107" s="861"/>
      <c r="B107" s="862"/>
      <c r="C107" s="863"/>
      <c r="D107" s="703"/>
      <c r="E107" s="703"/>
      <c r="F107" s="703"/>
      <c r="G107" s="703"/>
      <c r="H107" s="704"/>
      <c r="I107" s="705"/>
      <c r="J107" s="706"/>
      <c r="K107" s="707"/>
      <c r="L107" s="708"/>
      <c r="M107" s="705"/>
      <c r="N107" s="709"/>
      <c r="O107" s="708"/>
      <c r="P107" s="710"/>
      <c r="Q107" s="799"/>
      <c r="R107" s="800"/>
      <c r="S107" s="800"/>
      <c r="T107" s="800"/>
      <c r="U107" s="800"/>
      <c r="V107" s="712"/>
      <c r="W107" s="799"/>
      <c r="X107" s="828"/>
      <c r="Y107" s="801">
        <f t="shared" si="57"/>
        <v>0</v>
      </c>
      <c r="Z107" s="670"/>
      <c r="AA107" s="712"/>
      <c r="AB107" s="709"/>
      <c r="AC107" s="588"/>
    </row>
    <row r="108" spans="1:29" x14ac:dyDescent="0.25">
      <c r="A108" s="715"/>
      <c r="B108" s="708"/>
      <c r="C108" s="703"/>
      <c r="D108" s="703"/>
      <c r="E108" s="703"/>
      <c r="F108" s="703"/>
      <c r="G108" s="703"/>
      <c r="H108" s="704"/>
      <c r="I108" s="705"/>
      <c r="J108" s="706"/>
      <c r="K108" s="707"/>
      <c r="L108" s="708"/>
      <c r="M108" s="705"/>
      <c r="N108" s="709"/>
      <c r="O108" s="708"/>
      <c r="P108" s="710"/>
      <c r="Q108" s="799"/>
      <c r="R108" s="800"/>
      <c r="S108" s="800"/>
      <c r="T108" s="800"/>
      <c r="U108" s="800"/>
      <c r="V108" s="712"/>
      <c r="W108" s="799"/>
      <c r="X108" s="828"/>
      <c r="Y108" s="801">
        <f t="shared" si="57"/>
        <v>0</v>
      </c>
      <c r="Z108" s="670"/>
      <c r="AA108" s="712"/>
      <c r="AB108" s="709"/>
      <c r="AC108" s="588"/>
    </row>
    <row r="109" spans="1:29" x14ac:dyDescent="0.25">
      <c r="A109" s="700" t="s">
        <v>112</v>
      </c>
      <c r="B109" s="701" t="s">
        <v>252</v>
      </c>
      <c r="C109" s="703"/>
      <c r="D109" s="703"/>
      <c r="E109" s="703"/>
      <c r="F109" s="703"/>
      <c r="G109" s="703"/>
      <c r="H109" s="704"/>
      <c r="I109" s="705"/>
      <c r="J109" s="706"/>
      <c r="K109" s="707"/>
      <c r="L109" s="714"/>
      <c r="M109" s="703"/>
      <c r="N109" s="864"/>
      <c r="O109" s="716"/>
      <c r="P109" s="710"/>
      <c r="Q109" s="799"/>
      <c r="R109" s="800"/>
      <c r="S109" s="800"/>
      <c r="T109" s="800"/>
      <c r="U109" s="800"/>
      <c r="V109" s="712"/>
      <c r="W109" s="799"/>
      <c r="X109" s="828"/>
      <c r="Y109" s="801">
        <f t="shared" si="57"/>
        <v>0</v>
      </c>
      <c r="Z109" s="670"/>
      <c r="AA109" s="712"/>
      <c r="AB109" s="709"/>
      <c r="AC109" s="588"/>
    </row>
    <row r="110" spans="1:29" x14ac:dyDescent="0.25">
      <c r="A110" s="865" t="s">
        <v>14</v>
      </c>
      <c r="B110" s="701" t="s">
        <v>253</v>
      </c>
      <c r="C110" s="702"/>
      <c r="D110" s="702"/>
      <c r="E110" s="703"/>
      <c r="F110" s="703"/>
      <c r="G110" s="703"/>
      <c r="H110" s="704"/>
      <c r="I110" s="705"/>
      <c r="J110" s="706"/>
      <c r="K110" s="707"/>
      <c r="L110" s="714"/>
      <c r="M110" s="703"/>
      <c r="N110" s="864"/>
      <c r="O110" s="866"/>
      <c r="P110" s="710"/>
      <c r="Q110" s="799"/>
      <c r="R110" s="800"/>
      <c r="S110" s="800"/>
      <c r="T110" s="800"/>
      <c r="U110" s="800"/>
      <c r="V110" s="712"/>
      <c r="W110" s="799"/>
      <c r="X110" s="828"/>
      <c r="Y110" s="801">
        <f t="shared" si="57"/>
        <v>0</v>
      </c>
      <c r="Z110" s="670"/>
      <c r="AA110" s="712"/>
      <c r="AB110" s="709"/>
      <c r="AC110" s="588"/>
    </row>
    <row r="111" spans="1:29" x14ac:dyDescent="0.25">
      <c r="A111" s="750">
        <v>521113</v>
      </c>
      <c r="B111" s="751" t="s">
        <v>113</v>
      </c>
      <c r="C111" s="702"/>
      <c r="D111" s="702"/>
      <c r="E111" s="702"/>
      <c r="F111" s="702"/>
      <c r="G111" s="713"/>
      <c r="H111" s="788"/>
      <c r="I111" s="753"/>
      <c r="J111" s="752"/>
      <c r="K111" s="789"/>
      <c r="L111" s="790"/>
      <c r="M111" s="702"/>
      <c r="N111" s="867"/>
      <c r="O111" s="868"/>
      <c r="P111" s="710"/>
      <c r="Q111" s="792"/>
      <c r="R111" s="793"/>
      <c r="S111" s="793"/>
      <c r="T111" s="793"/>
      <c r="U111" s="793"/>
      <c r="V111" s="794"/>
      <c r="W111" s="792"/>
      <c r="X111" s="869"/>
      <c r="Y111" s="795">
        <f t="shared" si="57"/>
        <v>0</v>
      </c>
      <c r="Z111" s="760"/>
      <c r="AA111" s="794"/>
      <c r="AB111" s="762"/>
      <c r="AC111" s="588"/>
    </row>
    <row r="112" spans="1:29" x14ac:dyDescent="0.25">
      <c r="A112" s="715"/>
      <c r="B112" s="870" t="s">
        <v>82</v>
      </c>
      <c r="C112" s="871" t="s">
        <v>114</v>
      </c>
      <c r="D112" s="703"/>
      <c r="E112" s="872"/>
      <c r="F112" s="872"/>
      <c r="G112" s="873"/>
      <c r="H112" s="704"/>
      <c r="I112" s="705"/>
      <c r="J112" s="706"/>
      <c r="K112" s="707"/>
      <c r="L112" s="714">
        <v>22</v>
      </c>
      <c r="M112" s="703" t="s">
        <v>115</v>
      </c>
      <c r="N112" s="864">
        <v>210000</v>
      </c>
      <c r="O112" s="704">
        <f>L112*264000</f>
        <v>5808000</v>
      </c>
      <c r="P112" s="667">
        <f t="shared" ref="P112" si="63">+O112/$O$184*100</f>
        <v>0.25938031862514138</v>
      </c>
      <c r="Q112" s="683"/>
      <c r="R112" s="669"/>
      <c r="S112" s="669"/>
      <c r="T112" s="669"/>
      <c r="U112" s="669"/>
      <c r="V112" s="670">
        <v>4752000</v>
      </c>
      <c r="W112" s="683">
        <f t="shared" ref="W112" si="64">+V112/O112*100</f>
        <v>81.818181818181827</v>
      </c>
      <c r="X112" s="684">
        <f t="shared" ref="X112" si="65">W112</f>
        <v>81.818181818181827</v>
      </c>
      <c r="Y112" s="683">
        <f t="shared" si="57"/>
        <v>0.2122202606932975</v>
      </c>
      <c r="Z112" s="670"/>
      <c r="AA112" s="670">
        <f t="shared" ref="AA112" si="66">+O112-V112</f>
        <v>1056000</v>
      </c>
      <c r="AB112" s="668"/>
      <c r="AC112" s="588"/>
    </row>
    <row r="113" spans="1:29" x14ac:dyDescent="0.25">
      <c r="A113" s="715"/>
      <c r="B113" s="870"/>
      <c r="C113" s="871"/>
      <c r="D113" s="703"/>
      <c r="E113" s="872"/>
      <c r="F113" s="872"/>
      <c r="G113" s="873"/>
      <c r="H113" s="704"/>
      <c r="I113" s="705"/>
      <c r="J113" s="706"/>
      <c r="K113" s="707"/>
      <c r="L113" s="714"/>
      <c r="M113" s="703"/>
      <c r="N113" s="864"/>
      <c r="O113" s="704"/>
      <c r="P113" s="710"/>
      <c r="Q113" s="799"/>
      <c r="R113" s="800"/>
      <c r="S113" s="800"/>
      <c r="T113" s="800"/>
      <c r="U113" s="800"/>
      <c r="V113" s="712"/>
      <c r="W113" s="799"/>
      <c r="X113" s="828"/>
      <c r="Y113" s="801"/>
      <c r="Z113" s="712"/>
      <c r="AA113" s="712"/>
      <c r="AB113" s="709"/>
      <c r="AC113" s="588"/>
    </row>
    <row r="114" spans="1:29" x14ac:dyDescent="0.25">
      <c r="A114" s="791" t="s">
        <v>116</v>
      </c>
      <c r="B114" s="701" t="s">
        <v>254</v>
      </c>
      <c r="C114" s="702"/>
      <c r="D114" s="702"/>
      <c r="E114" s="703"/>
      <c r="F114" s="703"/>
      <c r="G114" s="763"/>
      <c r="H114" s="704"/>
      <c r="I114" s="705"/>
      <c r="J114" s="706"/>
      <c r="K114" s="707"/>
      <c r="L114" s="714"/>
      <c r="M114" s="703"/>
      <c r="N114" s="864"/>
      <c r="O114" s="752"/>
      <c r="P114" s="710"/>
      <c r="Q114" s="799"/>
      <c r="R114" s="800"/>
      <c r="S114" s="800"/>
      <c r="T114" s="800"/>
      <c r="U114" s="800"/>
      <c r="V114" s="712"/>
      <c r="W114" s="799"/>
      <c r="X114" s="828"/>
      <c r="Y114" s="801"/>
      <c r="Z114" s="712"/>
      <c r="AA114" s="712"/>
      <c r="AB114" s="709"/>
      <c r="AC114" s="588"/>
    </row>
    <row r="115" spans="1:29" x14ac:dyDescent="0.25">
      <c r="A115" s="802">
        <v>521119</v>
      </c>
      <c r="B115" s="751" t="s">
        <v>117</v>
      </c>
      <c r="C115" s="702"/>
      <c r="D115" s="702"/>
      <c r="E115" s="702"/>
      <c r="F115" s="702"/>
      <c r="G115" s="713"/>
      <c r="H115" s="788"/>
      <c r="I115" s="753"/>
      <c r="J115" s="752"/>
      <c r="K115" s="789"/>
      <c r="L115" s="790"/>
      <c r="M115" s="702"/>
      <c r="N115" s="867"/>
      <c r="O115" s="868"/>
      <c r="P115" s="710"/>
      <c r="Q115" s="792"/>
      <c r="R115" s="793"/>
      <c r="S115" s="793"/>
      <c r="T115" s="793"/>
      <c r="U115" s="793"/>
      <c r="V115" s="794"/>
      <c r="W115" s="792"/>
      <c r="X115" s="869"/>
      <c r="Y115" s="795"/>
      <c r="Z115" s="794"/>
      <c r="AA115" s="794"/>
      <c r="AB115" s="762"/>
      <c r="AC115" s="588"/>
    </row>
    <row r="116" spans="1:29" x14ac:dyDescent="0.25">
      <c r="A116" s="715"/>
      <c r="B116" s="870" t="s">
        <v>82</v>
      </c>
      <c r="C116" s="721" t="s">
        <v>118</v>
      </c>
      <c r="D116" s="703"/>
      <c r="E116" s="872"/>
      <c r="F116" s="872"/>
      <c r="G116" s="873"/>
      <c r="H116" s="704"/>
      <c r="I116" s="705"/>
      <c r="J116" s="706"/>
      <c r="K116" s="707"/>
      <c r="L116" s="874">
        <v>22</v>
      </c>
      <c r="M116" s="875" t="s">
        <v>115</v>
      </c>
      <c r="N116" s="876"/>
      <c r="O116" s="704">
        <f>L116*400000</f>
        <v>8800000</v>
      </c>
      <c r="P116" s="667">
        <f t="shared" ref="P116:P117" si="67">+O116/$O$184*100</f>
        <v>0.39300048276536576</v>
      </c>
      <c r="Q116" s="683"/>
      <c r="R116" s="669"/>
      <c r="S116" s="669"/>
      <c r="T116" s="669"/>
      <c r="U116" s="669"/>
      <c r="V116" s="670">
        <f>18*400000</f>
        <v>7200000</v>
      </c>
      <c r="W116" s="683">
        <f t="shared" ref="W116:W117" si="68">+V116/O116*100</f>
        <v>81.818181818181827</v>
      </c>
      <c r="X116" s="684">
        <f t="shared" ref="X116:X117" si="69">W116</f>
        <v>81.818181818181827</v>
      </c>
      <c r="Y116" s="683">
        <f t="shared" ref="Y116:Y117" si="70">X116*P116/100</f>
        <v>0.32154584953529924</v>
      </c>
      <c r="Z116" s="670"/>
      <c r="AA116" s="670">
        <f t="shared" ref="AA116:AA117" si="71">+O116-V116</f>
        <v>1600000</v>
      </c>
      <c r="AB116" s="668"/>
      <c r="AC116" s="588"/>
    </row>
    <row r="117" spans="1:29" x14ac:dyDescent="0.25">
      <c r="A117" s="715"/>
      <c r="B117" s="870" t="s">
        <v>82</v>
      </c>
      <c r="C117" s="703" t="s">
        <v>119</v>
      </c>
      <c r="D117" s="703"/>
      <c r="E117" s="872"/>
      <c r="F117" s="872"/>
      <c r="G117" s="873"/>
      <c r="H117" s="704"/>
      <c r="I117" s="705"/>
      <c r="J117" s="706"/>
      <c r="K117" s="707"/>
      <c r="L117" s="874">
        <v>3</v>
      </c>
      <c r="M117" s="875" t="s">
        <v>115</v>
      </c>
      <c r="N117" s="876"/>
      <c r="O117" s="704">
        <f>L117*450000</f>
        <v>1350000</v>
      </c>
      <c r="P117" s="667">
        <f t="shared" si="67"/>
        <v>6.0289846787868612E-2</v>
      </c>
      <c r="Q117" s="683"/>
      <c r="R117" s="669"/>
      <c r="S117" s="669"/>
      <c r="T117" s="669"/>
      <c r="U117" s="669"/>
      <c r="V117" s="670">
        <v>1350000</v>
      </c>
      <c r="W117" s="683">
        <f t="shared" si="68"/>
        <v>100</v>
      </c>
      <c r="X117" s="684">
        <f t="shared" si="69"/>
        <v>100</v>
      </c>
      <c r="Y117" s="683">
        <f t="shared" si="70"/>
        <v>6.0289846787868612E-2</v>
      </c>
      <c r="Z117" s="670"/>
      <c r="AA117" s="670">
        <f t="shared" si="71"/>
        <v>0</v>
      </c>
      <c r="AB117" s="709"/>
      <c r="AC117" s="588"/>
    </row>
    <row r="118" spans="1:29" x14ac:dyDescent="0.25">
      <c r="A118" s="802"/>
      <c r="B118" s="751"/>
      <c r="C118" s="702"/>
      <c r="D118" s="702"/>
      <c r="E118" s="702"/>
      <c r="F118" s="702"/>
      <c r="G118" s="713"/>
      <c r="H118" s="788"/>
      <c r="I118" s="753"/>
      <c r="J118" s="752"/>
      <c r="K118" s="789"/>
      <c r="L118" s="790"/>
      <c r="M118" s="702"/>
      <c r="N118" s="867"/>
      <c r="O118" s="868"/>
      <c r="P118" s="710"/>
      <c r="Q118" s="792"/>
      <c r="R118" s="793"/>
      <c r="S118" s="793"/>
      <c r="T118" s="793"/>
      <c r="U118" s="793"/>
      <c r="V118" s="794"/>
      <c r="W118" s="792"/>
      <c r="X118" s="869"/>
      <c r="Y118" s="795"/>
      <c r="Z118" s="794"/>
      <c r="AA118" s="794"/>
      <c r="AB118" s="762"/>
      <c r="AC118" s="588"/>
    </row>
    <row r="119" spans="1:29" x14ac:dyDescent="0.25">
      <c r="A119" s="791" t="s">
        <v>120</v>
      </c>
      <c r="B119" s="701" t="s">
        <v>255</v>
      </c>
      <c r="C119" s="702"/>
      <c r="D119" s="702"/>
      <c r="E119" s="702"/>
      <c r="F119" s="702"/>
      <c r="G119" s="713"/>
      <c r="H119" s="704"/>
      <c r="I119" s="705"/>
      <c r="J119" s="706"/>
      <c r="K119" s="707"/>
      <c r="L119" s="714"/>
      <c r="M119" s="703"/>
      <c r="N119" s="864"/>
      <c r="O119" s="752"/>
      <c r="P119" s="710"/>
      <c r="Q119" s="799"/>
      <c r="R119" s="800"/>
      <c r="S119" s="800"/>
      <c r="T119" s="800"/>
      <c r="U119" s="800"/>
      <c r="V119" s="712"/>
      <c r="W119" s="799"/>
      <c r="X119" s="828"/>
      <c r="Y119" s="801"/>
      <c r="Z119" s="712"/>
      <c r="AA119" s="712"/>
      <c r="AB119" s="709"/>
      <c r="AC119" s="588"/>
    </row>
    <row r="120" spans="1:29" x14ac:dyDescent="0.25">
      <c r="A120" s="750">
        <v>523111</v>
      </c>
      <c r="B120" s="751" t="s">
        <v>121</v>
      </c>
      <c r="C120" s="702"/>
      <c r="D120" s="702"/>
      <c r="E120" s="702"/>
      <c r="F120" s="702"/>
      <c r="G120" s="713"/>
      <c r="H120" s="788"/>
      <c r="I120" s="753"/>
      <c r="J120" s="752"/>
      <c r="K120" s="789"/>
      <c r="L120" s="790"/>
      <c r="M120" s="702"/>
      <c r="N120" s="867"/>
      <c r="O120" s="752"/>
      <c r="P120" s="710"/>
      <c r="Q120" s="792"/>
      <c r="R120" s="793"/>
      <c r="S120" s="793"/>
      <c r="T120" s="793"/>
      <c r="U120" s="793"/>
      <c r="V120" s="794"/>
      <c r="W120" s="792"/>
      <c r="X120" s="869"/>
      <c r="Y120" s="795"/>
      <c r="Z120" s="794"/>
      <c r="AA120" s="794"/>
      <c r="AB120" s="762"/>
      <c r="AC120" s="588"/>
    </row>
    <row r="121" spans="1:29" x14ac:dyDescent="0.25">
      <c r="A121" s="715"/>
      <c r="B121" s="877" t="s">
        <v>82</v>
      </c>
      <c r="C121" s="703" t="s">
        <v>122</v>
      </c>
      <c r="D121" s="703"/>
      <c r="E121" s="703"/>
      <c r="F121" s="703"/>
      <c r="G121" s="763"/>
      <c r="H121" s="704"/>
      <c r="I121" s="705"/>
      <c r="J121" s="706"/>
      <c r="K121" s="707"/>
      <c r="L121" s="704">
        <v>229</v>
      </c>
      <c r="M121" s="705" t="s">
        <v>105</v>
      </c>
      <c r="N121" s="864"/>
      <c r="O121" s="704">
        <f>L121*119000</f>
        <v>27251000</v>
      </c>
      <c r="P121" s="667">
        <f t="shared" ref="P121:P122" si="72">+O121/$O$184*100</f>
        <v>1.2170063813453389</v>
      </c>
      <c r="Q121" s="683"/>
      <c r="R121" s="669"/>
      <c r="S121" s="669"/>
      <c r="T121" s="669"/>
      <c r="U121" s="669"/>
      <c r="V121" s="670">
        <v>24400000</v>
      </c>
      <c r="W121" s="683">
        <f t="shared" ref="W121:W122" si="73">+V121/O121*100</f>
        <v>89.537998605555757</v>
      </c>
      <c r="X121" s="684">
        <f t="shared" ref="X121:X122" si="74">W121</f>
        <v>89.537998605555757</v>
      </c>
      <c r="Y121" s="683">
        <f t="shared" ref="Y121:Y122" si="75">X121*P121/100</f>
        <v>1.0896831567585141</v>
      </c>
      <c r="Z121" s="670"/>
      <c r="AA121" s="670">
        <f t="shared" ref="AA121:AA122" si="76">+O121-V121</f>
        <v>2851000</v>
      </c>
      <c r="AB121" s="668"/>
      <c r="AC121" s="588"/>
    </row>
    <row r="122" spans="1:29" x14ac:dyDescent="0.25">
      <c r="A122" s="715"/>
      <c r="B122" s="877" t="s">
        <v>82</v>
      </c>
      <c r="C122" s="721" t="s">
        <v>123</v>
      </c>
      <c r="D122" s="703"/>
      <c r="E122" s="703"/>
      <c r="F122" s="703"/>
      <c r="G122" s="763"/>
      <c r="H122" s="704"/>
      <c r="I122" s="705"/>
      <c r="J122" s="706"/>
      <c r="K122" s="707"/>
      <c r="L122" s="704">
        <v>680</v>
      </c>
      <c r="M122" s="705" t="s">
        <v>105</v>
      </c>
      <c r="N122" s="864"/>
      <c r="O122" s="704">
        <f>L122*13000</f>
        <v>8840000</v>
      </c>
      <c r="P122" s="667">
        <f t="shared" si="72"/>
        <v>0.39478684859611746</v>
      </c>
      <c r="Q122" s="683"/>
      <c r="R122" s="669"/>
      <c r="S122" s="669"/>
      <c r="T122" s="669"/>
      <c r="U122" s="669"/>
      <c r="V122" s="670">
        <v>0</v>
      </c>
      <c r="W122" s="683">
        <f t="shared" si="73"/>
        <v>0</v>
      </c>
      <c r="X122" s="684">
        <f t="shared" si="74"/>
        <v>0</v>
      </c>
      <c r="Y122" s="683">
        <f t="shared" si="75"/>
        <v>0</v>
      </c>
      <c r="Z122" s="670"/>
      <c r="AA122" s="670">
        <f t="shared" si="76"/>
        <v>8840000</v>
      </c>
      <c r="AB122" s="709"/>
      <c r="AC122" s="588"/>
    </row>
    <row r="123" spans="1:29" x14ac:dyDescent="0.25">
      <c r="A123" s="715"/>
      <c r="B123" s="877"/>
      <c r="C123" s="703"/>
      <c r="D123" s="703"/>
      <c r="E123" s="703"/>
      <c r="F123" s="703"/>
      <c r="G123" s="763"/>
      <c r="H123" s="704"/>
      <c r="I123" s="705"/>
      <c r="J123" s="706"/>
      <c r="K123" s="707"/>
      <c r="L123" s="714"/>
      <c r="M123" s="703"/>
      <c r="N123" s="864"/>
      <c r="O123" s="704"/>
      <c r="P123" s="710"/>
      <c r="Q123" s="799"/>
      <c r="R123" s="800"/>
      <c r="S123" s="800"/>
      <c r="T123" s="800"/>
      <c r="U123" s="800"/>
      <c r="V123" s="712"/>
      <c r="W123" s="799"/>
      <c r="X123" s="828"/>
      <c r="Y123" s="801"/>
      <c r="Z123" s="712"/>
      <c r="AA123" s="712"/>
      <c r="AB123" s="709"/>
      <c r="AC123" s="588"/>
    </row>
    <row r="124" spans="1:29" x14ac:dyDescent="0.25">
      <c r="A124" s="791" t="s">
        <v>124</v>
      </c>
      <c r="B124" s="701" t="s">
        <v>256</v>
      </c>
      <c r="C124" s="702"/>
      <c r="D124" s="702"/>
      <c r="E124" s="702"/>
      <c r="F124" s="702"/>
      <c r="G124" s="713"/>
      <c r="H124" s="704"/>
      <c r="I124" s="705"/>
      <c r="J124" s="706"/>
      <c r="K124" s="707"/>
      <c r="L124" s="714"/>
      <c r="M124" s="703"/>
      <c r="N124" s="864"/>
      <c r="O124" s="752"/>
      <c r="P124" s="710"/>
      <c r="Q124" s="799"/>
      <c r="R124" s="800"/>
      <c r="S124" s="800"/>
      <c r="T124" s="800"/>
      <c r="U124" s="800"/>
      <c r="V124" s="712"/>
      <c r="W124" s="799"/>
      <c r="X124" s="828"/>
      <c r="Y124" s="801"/>
      <c r="Z124" s="712"/>
      <c r="AA124" s="712"/>
      <c r="AB124" s="709"/>
      <c r="AC124" s="588"/>
    </row>
    <row r="125" spans="1:29" x14ac:dyDescent="0.25">
      <c r="A125" s="750">
        <v>523121</v>
      </c>
      <c r="B125" s="751" t="s">
        <v>125</v>
      </c>
      <c r="C125" s="702"/>
      <c r="D125" s="702"/>
      <c r="E125" s="702"/>
      <c r="F125" s="702"/>
      <c r="G125" s="713"/>
      <c r="H125" s="788"/>
      <c r="I125" s="753"/>
      <c r="J125" s="752"/>
      <c r="K125" s="789"/>
      <c r="L125" s="790"/>
      <c r="M125" s="702"/>
      <c r="N125" s="867"/>
      <c r="O125" s="752"/>
      <c r="P125" s="710"/>
      <c r="Q125" s="792"/>
      <c r="R125" s="793"/>
      <c r="S125" s="793"/>
      <c r="T125" s="793"/>
      <c r="U125" s="793"/>
      <c r="V125" s="794"/>
      <c r="W125" s="792"/>
      <c r="X125" s="869"/>
      <c r="Y125" s="795"/>
      <c r="Z125" s="794"/>
      <c r="AA125" s="794"/>
      <c r="AB125" s="762"/>
      <c r="AC125" s="588"/>
    </row>
    <row r="126" spans="1:29" x14ac:dyDescent="0.25">
      <c r="A126" s="715"/>
      <c r="B126" s="870" t="s">
        <v>82</v>
      </c>
      <c r="C126" s="703" t="s">
        <v>126</v>
      </c>
      <c r="D126" s="703"/>
      <c r="E126" s="703"/>
      <c r="F126" s="703"/>
      <c r="G126" s="763"/>
      <c r="H126" s="704"/>
      <c r="I126" s="705"/>
      <c r="J126" s="706"/>
      <c r="K126" s="707"/>
      <c r="L126" s="714">
        <v>8</v>
      </c>
      <c r="M126" s="703" t="s">
        <v>127</v>
      </c>
      <c r="N126" s="864"/>
      <c r="O126" s="704">
        <f>L126*420000</f>
        <v>3360000</v>
      </c>
      <c r="P126" s="667">
        <f t="shared" ref="P126:P137" si="77">+O126/$O$184*100</f>
        <v>0.15005472978313966</v>
      </c>
      <c r="Q126" s="683"/>
      <c r="R126" s="669"/>
      <c r="S126" s="669"/>
      <c r="T126" s="669"/>
      <c r="U126" s="669"/>
      <c r="V126" s="670">
        <f>303000+800000</f>
        <v>1103000</v>
      </c>
      <c r="W126" s="683">
        <f t="shared" ref="W126:W137" si="78">+V126/O126*100</f>
        <v>32.827380952380949</v>
      </c>
      <c r="X126" s="684">
        <f t="shared" ref="X126:X135" si="79">W126</f>
        <v>32.827380952380949</v>
      </c>
      <c r="Y126" s="683">
        <f t="shared" ref="Y126:Y137" si="80">X126*P126/100</f>
        <v>4.9259037782977091E-2</v>
      </c>
      <c r="Z126" s="670"/>
      <c r="AA126" s="670">
        <f t="shared" ref="AA126:AA137" si="81">+O126-V126</f>
        <v>2257000</v>
      </c>
      <c r="AB126" s="668"/>
      <c r="AC126" s="588"/>
    </row>
    <row r="127" spans="1:29" x14ac:dyDescent="0.25">
      <c r="A127" s="715"/>
      <c r="B127" s="870" t="s">
        <v>82</v>
      </c>
      <c r="C127" s="703" t="s">
        <v>128</v>
      </c>
      <c r="D127" s="703"/>
      <c r="E127" s="703"/>
      <c r="F127" s="703"/>
      <c r="G127" s="763"/>
      <c r="H127" s="704"/>
      <c r="I127" s="705"/>
      <c r="J127" s="706"/>
      <c r="K127" s="707"/>
      <c r="L127" s="714">
        <v>3</v>
      </c>
      <c r="M127" s="703" t="s">
        <v>127</v>
      </c>
      <c r="N127" s="864"/>
      <c r="O127" s="704">
        <f>L127*500000</f>
        <v>1500000</v>
      </c>
      <c r="P127" s="667">
        <f t="shared" si="77"/>
        <v>6.6988718653187354E-2</v>
      </c>
      <c r="Q127" s="683"/>
      <c r="R127" s="669"/>
      <c r="S127" s="669"/>
      <c r="T127" s="669"/>
      <c r="U127" s="669"/>
      <c r="V127" s="670">
        <v>0</v>
      </c>
      <c r="W127" s="683">
        <f t="shared" si="78"/>
        <v>0</v>
      </c>
      <c r="X127" s="684">
        <f t="shared" si="79"/>
        <v>0</v>
      </c>
      <c r="Y127" s="683">
        <f t="shared" si="80"/>
        <v>0</v>
      </c>
      <c r="Z127" s="670"/>
      <c r="AA127" s="670">
        <f t="shared" si="81"/>
        <v>1500000</v>
      </c>
      <c r="AB127" s="709"/>
      <c r="AC127" s="588"/>
    </row>
    <row r="128" spans="1:29" x14ac:dyDescent="0.25">
      <c r="A128" s="715"/>
      <c r="B128" s="870" t="s">
        <v>82</v>
      </c>
      <c r="C128" s="703" t="s">
        <v>129</v>
      </c>
      <c r="D128" s="703"/>
      <c r="E128" s="703"/>
      <c r="F128" s="703"/>
      <c r="G128" s="763"/>
      <c r="H128" s="704"/>
      <c r="I128" s="705"/>
      <c r="J128" s="706"/>
      <c r="K128" s="707"/>
      <c r="L128" s="714">
        <v>12</v>
      </c>
      <c r="M128" s="703" t="s">
        <v>127</v>
      </c>
      <c r="N128" s="864"/>
      <c r="O128" s="704">
        <f>L128*550000</f>
        <v>6600000</v>
      </c>
      <c r="P128" s="667">
        <f t="shared" si="77"/>
        <v>0.29475036207402433</v>
      </c>
      <c r="Q128" s="683"/>
      <c r="R128" s="669"/>
      <c r="S128" s="669"/>
      <c r="T128" s="669"/>
      <c r="U128" s="669"/>
      <c r="V128" s="670">
        <v>0</v>
      </c>
      <c r="W128" s="683">
        <f t="shared" si="78"/>
        <v>0</v>
      </c>
      <c r="X128" s="684">
        <f t="shared" si="79"/>
        <v>0</v>
      </c>
      <c r="Y128" s="683">
        <f t="shared" si="80"/>
        <v>0</v>
      </c>
      <c r="Z128" s="670"/>
      <c r="AA128" s="670">
        <f t="shared" si="81"/>
        <v>6600000</v>
      </c>
      <c r="AB128" s="709"/>
      <c r="AC128" s="588"/>
    </row>
    <row r="129" spans="1:29" x14ac:dyDescent="0.25">
      <c r="A129" s="715"/>
      <c r="B129" s="870" t="s">
        <v>82</v>
      </c>
      <c r="C129" s="703" t="s">
        <v>130</v>
      </c>
      <c r="D129" s="703"/>
      <c r="E129" s="703"/>
      <c r="F129" s="703"/>
      <c r="G129" s="763"/>
      <c r="H129" s="704"/>
      <c r="I129" s="705"/>
      <c r="J129" s="706"/>
      <c r="K129" s="707"/>
      <c r="L129" s="714">
        <v>1</v>
      </c>
      <c r="M129" s="703" t="s">
        <v>127</v>
      </c>
      <c r="N129" s="864"/>
      <c r="O129" s="704">
        <f>L129*500000</f>
        <v>500000</v>
      </c>
      <c r="P129" s="667">
        <f t="shared" si="77"/>
        <v>2.2329572884395781E-2</v>
      </c>
      <c r="Q129" s="683"/>
      <c r="R129" s="669"/>
      <c r="S129" s="669"/>
      <c r="T129" s="669"/>
      <c r="U129" s="669"/>
      <c r="V129" s="670">
        <v>0</v>
      </c>
      <c r="W129" s="683">
        <f t="shared" si="78"/>
        <v>0</v>
      </c>
      <c r="X129" s="684">
        <f t="shared" si="79"/>
        <v>0</v>
      </c>
      <c r="Y129" s="683">
        <f t="shared" si="80"/>
        <v>0</v>
      </c>
      <c r="Z129" s="670"/>
      <c r="AA129" s="670">
        <f t="shared" si="81"/>
        <v>500000</v>
      </c>
      <c r="AB129" s="709"/>
      <c r="AC129" s="588"/>
    </row>
    <row r="130" spans="1:29" x14ac:dyDescent="0.25">
      <c r="A130" s="715"/>
      <c r="B130" s="870" t="s">
        <v>82</v>
      </c>
      <c r="C130" s="703" t="s">
        <v>131</v>
      </c>
      <c r="D130" s="703"/>
      <c r="E130" s="703"/>
      <c r="F130" s="703"/>
      <c r="G130" s="763"/>
      <c r="H130" s="704"/>
      <c r="I130" s="705"/>
      <c r="J130" s="706"/>
      <c r="K130" s="707"/>
      <c r="L130" s="714">
        <v>2</v>
      </c>
      <c r="M130" s="703" t="s">
        <v>127</v>
      </c>
      <c r="N130" s="864"/>
      <c r="O130" s="704">
        <f>L130*800000</f>
        <v>1600000</v>
      </c>
      <c r="P130" s="667">
        <f t="shared" si="77"/>
        <v>7.1454633230066497E-2</v>
      </c>
      <c r="Q130" s="683"/>
      <c r="R130" s="669"/>
      <c r="S130" s="669"/>
      <c r="T130" s="669"/>
      <c r="U130" s="669"/>
      <c r="V130" s="670">
        <v>0</v>
      </c>
      <c r="W130" s="683">
        <f t="shared" si="78"/>
        <v>0</v>
      </c>
      <c r="X130" s="684">
        <f t="shared" si="79"/>
        <v>0</v>
      </c>
      <c r="Y130" s="683">
        <f t="shared" si="80"/>
        <v>0</v>
      </c>
      <c r="Z130" s="670"/>
      <c r="AA130" s="670">
        <f t="shared" si="81"/>
        <v>1600000</v>
      </c>
      <c r="AB130" s="709"/>
      <c r="AC130" s="588"/>
    </row>
    <row r="131" spans="1:29" x14ac:dyDescent="0.25">
      <c r="A131" s="715"/>
      <c r="B131" s="870" t="s">
        <v>82</v>
      </c>
      <c r="C131" s="703" t="s">
        <v>132</v>
      </c>
      <c r="D131" s="703"/>
      <c r="E131" s="703"/>
      <c r="F131" s="703"/>
      <c r="G131" s="763"/>
      <c r="H131" s="704"/>
      <c r="I131" s="705"/>
      <c r="J131" s="706"/>
      <c r="K131" s="707"/>
      <c r="L131" s="714">
        <v>2</v>
      </c>
      <c r="M131" s="703" t="s">
        <v>127</v>
      </c>
      <c r="N131" s="864"/>
      <c r="O131" s="704">
        <f>L131*5346000</f>
        <v>10692000</v>
      </c>
      <c r="P131" s="667">
        <f t="shared" si="77"/>
        <v>0.47749558655991942</v>
      </c>
      <c r="Q131" s="683"/>
      <c r="R131" s="669"/>
      <c r="S131" s="669"/>
      <c r="T131" s="669"/>
      <c r="U131" s="669"/>
      <c r="V131" s="670">
        <f>875000+1290000</f>
        <v>2165000</v>
      </c>
      <c r="W131" s="683">
        <f t="shared" si="78"/>
        <v>20.248784137673027</v>
      </c>
      <c r="X131" s="684">
        <f t="shared" si="79"/>
        <v>20.248784137673027</v>
      </c>
      <c r="Y131" s="683">
        <f t="shared" si="80"/>
        <v>9.6687050589433735E-2</v>
      </c>
      <c r="Z131" s="670"/>
      <c r="AA131" s="670">
        <f t="shared" si="81"/>
        <v>8527000</v>
      </c>
      <c r="AB131" s="709"/>
      <c r="AC131" s="588"/>
    </row>
    <row r="132" spans="1:29" x14ac:dyDescent="0.25">
      <c r="A132" s="715"/>
      <c r="B132" s="877" t="s">
        <v>82</v>
      </c>
      <c r="C132" s="703" t="s">
        <v>133</v>
      </c>
      <c r="D132" s="703"/>
      <c r="E132" s="703"/>
      <c r="F132" s="703"/>
      <c r="G132" s="763"/>
      <c r="H132" s="704"/>
      <c r="I132" s="705"/>
      <c r="J132" s="706"/>
      <c r="K132" s="707"/>
      <c r="L132" s="714">
        <v>6</v>
      </c>
      <c r="M132" s="703" t="s">
        <v>127</v>
      </c>
      <c r="N132" s="864"/>
      <c r="O132" s="704">
        <f>L132*500000</f>
        <v>3000000</v>
      </c>
      <c r="P132" s="667">
        <f t="shared" si="77"/>
        <v>0.13397743730637471</v>
      </c>
      <c r="Q132" s="683"/>
      <c r="R132" s="669"/>
      <c r="S132" s="669"/>
      <c r="T132" s="669"/>
      <c r="U132" s="669"/>
      <c r="V132" s="670">
        <v>0</v>
      </c>
      <c r="W132" s="683">
        <f t="shared" si="78"/>
        <v>0</v>
      </c>
      <c r="X132" s="684">
        <f t="shared" si="79"/>
        <v>0</v>
      </c>
      <c r="Y132" s="683">
        <f t="shared" si="80"/>
        <v>0</v>
      </c>
      <c r="Z132" s="670"/>
      <c r="AA132" s="670">
        <f t="shared" si="81"/>
        <v>3000000</v>
      </c>
      <c r="AB132" s="709"/>
      <c r="AC132" s="588"/>
    </row>
    <row r="133" spans="1:29" x14ac:dyDescent="0.25">
      <c r="A133" s="715"/>
      <c r="B133" s="870" t="s">
        <v>82</v>
      </c>
      <c r="C133" s="703" t="s">
        <v>134</v>
      </c>
      <c r="D133" s="703"/>
      <c r="E133" s="703"/>
      <c r="F133" s="703"/>
      <c r="G133" s="763"/>
      <c r="H133" s="704"/>
      <c r="I133" s="705"/>
      <c r="J133" s="706"/>
      <c r="K133" s="707"/>
      <c r="L133" s="714">
        <v>1</v>
      </c>
      <c r="M133" s="703" t="s">
        <v>127</v>
      </c>
      <c r="N133" s="864"/>
      <c r="O133" s="704">
        <f>L133*1200000</f>
        <v>1200000</v>
      </c>
      <c r="P133" s="667">
        <f t="shared" si="77"/>
        <v>5.3590974922549883E-2</v>
      </c>
      <c r="Q133" s="683"/>
      <c r="R133" s="669"/>
      <c r="S133" s="669"/>
      <c r="T133" s="669"/>
      <c r="U133" s="669"/>
      <c r="V133" s="670">
        <v>0</v>
      </c>
      <c r="W133" s="683">
        <f t="shared" si="78"/>
        <v>0</v>
      </c>
      <c r="X133" s="684">
        <f t="shared" si="79"/>
        <v>0</v>
      </c>
      <c r="Y133" s="683">
        <f t="shared" si="80"/>
        <v>0</v>
      </c>
      <c r="Z133" s="670"/>
      <c r="AA133" s="670">
        <f t="shared" si="81"/>
        <v>1200000</v>
      </c>
      <c r="AB133" s="709"/>
      <c r="AC133" s="588"/>
    </row>
    <row r="134" spans="1:29" x14ac:dyDescent="0.25">
      <c r="A134" s="715"/>
      <c r="B134" s="870" t="s">
        <v>82</v>
      </c>
      <c r="C134" s="703" t="s">
        <v>135</v>
      </c>
      <c r="D134" s="703"/>
      <c r="E134" s="703"/>
      <c r="F134" s="703"/>
      <c r="G134" s="763"/>
      <c r="H134" s="704"/>
      <c r="I134" s="705"/>
      <c r="J134" s="706"/>
      <c r="K134" s="707"/>
      <c r="L134" s="714">
        <v>4</v>
      </c>
      <c r="M134" s="703" t="s">
        <v>127</v>
      </c>
      <c r="N134" s="864"/>
      <c r="O134" s="704">
        <f>L134*475000</f>
        <v>1900000</v>
      </c>
      <c r="P134" s="667">
        <f t="shared" si="77"/>
        <v>8.4852376960703968E-2</v>
      </c>
      <c r="Q134" s="683"/>
      <c r="R134" s="669"/>
      <c r="S134" s="669"/>
      <c r="T134" s="669"/>
      <c r="U134" s="669"/>
      <c r="V134" s="670">
        <v>0</v>
      </c>
      <c r="W134" s="683">
        <f t="shared" si="78"/>
        <v>0</v>
      </c>
      <c r="X134" s="684">
        <f t="shared" si="79"/>
        <v>0</v>
      </c>
      <c r="Y134" s="683">
        <f t="shared" si="80"/>
        <v>0</v>
      </c>
      <c r="Z134" s="670"/>
      <c r="AA134" s="670">
        <f t="shared" si="81"/>
        <v>1900000</v>
      </c>
      <c r="AB134" s="709"/>
      <c r="AC134" s="588"/>
    </row>
    <row r="135" spans="1:29" x14ac:dyDescent="0.25">
      <c r="A135" s="715"/>
      <c r="B135" s="877" t="s">
        <v>82</v>
      </c>
      <c r="C135" s="703" t="s">
        <v>136</v>
      </c>
      <c r="D135" s="703"/>
      <c r="E135" s="703"/>
      <c r="F135" s="703"/>
      <c r="G135" s="763"/>
      <c r="H135" s="704"/>
      <c r="I135" s="705"/>
      <c r="J135" s="706"/>
      <c r="K135" s="707"/>
      <c r="L135" s="714">
        <v>1</v>
      </c>
      <c r="M135" s="703" t="s">
        <v>127</v>
      </c>
      <c r="N135" s="864"/>
      <c r="O135" s="704">
        <f>L135*5000000</f>
        <v>5000000</v>
      </c>
      <c r="P135" s="667">
        <f t="shared" si="77"/>
        <v>0.22329572884395779</v>
      </c>
      <c r="Q135" s="683"/>
      <c r="R135" s="669"/>
      <c r="S135" s="669"/>
      <c r="T135" s="669"/>
      <c r="U135" s="669"/>
      <c r="V135" s="670">
        <v>0</v>
      </c>
      <c r="W135" s="683">
        <f t="shared" si="78"/>
        <v>0</v>
      </c>
      <c r="X135" s="684">
        <f t="shared" si="79"/>
        <v>0</v>
      </c>
      <c r="Y135" s="683">
        <f t="shared" si="80"/>
        <v>0</v>
      </c>
      <c r="Z135" s="670"/>
      <c r="AA135" s="670">
        <f t="shared" si="81"/>
        <v>5000000</v>
      </c>
      <c r="AB135" s="709"/>
      <c r="AC135" s="588"/>
    </row>
    <row r="136" spans="1:29" x14ac:dyDescent="0.25">
      <c r="A136" s="715"/>
      <c r="B136" s="877" t="s">
        <v>82</v>
      </c>
      <c r="C136" s="703" t="s">
        <v>137</v>
      </c>
      <c r="D136" s="703"/>
      <c r="E136" s="703"/>
      <c r="F136" s="703"/>
      <c r="G136" s="763"/>
      <c r="H136" s="704"/>
      <c r="I136" s="705"/>
      <c r="J136" s="706"/>
      <c r="K136" s="707"/>
      <c r="L136" s="714">
        <v>1</v>
      </c>
      <c r="M136" s="703" t="s">
        <v>127</v>
      </c>
      <c r="N136" s="864"/>
      <c r="O136" s="704">
        <f>L136*23000000</f>
        <v>23000000</v>
      </c>
      <c r="P136" s="667">
        <f t="shared" si="77"/>
        <v>1.027160352682206</v>
      </c>
      <c r="Q136" s="683"/>
      <c r="R136" s="669"/>
      <c r="S136" s="669"/>
      <c r="T136" s="669"/>
      <c r="U136" s="669"/>
      <c r="V136" s="670">
        <f>1600000*6+927000</f>
        <v>10527000</v>
      </c>
      <c r="W136" s="683">
        <f t="shared" si="78"/>
        <v>45.769565217391303</v>
      </c>
      <c r="X136" s="684">
        <f t="shared" ref="X136:X137" si="82">1/14*W136</f>
        <v>3.2692546583850928</v>
      </c>
      <c r="Y136" s="683">
        <f t="shared" si="80"/>
        <v>3.3580487679147765E-2</v>
      </c>
      <c r="Z136" s="670"/>
      <c r="AA136" s="670">
        <f t="shared" si="81"/>
        <v>12473000</v>
      </c>
      <c r="AB136" s="709"/>
      <c r="AC136" s="588"/>
    </row>
    <row r="137" spans="1:29" x14ac:dyDescent="0.25">
      <c r="A137" s="715"/>
      <c r="B137" s="877" t="s">
        <v>82</v>
      </c>
      <c r="C137" s="703" t="s">
        <v>138</v>
      </c>
      <c r="D137" s="703"/>
      <c r="E137" s="703"/>
      <c r="F137" s="703"/>
      <c r="G137" s="763"/>
      <c r="H137" s="704"/>
      <c r="I137" s="705"/>
      <c r="J137" s="706"/>
      <c r="K137" s="707"/>
      <c r="L137" s="714">
        <v>5</v>
      </c>
      <c r="M137" s="703" t="s">
        <v>127</v>
      </c>
      <c r="N137" s="864"/>
      <c r="O137" s="704">
        <f>L137*3430000</f>
        <v>17150000</v>
      </c>
      <c r="P137" s="667">
        <f t="shared" si="77"/>
        <v>0.7659043499347753</v>
      </c>
      <c r="Q137" s="683"/>
      <c r="R137" s="669"/>
      <c r="S137" s="669"/>
      <c r="T137" s="669"/>
      <c r="U137" s="669"/>
      <c r="V137" s="670">
        <f>800000+800000+550000+261000+800000+260000+220000+607000+800000+133280+228500+800000+255000+500000</f>
        <v>7014780</v>
      </c>
      <c r="W137" s="683">
        <f t="shared" si="78"/>
        <v>40.902507288629735</v>
      </c>
      <c r="X137" s="684">
        <f t="shared" si="82"/>
        <v>2.9216076634735524</v>
      </c>
      <c r="Y137" s="683">
        <f t="shared" si="80"/>
        <v>2.237672018257169E-2</v>
      </c>
      <c r="Z137" s="670"/>
      <c r="AA137" s="670">
        <f t="shared" si="81"/>
        <v>10135220</v>
      </c>
      <c r="AB137" s="709"/>
      <c r="AC137" s="588"/>
    </row>
    <row r="138" spans="1:29" x14ac:dyDescent="0.25">
      <c r="A138" s="715"/>
      <c r="B138" s="877"/>
      <c r="C138" s="703"/>
      <c r="D138" s="703"/>
      <c r="E138" s="703"/>
      <c r="F138" s="703"/>
      <c r="G138" s="763"/>
      <c r="H138" s="704"/>
      <c r="I138" s="705"/>
      <c r="J138" s="706"/>
      <c r="K138" s="707"/>
      <c r="L138" s="714"/>
      <c r="M138" s="703"/>
      <c r="N138" s="864"/>
      <c r="O138" s="833"/>
      <c r="P138" s="710"/>
      <c r="Q138" s="799"/>
      <c r="R138" s="800"/>
      <c r="S138" s="800"/>
      <c r="T138" s="800"/>
      <c r="U138" s="800"/>
      <c r="V138" s="712"/>
      <c r="W138" s="799"/>
      <c r="X138" s="828"/>
      <c r="Y138" s="801"/>
      <c r="Z138" s="712"/>
      <c r="AA138" s="712"/>
      <c r="AB138" s="709"/>
      <c r="AC138" s="588"/>
    </row>
    <row r="139" spans="1:29" x14ac:dyDescent="0.25">
      <c r="A139" s="791" t="s">
        <v>139</v>
      </c>
      <c r="B139" s="878" t="s">
        <v>257</v>
      </c>
      <c r="C139" s="879"/>
      <c r="D139" s="879"/>
      <c r="E139" s="879"/>
      <c r="F139" s="879"/>
      <c r="G139" s="880"/>
      <c r="H139" s="704"/>
      <c r="I139" s="705"/>
      <c r="J139" s="706"/>
      <c r="K139" s="707"/>
      <c r="L139" s="790"/>
      <c r="M139" s="702"/>
      <c r="N139" s="867"/>
      <c r="O139" s="868"/>
      <c r="P139" s="710"/>
      <c r="Q139" s="799"/>
      <c r="R139" s="800"/>
      <c r="S139" s="800"/>
      <c r="T139" s="800"/>
      <c r="U139" s="800"/>
      <c r="V139" s="712"/>
      <c r="W139" s="799"/>
      <c r="X139" s="828"/>
      <c r="Y139" s="801"/>
      <c r="Z139" s="712"/>
      <c r="AA139" s="712"/>
      <c r="AB139" s="709"/>
      <c r="AC139" s="588"/>
    </row>
    <row r="140" spans="1:29" x14ac:dyDescent="0.25">
      <c r="A140" s="881">
        <v>522111</v>
      </c>
      <c r="B140" s="882" t="s">
        <v>258</v>
      </c>
      <c r="C140" s="883"/>
      <c r="D140" s="883"/>
      <c r="E140" s="883"/>
      <c r="F140" s="883"/>
      <c r="G140" s="884"/>
      <c r="H140" s="885"/>
      <c r="I140" s="886"/>
      <c r="J140" s="887"/>
      <c r="K140" s="888"/>
      <c r="L140" s="889"/>
      <c r="M140" s="883"/>
      <c r="N140" s="890"/>
      <c r="O140" s="887"/>
      <c r="P140" s="891"/>
      <c r="Q140" s="892"/>
      <c r="R140" s="893"/>
      <c r="S140" s="893"/>
      <c r="T140" s="893"/>
      <c r="U140" s="893"/>
      <c r="V140" s="894"/>
      <c r="W140" s="892"/>
      <c r="X140" s="895"/>
      <c r="Y140" s="896"/>
      <c r="Z140" s="894"/>
      <c r="AA140" s="894"/>
      <c r="AB140" s="897"/>
      <c r="AC140" s="588"/>
    </row>
    <row r="141" spans="1:29" x14ac:dyDescent="0.25">
      <c r="A141" s="898"/>
      <c r="B141" s="899" t="s">
        <v>82</v>
      </c>
      <c r="C141" s="900" t="s">
        <v>140</v>
      </c>
      <c r="D141" s="900"/>
      <c r="E141" s="900"/>
      <c r="F141" s="900"/>
      <c r="G141" s="901"/>
      <c r="H141" s="902"/>
      <c r="I141" s="903"/>
      <c r="J141" s="904"/>
      <c r="K141" s="905"/>
      <c r="L141" s="906">
        <v>12</v>
      </c>
      <c r="M141" s="900" t="s">
        <v>88</v>
      </c>
      <c r="N141" s="907"/>
      <c r="O141" s="902">
        <f>L141*6500000</f>
        <v>78000000</v>
      </c>
      <c r="P141" s="891">
        <f t="shared" ref="P141" si="83">+O141/$O$184*100</f>
        <v>3.4834133699657417</v>
      </c>
      <c r="Q141" s="908"/>
      <c r="R141" s="909"/>
      <c r="S141" s="909"/>
      <c r="T141" s="909"/>
      <c r="U141" s="909"/>
      <c r="V141" s="910">
        <v>28671352</v>
      </c>
      <c r="W141" s="908">
        <f t="shared" ref="W141" si="84">+V141/O141*100</f>
        <v>36.75814358974359</v>
      </c>
      <c r="X141" s="911">
        <f t="shared" ref="X141" si="85">1/14*W141</f>
        <v>2.6255816849816846</v>
      </c>
      <c r="Y141" s="908">
        <f t="shared" ref="Y141" si="86">X141*P141/100</f>
        <v>9.1459863454023807E-2</v>
      </c>
      <c r="Z141" s="910"/>
      <c r="AA141" s="910">
        <f t="shared" ref="AA141" si="87">+O141-V141</f>
        <v>49328648</v>
      </c>
      <c r="AB141" s="912"/>
      <c r="AC141" s="588"/>
    </row>
    <row r="142" spans="1:29" x14ac:dyDescent="0.25">
      <c r="A142" s="881">
        <v>522112</v>
      </c>
      <c r="B142" s="882" t="s">
        <v>259</v>
      </c>
      <c r="C142" s="883"/>
      <c r="D142" s="883"/>
      <c r="E142" s="883"/>
      <c r="F142" s="883"/>
      <c r="G142" s="901"/>
      <c r="H142" s="902"/>
      <c r="I142" s="903"/>
      <c r="J142" s="904"/>
      <c r="K142" s="905"/>
      <c r="L142" s="906"/>
      <c r="M142" s="900"/>
      <c r="N142" s="907"/>
      <c r="O142" s="902"/>
      <c r="P142" s="891"/>
      <c r="Q142" s="908"/>
      <c r="R142" s="913"/>
      <c r="S142" s="913"/>
      <c r="T142" s="913"/>
      <c r="U142" s="913"/>
      <c r="V142" s="910"/>
      <c r="W142" s="908"/>
      <c r="X142" s="911"/>
      <c r="Y142" s="914"/>
      <c r="Z142" s="910"/>
      <c r="AA142" s="910"/>
      <c r="AB142" s="912"/>
      <c r="AC142" s="588"/>
    </row>
    <row r="143" spans="1:29" x14ac:dyDescent="0.25">
      <c r="A143" s="898"/>
      <c r="B143" s="899" t="s">
        <v>82</v>
      </c>
      <c r="C143" s="900" t="s">
        <v>141</v>
      </c>
      <c r="D143" s="900"/>
      <c r="E143" s="900"/>
      <c r="F143" s="900"/>
      <c r="G143" s="901"/>
      <c r="H143" s="902"/>
      <c r="I143" s="903"/>
      <c r="J143" s="904"/>
      <c r="K143" s="905"/>
      <c r="L143" s="906">
        <v>12</v>
      </c>
      <c r="M143" s="900" t="s">
        <v>88</v>
      </c>
      <c r="N143" s="907"/>
      <c r="O143" s="902">
        <f>L143*4200000</f>
        <v>50400000</v>
      </c>
      <c r="P143" s="891">
        <f t="shared" ref="P143" si="88">+O143/$O$184*100</f>
        <v>2.250820946747095</v>
      </c>
      <c r="Q143" s="908"/>
      <c r="R143" s="909"/>
      <c r="S143" s="909"/>
      <c r="T143" s="909"/>
      <c r="U143" s="909"/>
      <c r="V143" s="910">
        <v>10011705</v>
      </c>
      <c r="W143" s="908">
        <f t="shared" ref="W143" si="89">+V143/O143*100</f>
        <v>19.864494047619047</v>
      </c>
      <c r="X143" s="911">
        <f t="shared" ref="X143" si="90">1/14*W143</f>
        <v>1.4188924319727889</v>
      </c>
      <c r="Y143" s="908">
        <f t="shared" ref="Y143" si="91">X143*P143/100</f>
        <v>3.1936728070652808E-2</v>
      </c>
      <c r="Z143" s="910"/>
      <c r="AA143" s="910">
        <f t="shared" ref="AA143" si="92">+O143-V143</f>
        <v>40388295</v>
      </c>
      <c r="AB143" s="912"/>
      <c r="AC143" s="588"/>
    </row>
    <row r="144" spans="1:29" x14ac:dyDescent="0.25">
      <c r="A144" s="881">
        <v>522113</v>
      </c>
      <c r="B144" s="882" t="s">
        <v>260</v>
      </c>
      <c r="C144" s="883"/>
      <c r="D144" s="883"/>
      <c r="E144" s="883"/>
      <c r="F144" s="883"/>
      <c r="G144" s="901"/>
      <c r="H144" s="902"/>
      <c r="I144" s="903"/>
      <c r="J144" s="904"/>
      <c r="K144" s="905"/>
      <c r="L144" s="906"/>
      <c r="M144" s="900"/>
      <c r="N144" s="907"/>
      <c r="O144" s="902"/>
      <c r="P144" s="891"/>
      <c r="Q144" s="908"/>
      <c r="R144" s="913"/>
      <c r="S144" s="913"/>
      <c r="T144" s="913"/>
      <c r="U144" s="913"/>
      <c r="V144" s="910"/>
      <c r="W144" s="908"/>
      <c r="X144" s="911"/>
      <c r="Y144" s="914"/>
      <c r="Z144" s="910"/>
      <c r="AA144" s="910"/>
      <c r="AB144" s="912"/>
      <c r="AC144" s="588"/>
    </row>
    <row r="145" spans="1:29" x14ac:dyDescent="0.25">
      <c r="A145" s="898"/>
      <c r="B145" s="899" t="s">
        <v>82</v>
      </c>
      <c r="C145" s="900" t="s">
        <v>142</v>
      </c>
      <c r="D145" s="900"/>
      <c r="E145" s="900"/>
      <c r="F145" s="900"/>
      <c r="G145" s="901"/>
      <c r="H145" s="902"/>
      <c r="I145" s="903"/>
      <c r="J145" s="904"/>
      <c r="K145" s="905"/>
      <c r="L145" s="906">
        <v>12</v>
      </c>
      <c r="M145" s="900" t="s">
        <v>88</v>
      </c>
      <c r="N145" s="907"/>
      <c r="O145" s="902">
        <f>L145*500000</f>
        <v>6000000</v>
      </c>
      <c r="P145" s="891">
        <f t="shared" ref="P145" si="93">+O145/$O$184*100</f>
        <v>0.26795487461274942</v>
      </c>
      <c r="Q145" s="908"/>
      <c r="R145" s="909"/>
      <c r="S145" s="909"/>
      <c r="T145" s="909"/>
      <c r="U145" s="909"/>
      <c r="V145" s="910">
        <v>1243480</v>
      </c>
      <c r="W145" s="908">
        <f t="shared" ref="W145" si="94">+V145/O145*100</f>
        <v>20.724666666666668</v>
      </c>
      <c r="X145" s="911">
        <f t="shared" ref="X145" si="95">1/14*W145</f>
        <v>1.4803333333333333</v>
      </c>
      <c r="Y145" s="908">
        <f t="shared" ref="Y145" si="96">X145*P145/100</f>
        <v>3.9666253271840668E-3</v>
      </c>
      <c r="Z145" s="910"/>
      <c r="AA145" s="910">
        <f t="shared" ref="AA145" si="97">+O145-V145</f>
        <v>4756520</v>
      </c>
      <c r="AB145" s="912"/>
      <c r="AC145" s="588"/>
    </row>
    <row r="146" spans="1:29" x14ac:dyDescent="0.25">
      <c r="A146" s="715"/>
      <c r="B146" s="877"/>
      <c r="C146" s="703"/>
      <c r="D146" s="703"/>
      <c r="E146" s="703"/>
      <c r="F146" s="703"/>
      <c r="G146" s="763"/>
      <c r="H146" s="704"/>
      <c r="I146" s="705"/>
      <c r="J146" s="706"/>
      <c r="K146" s="707"/>
      <c r="L146" s="714"/>
      <c r="M146" s="703"/>
      <c r="N146" s="864"/>
      <c r="O146" s="704"/>
      <c r="P146" s="710"/>
      <c r="Q146" s="799"/>
      <c r="R146" s="827"/>
      <c r="S146" s="827"/>
      <c r="T146" s="827"/>
      <c r="U146" s="827"/>
      <c r="V146" s="712"/>
      <c r="W146" s="799"/>
      <c r="X146" s="684"/>
      <c r="Y146" s="801"/>
      <c r="Z146" s="712"/>
      <c r="AA146" s="712"/>
      <c r="AB146" s="709"/>
      <c r="AC146" s="588"/>
    </row>
    <row r="147" spans="1:29" x14ac:dyDescent="0.25">
      <c r="A147" s="791" t="s">
        <v>143</v>
      </c>
      <c r="B147" s="915" t="s">
        <v>261</v>
      </c>
      <c r="C147" s="916"/>
      <c r="D147" s="916"/>
      <c r="E147" s="916"/>
      <c r="F147" s="916"/>
      <c r="G147" s="917"/>
      <c r="H147" s="704"/>
      <c r="I147" s="705"/>
      <c r="J147" s="706"/>
      <c r="K147" s="707"/>
      <c r="L147" s="714"/>
      <c r="M147" s="763"/>
      <c r="N147" s="864"/>
      <c r="O147" s="868"/>
      <c r="P147" s="710"/>
      <c r="Q147" s="799"/>
      <c r="R147" s="800"/>
      <c r="S147" s="800"/>
      <c r="T147" s="800"/>
      <c r="U147" s="800"/>
      <c r="V147" s="712"/>
      <c r="W147" s="799"/>
      <c r="X147" s="684"/>
      <c r="Y147" s="801"/>
      <c r="Z147" s="712"/>
      <c r="AA147" s="712"/>
      <c r="AB147" s="709"/>
      <c r="AC147" s="588"/>
    </row>
    <row r="148" spans="1:29" x14ac:dyDescent="0.25">
      <c r="A148" s="750">
        <v>521111</v>
      </c>
      <c r="B148" s="918" t="s">
        <v>81</v>
      </c>
      <c r="C148" s="702"/>
      <c r="D148" s="702"/>
      <c r="E148" s="702"/>
      <c r="F148" s="702"/>
      <c r="G148" s="713"/>
      <c r="H148" s="788"/>
      <c r="I148" s="753"/>
      <c r="J148" s="752"/>
      <c r="K148" s="789"/>
      <c r="L148" s="919"/>
      <c r="M148" s="746"/>
      <c r="N148" s="920"/>
      <c r="O148" s="921"/>
      <c r="P148" s="710"/>
      <c r="Q148" s="792"/>
      <c r="R148" s="793"/>
      <c r="S148" s="793"/>
      <c r="T148" s="793"/>
      <c r="U148" s="793"/>
      <c r="V148" s="794"/>
      <c r="W148" s="792"/>
      <c r="X148" s="761"/>
      <c r="Y148" s="795"/>
      <c r="Z148" s="794"/>
      <c r="AA148" s="794"/>
      <c r="AB148" s="762"/>
      <c r="AC148" s="588"/>
    </row>
    <row r="149" spans="1:29" x14ac:dyDescent="0.25">
      <c r="A149" s="922"/>
      <c r="B149" s="923" t="s">
        <v>82</v>
      </c>
      <c r="C149" s="872" t="s">
        <v>144</v>
      </c>
      <c r="D149" s="872"/>
      <c r="E149" s="872"/>
      <c r="F149" s="872"/>
      <c r="G149" s="873"/>
      <c r="H149" s="704"/>
      <c r="I149" s="705"/>
      <c r="J149" s="706"/>
      <c r="K149" s="707"/>
      <c r="L149" s="714">
        <v>39</v>
      </c>
      <c r="M149" s="703" t="s">
        <v>145</v>
      </c>
      <c r="N149" s="864"/>
      <c r="O149" s="704">
        <f>L149*1800000</f>
        <v>70200000</v>
      </c>
      <c r="P149" s="667">
        <f t="shared" ref="P149:P154" si="98">+O149/$O$184*100</f>
        <v>3.1350720329691675</v>
      </c>
      <c r="Q149" s="683"/>
      <c r="R149" s="669"/>
      <c r="S149" s="669"/>
      <c r="T149" s="669"/>
      <c r="U149" s="669"/>
      <c r="V149" s="670">
        <f>5400000*7</f>
        <v>37800000</v>
      </c>
      <c r="W149" s="683">
        <f t="shared" ref="W149:W154" si="99">+V149/O149*100</f>
        <v>53.846153846153847</v>
      </c>
      <c r="X149" s="684">
        <f t="shared" ref="X149:X153" si="100">1/14*W149</f>
        <v>3.8461538461538458</v>
      </c>
      <c r="Y149" s="683">
        <f t="shared" ref="Y149:Y154" si="101">X149*P149/100</f>
        <v>0.1205796935757372</v>
      </c>
      <c r="Z149" s="670"/>
      <c r="AA149" s="670">
        <f t="shared" ref="AA149:AA154" si="102">+O149-V149</f>
        <v>32400000</v>
      </c>
      <c r="AB149" s="668"/>
      <c r="AC149" s="588"/>
    </row>
    <row r="150" spans="1:29" x14ac:dyDescent="0.25">
      <c r="A150" s="715"/>
      <c r="B150" s="870" t="s">
        <v>82</v>
      </c>
      <c r="C150" s="871" t="s">
        <v>146</v>
      </c>
      <c r="D150" s="871"/>
      <c r="E150" s="872"/>
      <c r="F150" s="872"/>
      <c r="G150" s="873"/>
      <c r="H150" s="704"/>
      <c r="I150" s="705"/>
      <c r="J150" s="706"/>
      <c r="K150" s="707"/>
      <c r="L150" s="714">
        <v>228</v>
      </c>
      <c r="M150" s="703" t="s">
        <v>147</v>
      </c>
      <c r="N150" s="864"/>
      <c r="O150" s="704">
        <f>L150*30000</f>
        <v>6840000</v>
      </c>
      <c r="P150" s="667">
        <f t="shared" si="98"/>
        <v>0.30546855705853432</v>
      </c>
      <c r="Q150" s="683"/>
      <c r="R150" s="669"/>
      <c r="S150" s="669"/>
      <c r="T150" s="669"/>
      <c r="U150" s="669"/>
      <c r="V150" s="670">
        <f>570000+570000+480000+300000+480000</f>
        <v>2400000</v>
      </c>
      <c r="W150" s="683">
        <f t="shared" si="99"/>
        <v>35.087719298245609</v>
      </c>
      <c r="X150" s="684">
        <f t="shared" si="100"/>
        <v>2.5062656641604004</v>
      </c>
      <c r="Y150" s="683">
        <f t="shared" si="101"/>
        <v>7.6558535603642661E-3</v>
      </c>
      <c r="Z150" s="670"/>
      <c r="AA150" s="670">
        <f t="shared" si="102"/>
        <v>4440000</v>
      </c>
      <c r="AB150" s="709"/>
      <c r="AC150" s="588"/>
    </row>
    <row r="151" spans="1:29" x14ac:dyDescent="0.25">
      <c r="A151" s="924"/>
      <c r="B151" s="796" t="s">
        <v>82</v>
      </c>
      <c r="C151" s="721" t="s">
        <v>148</v>
      </c>
      <c r="D151" s="721"/>
      <c r="E151" s="721"/>
      <c r="F151" s="721"/>
      <c r="G151" s="722"/>
      <c r="H151" s="704"/>
      <c r="I151" s="705"/>
      <c r="J151" s="706"/>
      <c r="K151" s="707"/>
      <c r="L151" s="797">
        <v>22</v>
      </c>
      <c r="M151" s="721" t="s">
        <v>115</v>
      </c>
      <c r="N151" s="798"/>
      <c r="O151" s="704">
        <f>L151*190000</f>
        <v>4180000</v>
      </c>
      <c r="P151" s="667">
        <f t="shared" si="98"/>
        <v>0.18667522931354874</v>
      </c>
      <c r="Q151" s="683"/>
      <c r="R151" s="669"/>
      <c r="S151" s="669"/>
      <c r="T151" s="669"/>
      <c r="U151" s="669"/>
      <c r="V151" s="670">
        <f>360000+180000+700000+600000+180000+180000+180000+180000+180000</f>
        <v>2740000</v>
      </c>
      <c r="W151" s="683">
        <f t="shared" si="99"/>
        <v>65.550239234449762</v>
      </c>
      <c r="X151" s="684">
        <f t="shared" si="100"/>
        <v>4.6821599453178395</v>
      </c>
      <c r="Y151" s="683">
        <f t="shared" si="101"/>
        <v>8.740432814749205E-3</v>
      </c>
      <c r="Z151" s="670"/>
      <c r="AA151" s="670">
        <f t="shared" si="102"/>
        <v>1440000</v>
      </c>
      <c r="AB151" s="709"/>
      <c r="AC151" s="588"/>
    </row>
    <row r="152" spans="1:29" x14ac:dyDescent="0.25">
      <c r="A152" s="924"/>
      <c r="B152" s="796" t="s">
        <v>82</v>
      </c>
      <c r="C152" s="721" t="s">
        <v>266</v>
      </c>
      <c r="D152" s="721"/>
      <c r="E152" s="721"/>
      <c r="F152" s="721"/>
      <c r="G152" s="722"/>
      <c r="H152" s="704"/>
      <c r="I152" s="705"/>
      <c r="J152" s="706"/>
      <c r="K152" s="707"/>
      <c r="L152" s="797">
        <v>1</v>
      </c>
      <c r="M152" s="721" t="s">
        <v>111</v>
      </c>
      <c r="N152" s="798"/>
      <c r="O152" s="704">
        <f>L152*9020000</f>
        <v>9020000</v>
      </c>
      <c r="P152" s="667">
        <f t="shared" si="98"/>
        <v>0.40282549483449992</v>
      </c>
      <c r="Q152" s="683"/>
      <c r="R152" s="669"/>
      <c r="S152" s="669"/>
      <c r="T152" s="669"/>
      <c r="U152" s="669"/>
      <c r="V152" s="670">
        <f>750000*7</f>
        <v>5250000</v>
      </c>
      <c r="W152" s="683">
        <f t="shared" si="99"/>
        <v>58.203991130820398</v>
      </c>
      <c r="X152" s="684">
        <f t="shared" si="100"/>
        <v>4.1574279379157426</v>
      </c>
      <c r="Y152" s="683">
        <f t="shared" si="101"/>
        <v>1.6747179663296835E-2</v>
      </c>
      <c r="Z152" s="670"/>
      <c r="AA152" s="670">
        <f t="shared" si="102"/>
        <v>3770000</v>
      </c>
      <c r="AB152" s="709"/>
      <c r="AC152" s="588"/>
    </row>
    <row r="153" spans="1:29" x14ac:dyDescent="0.25">
      <c r="A153" s="922"/>
      <c r="B153" s="870" t="s">
        <v>82</v>
      </c>
      <c r="C153" s="872" t="s">
        <v>149</v>
      </c>
      <c r="D153" s="872"/>
      <c r="E153" s="872"/>
      <c r="F153" s="872"/>
      <c r="G153" s="873"/>
      <c r="H153" s="704"/>
      <c r="I153" s="705"/>
      <c r="J153" s="706"/>
      <c r="K153" s="707"/>
      <c r="L153" s="714">
        <v>12</v>
      </c>
      <c r="M153" s="703" t="s">
        <v>88</v>
      </c>
      <c r="N153" s="864"/>
      <c r="O153" s="833">
        <f>L153*2200000</f>
        <v>26400000</v>
      </c>
      <c r="P153" s="667">
        <f t="shared" si="98"/>
        <v>1.1790014482960973</v>
      </c>
      <c r="Q153" s="683"/>
      <c r="R153" s="669"/>
      <c r="S153" s="669"/>
      <c r="T153" s="669"/>
      <c r="U153" s="669"/>
      <c r="V153" s="670">
        <f>1023700*5</f>
        <v>5118500</v>
      </c>
      <c r="W153" s="683">
        <f t="shared" si="99"/>
        <v>19.388257575757574</v>
      </c>
      <c r="X153" s="684">
        <f t="shared" si="100"/>
        <v>1.3848755411255409</v>
      </c>
      <c r="Y153" s="683">
        <f t="shared" si="101"/>
        <v>1.6327702686968541E-2</v>
      </c>
      <c r="Z153" s="670"/>
      <c r="AA153" s="670">
        <f t="shared" si="102"/>
        <v>21281500</v>
      </c>
      <c r="AB153" s="709"/>
      <c r="AC153" s="588"/>
    </row>
    <row r="154" spans="1:29" x14ac:dyDescent="0.25">
      <c r="A154" s="922"/>
      <c r="B154" s="925" t="s">
        <v>82</v>
      </c>
      <c r="C154" s="926" t="s">
        <v>265</v>
      </c>
      <c r="D154" s="926"/>
      <c r="E154" s="926"/>
      <c r="F154" s="926"/>
      <c r="G154" s="927"/>
      <c r="H154" s="660"/>
      <c r="I154" s="661"/>
      <c r="J154" s="662"/>
      <c r="K154" s="663"/>
      <c r="L154" s="781">
        <v>1</v>
      </c>
      <c r="M154" s="782" t="s">
        <v>83</v>
      </c>
      <c r="N154" s="749"/>
      <c r="O154" s="660">
        <f>L154*3792000</f>
        <v>3792000</v>
      </c>
      <c r="P154" s="667">
        <f t="shared" si="98"/>
        <v>0.16934748075525763</v>
      </c>
      <c r="Q154" s="683"/>
      <c r="R154" s="669"/>
      <c r="S154" s="669"/>
      <c r="T154" s="669"/>
      <c r="U154" s="669"/>
      <c r="V154" s="670">
        <v>0</v>
      </c>
      <c r="W154" s="683">
        <f t="shared" si="99"/>
        <v>0</v>
      </c>
      <c r="X154" s="684">
        <f t="shared" ref="X154" si="103">W154</f>
        <v>0</v>
      </c>
      <c r="Y154" s="683">
        <f t="shared" si="101"/>
        <v>0</v>
      </c>
      <c r="Z154" s="670"/>
      <c r="AA154" s="670">
        <f t="shared" si="102"/>
        <v>3792000</v>
      </c>
      <c r="AB154" s="668"/>
      <c r="AC154" s="588"/>
    </row>
    <row r="155" spans="1:29" x14ac:dyDescent="0.25">
      <c r="A155" s="715"/>
      <c r="B155" s="676"/>
      <c r="C155" s="702"/>
      <c r="D155" s="702"/>
      <c r="E155" s="703"/>
      <c r="F155" s="703"/>
      <c r="G155" s="763"/>
      <c r="H155" s="704"/>
      <c r="I155" s="705"/>
      <c r="J155" s="706"/>
      <c r="K155" s="707"/>
      <c r="L155" s="714"/>
      <c r="M155" s="703"/>
      <c r="N155" s="715"/>
      <c r="O155" s="704"/>
      <c r="P155" s="710"/>
      <c r="Q155" s="709"/>
      <c r="R155" s="711"/>
      <c r="S155" s="711"/>
      <c r="T155" s="711"/>
      <c r="U155" s="711"/>
      <c r="V155" s="712"/>
      <c r="W155" s="709"/>
      <c r="X155" s="709"/>
      <c r="Y155" s="709"/>
      <c r="Z155" s="712"/>
      <c r="AA155" s="712"/>
      <c r="AB155" s="709"/>
      <c r="AC155" s="588"/>
    </row>
    <row r="156" spans="1:29" x14ac:dyDescent="0.25">
      <c r="A156" s="750">
        <v>521114</v>
      </c>
      <c r="B156" s="918" t="s">
        <v>150</v>
      </c>
      <c r="C156" s="702"/>
      <c r="D156" s="702"/>
      <c r="E156" s="702"/>
      <c r="F156" s="702"/>
      <c r="G156" s="713"/>
      <c r="H156" s="788"/>
      <c r="I156" s="753"/>
      <c r="J156" s="752"/>
      <c r="K156" s="789"/>
      <c r="L156" s="919"/>
      <c r="M156" s="746"/>
      <c r="N156" s="920"/>
      <c r="O156" s="921"/>
      <c r="P156" s="710"/>
      <c r="Q156" s="792"/>
      <c r="R156" s="793"/>
      <c r="S156" s="793"/>
      <c r="T156" s="793"/>
      <c r="U156" s="793"/>
      <c r="V156" s="794"/>
      <c r="W156" s="792"/>
      <c r="X156" s="761"/>
      <c r="Y156" s="795"/>
      <c r="Z156" s="794"/>
      <c r="AA156" s="794"/>
      <c r="AB156" s="709"/>
      <c r="AC156" s="588"/>
    </row>
    <row r="157" spans="1:29" x14ac:dyDescent="0.25">
      <c r="A157" s="922"/>
      <c r="B157" s="923" t="s">
        <v>82</v>
      </c>
      <c r="C157" s="872" t="s">
        <v>151</v>
      </c>
      <c r="D157" s="872"/>
      <c r="E157" s="872"/>
      <c r="F157" s="872"/>
      <c r="G157" s="873"/>
      <c r="H157" s="704"/>
      <c r="I157" s="705"/>
      <c r="J157" s="706"/>
      <c r="K157" s="707"/>
      <c r="L157" s="714">
        <v>12</v>
      </c>
      <c r="M157" s="703" t="s">
        <v>88</v>
      </c>
      <c r="N157" s="864"/>
      <c r="O157" s="704">
        <f>L157*715000</f>
        <v>8580000</v>
      </c>
      <c r="P157" s="667">
        <f t="shared" ref="P157" si="104">+O157/$O$184*100</f>
        <v>0.38317547069623159</v>
      </c>
      <c r="Q157" s="683"/>
      <c r="R157" s="669"/>
      <c r="S157" s="669"/>
      <c r="T157" s="669"/>
      <c r="U157" s="669"/>
      <c r="V157" s="670">
        <f>715000*7</f>
        <v>5005000</v>
      </c>
      <c r="W157" s="683">
        <f t="shared" ref="W157" si="105">+V157/O157*100</f>
        <v>58.333333333333336</v>
      </c>
      <c r="X157" s="684">
        <f t="shared" ref="X157" si="106">1/14*W157</f>
        <v>4.166666666666667</v>
      </c>
      <c r="Y157" s="683">
        <f t="shared" ref="Y157" si="107">X157*P157/100</f>
        <v>1.5965644612342983E-2</v>
      </c>
      <c r="Z157" s="670"/>
      <c r="AA157" s="670">
        <f t="shared" ref="AA157" si="108">+O157-V157</f>
        <v>3575000</v>
      </c>
      <c r="AB157" s="668"/>
      <c r="AC157" s="588"/>
    </row>
    <row r="158" spans="1:29" x14ac:dyDescent="0.25">
      <c r="A158" s="922"/>
      <c r="B158" s="870"/>
      <c r="C158" s="872"/>
      <c r="D158" s="872"/>
      <c r="E158" s="872"/>
      <c r="F158" s="872"/>
      <c r="G158" s="873"/>
      <c r="H158" s="704"/>
      <c r="I158" s="705"/>
      <c r="J158" s="706"/>
      <c r="K158" s="707"/>
      <c r="L158" s="714"/>
      <c r="M158" s="703"/>
      <c r="N158" s="864"/>
      <c r="O158" s="704"/>
      <c r="P158" s="710"/>
      <c r="Q158" s="799"/>
      <c r="R158" s="800"/>
      <c r="S158" s="800"/>
      <c r="T158" s="800"/>
      <c r="U158" s="800"/>
      <c r="V158" s="712"/>
      <c r="W158" s="799"/>
      <c r="X158" s="684"/>
      <c r="Y158" s="801"/>
      <c r="Z158" s="712"/>
      <c r="AA158" s="712"/>
      <c r="AB158" s="709"/>
      <c r="AC158" s="588"/>
    </row>
    <row r="159" spans="1:29" x14ac:dyDescent="0.25">
      <c r="A159" s="750">
        <v>521115</v>
      </c>
      <c r="B159" s="918" t="s">
        <v>152</v>
      </c>
      <c r="C159" s="834"/>
      <c r="D159" s="834"/>
      <c r="E159" s="834"/>
      <c r="F159" s="834"/>
      <c r="G159" s="928"/>
      <c r="H159" s="704"/>
      <c r="I159" s="705"/>
      <c r="J159" s="706"/>
      <c r="K159" s="707"/>
      <c r="L159" s="797"/>
      <c r="M159" s="721"/>
      <c r="N159" s="920"/>
      <c r="O159" s="804"/>
      <c r="P159" s="710"/>
      <c r="Q159" s="792"/>
      <c r="R159" s="793"/>
      <c r="S159" s="793"/>
      <c r="T159" s="793"/>
      <c r="U159" s="793"/>
      <c r="V159" s="794"/>
      <c r="W159" s="792"/>
      <c r="X159" s="761"/>
      <c r="Y159" s="795"/>
      <c r="Z159" s="794"/>
      <c r="AA159" s="794"/>
      <c r="AB159" s="762"/>
      <c r="AC159" s="588"/>
    </row>
    <row r="160" spans="1:29" x14ac:dyDescent="0.25">
      <c r="A160" s="922"/>
      <c r="B160" s="701"/>
      <c r="C160" s="872" t="s">
        <v>153</v>
      </c>
      <c r="D160" s="872"/>
      <c r="E160" s="872"/>
      <c r="F160" s="872"/>
      <c r="G160" s="873"/>
      <c r="H160" s="704"/>
      <c r="I160" s="705"/>
      <c r="J160" s="706"/>
      <c r="K160" s="707"/>
      <c r="L160" s="714"/>
      <c r="M160" s="703"/>
      <c r="N160" s="864"/>
      <c r="O160" s="788"/>
      <c r="P160" s="710"/>
      <c r="Q160" s="799"/>
      <c r="R160" s="800"/>
      <c r="S160" s="800"/>
      <c r="T160" s="800"/>
      <c r="U160" s="800"/>
      <c r="V160" s="712"/>
      <c r="W160" s="799"/>
      <c r="X160" s="828"/>
      <c r="Y160" s="801"/>
      <c r="Z160" s="712"/>
      <c r="AA160" s="712"/>
      <c r="AB160" s="709"/>
      <c r="AC160" s="588"/>
    </row>
    <row r="161" spans="1:29" x14ac:dyDescent="0.25">
      <c r="A161" s="922"/>
      <c r="B161" s="929" t="s">
        <v>82</v>
      </c>
      <c r="C161" s="872" t="s">
        <v>154</v>
      </c>
      <c r="D161" s="703"/>
      <c r="E161" s="872"/>
      <c r="F161" s="872"/>
      <c r="G161" s="872"/>
      <c r="H161" s="704"/>
      <c r="I161" s="705"/>
      <c r="J161" s="706"/>
      <c r="K161" s="707"/>
      <c r="L161" s="714">
        <v>12</v>
      </c>
      <c r="M161" s="703" t="s">
        <v>145</v>
      </c>
      <c r="N161" s="864"/>
      <c r="O161" s="704">
        <f>L161*900000</f>
        <v>10800000</v>
      </c>
      <c r="P161" s="667">
        <f t="shared" ref="P161:P166" si="109">+O161/$O$184*100</f>
        <v>0.48231877430294889</v>
      </c>
      <c r="Q161" s="683"/>
      <c r="R161" s="669"/>
      <c r="S161" s="669"/>
      <c r="T161" s="669"/>
      <c r="U161" s="669"/>
      <c r="V161" s="670">
        <f>O161/12*7</f>
        <v>6300000</v>
      </c>
      <c r="W161" s="683">
        <f t="shared" ref="W161:W166" si="110">+V161/O161*100</f>
        <v>58.333333333333336</v>
      </c>
      <c r="X161" s="684">
        <f t="shared" ref="X161:X166" si="111">1/14*W161</f>
        <v>4.166666666666667</v>
      </c>
      <c r="Y161" s="683">
        <f t="shared" ref="Y161:Y166" si="112">X161*P161/100</f>
        <v>2.0096615595956203E-2</v>
      </c>
      <c r="Z161" s="670"/>
      <c r="AA161" s="670">
        <f t="shared" ref="AA161:AA166" si="113">+O161-V161</f>
        <v>4500000</v>
      </c>
      <c r="AB161" s="668"/>
      <c r="AC161" s="588"/>
    </row>
    <row r="162" spans="1:29" x14ac:dyDescent="0.25">
      <c r="A162" s="922"/>
      <c r="B162" s="929" t="s">
        <v>82</v>
      </c>
      <c r="C162" s="872" t="s">
        <v>155</v>
      </c>
      <c r="D162" s="703"/>
      <c r="E162" s="872"/>
      <c r="F162" s="872"/>
      <c r="G162" s="872"/>
      <c r="H162" s="704"/>
      <c r="I162" s="705"/>
      <c r="J162" s="706"/>
      <c r="K162" s="707"/>
      <c r="L162" s="714">
        <v>12</v>
      </c>
      <c r="M162" s="703" t="s">
        <v>145</v>
      </c>
      <c r="N162" s="864"/>
      <c r="O162" s="704">
        <f>L162*700000</f>
        <v>8400000</v>
      </c>
      <c r="P162" s="667">
        <f t="shared" si="109"/>
        <v>0.37513682445784913</v>
      </c>
      <c r="Q162" s="683"/>
      <c r="R162" s="669"/>
      <c r="S162" s="669"/>
      <c r="T162" s="669"/>
      <c r="U162" s="669"/>
      <c r="V162" s="670">
        <f>O162/12*7</f>
        <v>4900000</v>
      </c>
      <c r="W162" s="683">
        <f t="shared" si="110"/>
        <v>58.333333333333336</v>
      </c>
      <c r="X162" s="684">
        <f t="shared" si="111"/>
        <v>4.166666666666667</v>
      </c>
      <c r="Y162" s="683">
        <f t="shared" si="112"/>
        <v>1.5630701019077049E-2</v>
      </c>
      <c r="Z162" s="670"/>
      <c r="AA162" s="670">
        <f t="shared" si="113"/>
        <v>3500000</v>
      </c>
      <c r="AB162" s="709"/>
      <c r="AC162" s="588"/>
    </row>
    <row r="163" spans="1:29" x14ac:dyDescent="0.25">
      <c r="A163" s="922"/>
      <c r="B163" s="929" t="s">
        <v>82</v>
      </c>
      <c r="C163" s="703" t="s">
        <v>156</v>
      </c>
      <c r="D163" s="703"/>
      <c r="E163" s="872"/>
      <c r="F163" s="872"/>
      <c r="G163" s="872"/>
      <c r="H163" s="704"/>
      <c r="I163" s="705"/>
      <c r="J163" s="706"/>
      <c r="K163" s="707"/>
      <c r="L163" s="714">
        <v>3</v>
      </c>
      <c r="M163" s="703" t="s">
        <v>145</v>
      </c>
      <c r="N163" s="864"/>
      <c r="O163" s="704">
        <f>L163*400000</f>
        <v>1200000</v>
      </c>
      <c r="P163" s="667">
        <f t="shared" si="109"/>
        <v>5.3590974922549883E-2</v>
      </c>
      <c r="Q163" s="683"/>
      <c r="R163" s="669"/>
      <c r="S163" s="669"/>
      <c r="T163" s="669"/>
      <c r="U163" s="669"/>
      <c r="V163" s="670">
        <v>1200000</v>
      </c>
      <c r="W163" s="683">
        <f t="shared" si="110"/>
        <v>100</v>
      </c>
      <c r="X163" s="684">
        <f t="shared" si="111"/>
        <v>7.1428571428571423</v>
      </c>
      <c r="Y163" s="683">
        <f t="shared" si="112"/>
        <v>3.8279267801821343E-3</v>
      </c>
      <c r="Z163" s="670"/>
      <c r="AA163" s="670">
        <f t="shared" si="113"/>
        <v>0</v>
      </c>
      <c r="AB163" s="709"/>
      <c r="AC163" s="588"/>
    </row>
    <row r="164" spans="1:29" x14ac:dyDescent="0.25">
      <c r="A164" s="922"/>
      <c r="B164" s="929" t="s">
        <v>82</v>
      </c>
      <c r="C164" s="872" t="s">
        <v>157</v>
      </c>
      <c r="D164" s="703"/>
      <c r="E164" s="872"/>
      <c r="F164" s="872"/>
      <c r="G164" s="872"/>
      <c r="H164" s="704"/>
      <c r="I164" s="705"/>
      <c r="J164" s="706"/>
      <c r="K164" s="707"/>
      <c r="L164" s="714">
        <v>12</v>
      </c>
      <c r="M164" s="703" t="s">
        <v>145</v>
      </c>
      <c r="N164" s="864"/>
      <c r="O164" s="704">
        <f>L164*700000</f>
        <v>8400000</v>
      </c>
      <c r="P164" s="667">
        <f t="shared" si="109"/>
        <v>0.37513682445784913</v>
      </c>
      <c r="Q164" s="683"/>
      <c r="R164" s="669"/>
      <c r="S164" s="669"/>
      <c r="T164" s="669"/>
      <c r="U164" s="669"/>
      <c r="V164" s="670">
        <f>O164/12*7</f>
        <v>4900000</v>
      </c>
      <c r="W164" s="683">
        <f t="shared" si="110"/>
        <v>58.333333333333336</v>
      </c>
      <c r="X164" s="684">
        <f t="shared" si="111"/>
        <v>4.166666666666667</v>
      </c>
      <c r="Y164" s="683">
        <f t="shared" si="112"/>
        <v>1.5630701019077049E-2</v>
      </c>
      <c r="Z164" s="670"/>
      <c r="AA164" s="670">
        <f t="shared" si="113"/>
        <v>3500000</v>
      </c>
      <c r="AB164" s="709"/>
      <c r="AC164" s="588"/>
    </row>
    <row r="165" spans="1:29" x14ac:dyDescent="0.25">
      <c r="A165" s="922"/>
      <c r="B165" s="929" t="s">
        <v>82</v>
      </c>
      <c r="C165" s="872" t="s">
        <v>158</v>
      </c>
      <c r="D165" s="703"/>
      <c r="E165" s="872"/>
      <c r="F165" s="872"/>
      <c r="G165" s="872"/>
      <c r="H165" s="704"/>
      <c r="I165" s="705"/>
      <c r="J165" s="706"/>
      <c r="K165" s="707"/>
      <c r="L165" s="714">
        <v>12</v>
      </c>
      <c r="M165" s="703" t="s">
        <v>145</v>
      </c>
      <c r="N165" s="864"/>
      <c r="O165" s="704">
        <f>L165*650000</f>
        <v>7800000</v>
      </c>
      <c r="P165" s="667">
        <f t="shared" si="109"/>
        <v>0.34834133699657421</v>
      </c>
      <c r="Q165" s="683"/>
      <c r="R165" s="669"/>
      <c r="S165" s="669"/>
      <c r="T165" s="669"/>
      <c r="U165" s="669"/>
      <c r="V165" s="670">
        <f>O165/12*7</f>
        <v>4550000</v>
      </c>
      <c r="W165" s="683">
        <f t="shared" si="110"/>
        <v>58.333333333333336</v>
      </c>
      <c r="X165" s="684">
        <f t="shared" si="111"/>
        <v>4.166666666666667</v>
      </c>
      <c r="Y165" s="683">
        <f t="shared" si="112"/>
        <v>1.451422237485726E-2</v>
      </c>
      <c r="Z165" s="670"/>
      <c r="AA165" s="670">
        <f t="shared" si="113"/>
        <v>3250000</v>
      </c>
      <c r="AB165" s="709"/>
      <c r="AC165" s="588"/>
    </row>
    <row r="166" spans="1:29" x14ac:dyDescent="0.25">
      <c r="A166" s="922"/>
      <c r="B166" s="929" t="s">
        <v>82</v>
      </c>
      <c r="C166" s="872" t="s">
        <v>159</v>
      </c>
      <c r="D166" s="703"/>
      <c r="E166" s="872"/>
      <c r="F166" s="872"/>
      <c r="G166" s="873"/>
      <c r="H166" s="704"/>
      <c r="I166" s="705"/>
      <c r="J166" s="706"/>
      <c r="K166" s="707"/>
      <c r="L166" s="714">
        <v>24</v>
      </c>
      <c r="M166" s="703" t="s">
        <v>145</v>
      </c>
      <c r="N166" s="864"/>
      <c r="O166" s="704">
        <f>L166*300000</f>
        <v>7200000</v>
      </c>
      <c r="P166" s="667">
        <f t="shared" si="109"/>
        <v>0.32154584953529924</v>
      </c>
      <c r="Q166" s="683"/>
      <c r="R166" s="669"/>
      <c r="S166" s="669"/>
      <c r="T166" s="669"/>
      <c r="U166" s="669"/>
      <c r="V166" s="670">
        <f>O166/12*7</f>
        <v>4200000</v>
      </c>
      <c r="W166" s="683">
        <f t="shared" si="110"/>
        <v>58.333333333333336</v>
      </c>
      <c r="X166" s="684">
        <f t="shared" si="111"/>
        <v>4.166666666666667</v>
      </c>
      <c r="Y166" s="683">
        <f t="shared" si="112"/>
        <v>1.3397743730637471E-2</v>
      </c>
      <c r="Z166" s="670"/>
      <c r="AA166" s="670">
        <f t="shared" si="113"/>
        <v>3000000</v>
      </c>
      <c r="AB166" s="709"/>
      <c r="AC166" s="588"/>
    </row>
    <row r="167" spans="1:29" x14ac:dyDescent="0.25">
      <c r="A167" s="700"/>
      <c r="B167" s="701"/>
      <c r="C167" s="930" t="s">
        <v>160</v>
      </c>
      <c r="D167" s="930"/>
      <c r="E167" s="930"/>
      <c r="F167" s="930"/>
      <c r="G167" s="931"/>
      <c r="H167" s="704"/>
      <c r="I167" s="705"/>
      <c r="J167" s="706"/>
      <c r="K167" s="707"/>
      <c r="L167" s="790"/>
      <c r="M167" s="702"/>
      <c r="N167" s="867"/>
      <c r="O167" s="788"/>
      <c r="P167" s="710"/>
      <c r="Q167" s="799"/>
      <c r="R167" s="800"/>
      <c r="S167" s="800"/>
      <c r="T167" s="800"/>
      <c r="U167" s="800"/>
      <c r="V167" s="712"/>
      <c r="W167" s="799"/>
      <c r="X167" s="684"/>
      <c r="Y167" s="801"/>
      <c r="Z167" s="712"/>
      <c r="AA167" s="712"/>
      <c r="AB167" s="709"/>
      <c r="AC167" s="588"/>
    </row>
    <row r="168" spans="1:29" x14ac:dyDescent="0.25">
      <c r="A168" s="922"/>
      <c r="B168" s="929" t="s">
        <v>82</v>
      </c>
      <c r="C168" s="872" t="s">
        <v>161</v>
      </c>
      <c r="D168" s="703"/>
      <c r="E168" s="872"/>
      <c r="F168" s="872"/>
      <c r="G168" s="872"/>
      <c r="H168" s="704"/>
      <c r="I168" s="705"/>
      <c r="J168" s="706"/>
      <c r="K168" s="707"/>
      <c r="L168" s="714">
        <v>12</v>
      </c>
      <c r="M168" s="703" t="s">
        <v>145</v>
      </c>
      <c r="N168" s="864"/>
      <c r="O168" s="704">
        <f>L168*350000</f>
        <v>4200000</v>
      </c>
      <c r="P168" s="667">
        <f t="shared" ref="P168:P171" si="114">+O168/$O$184*100</f>
        <v>0.18756841222892456</v>
      </c>
      <c r="Q168" s="683"/>
      <c r="R168" s="669"/>
      <c r="S168" s="669"/>
      <c r="T168" s="669"/>
      <c r="U168" s="669"/>
      <c r="V168" s="670">
        <f>O168/12*7</f>
        <v>2450000</v>
      </c>
      <c r="W168" s="683">
        <f t="shared" ref="W168:W171" si="115">+V168/O168*100</f>
        <v>58.333333333333336</v>
      </c>
      <c r="X168" s="684">
        <f t="shared" ref="X168:X170" si="116">1/14*W168</f>
        <v>4.166666666666667</v>
      </c>
      <c r="Y168" s="683">
        <f t="shared" ref="Y168:Y171" si="117">X168*P168/100</f>
        <v>7.8153505095385246E-3</v>
      </c>
      <c r="Z168" s="670"/>
      <c r="AA168" s="670">
        <f t="shared" ref="AA168:AA171" si="118">+O168-V168</f>
        <v>1750000</v>
      </c>
      <c r="AB168" s="668"/>
      <c r="AC168" s="588"/>
    </row>
    <row r="169" spans="1:29" x14ac:dyDescent="0.25">
      <c r="A169" s="922"/>
      <c r="B169" s="929" t="s">
        <v>82</v>
      </c>
      <c r="C169" s="872" t="s">
        <v>162</v>
      </c>
      <c r="D169" s="703"/>
      <c r="E169" s="872"/>
      <c r="F169" s="872"/>
      <c r="G169" s="872"/>
      <c r="H169" s="704"/>
      <c r="I169" s="705"/>
      <c r="J169" s="706"/>
      <c r="K169" s="707"/>
      <c r="L169" s="714">
        <v>12</v>
      </c>
      <c r="M169" s="703" t="s">
        <v>145</v>
      </c>
      <c r="N169" s="864"/>
      <c r="O169" s="704">
        <f>L169*300000</f>
        <v>3600000</v>
      </c>
      <c r="P169" s="667">
        <f t="shared" si="114"/>
        <v>0.16077292476764962</v>
      </c>
      <c r="Q169" s="683"/>
      <c r="R169" s="669"/>
      <c r="S169" s="669"/>
      <c r="T169" s="669"/>
      <c r="U169" s="669"/>
      <c r="V169" s="670">
        <f>O169/12*7</f>
        <v>2100000</v>
      </c>
      <c r="W169" s="683">
        <f t="shared" si="115"/>
        <v>58.333333333333336</v>
      </c>
      <c r="X169" s="684">
        <f t="shared" si="116"/>
        <v>4.166666666666667</v>
      </c>
      <c r="Y169" s="683">
        <f t="shared" si="117"/>
        <v>6.6988718653187354E-3</v>
      </c>
      <c r="Z169" s="670"/>
      <c r="AA169" s="670">
        <f t="shared" si="118"/>
        <v>1500000</v>
      </c>
      <c r="AB169" s="709"/>
      <c r="AC169" s="588"/>
    </row>
    <row r="170" spans="1:29" x14ac:dyDescent="0.25">
      <c r="A170" s="922"/>
      <c r="B170" s="929" t="s">
        <v>82</v>
      </c>
      <c r="C170" s="872" t="s">
        <v>163</v>
      </c>
      <c r="D170" s="703"/>
      <c r="E170" s="872"/>
      <c r="F170" s="872"/>
      <c r="G170" s="872"/>
      <c r="H170" s="704"/>
      <c r="I170" s="705"/>
      <c r="J170" s="706"/>
      <c r="K170" s="707"/>
      <c r="L170" s="714">
        <v>12</v>
      </c>
      <c r="M170" s="703" t="s">
        <v>145</v>
      </c>
      <c r="N170" s="864"/>
      <c r="O170" s="704">
        <f>L170*250000</f>
        <v>3000000</v>
      </c>
      <c r="P170" s="667">
        <f t="shared" si="114"/>
        <v>0.13397743730637471</v>
      </c>
      <c r="Q170" s="683"/>
      <c r="R170" s="669"/>
      <c r="S170" s="669"/>
      <c r="T170" s="669"/>
      <c r="U170" s="669"/>
      <c r="V170" s="670">
        <f>O170/12*7</f>
        <v>1750000</v>
      </c>
      <c r="W170" s="683">
        <f t="shared" si="115"/>
        <v>58.333333333333336</v>
      </c>
      <c r="X170" s="684">
        <f t="shared" si="116"/>
        <v>4.166666666666667</v>
      </c>
      <c r="Y170" s="683">
        <f t="shared" si="117"/>
        <v>5.582393221098947E-3</v>
      </c>
      <c r="Z170" s="670"/>
      <c r="AA170" s="670">
        <f t="shared" si="118"/>
        <v>1250000</v>
      </c>
      <c r="AB170" s="709"/>
      <c r="AC170" s="588"/>
    </row>
    <row r="171" spans="1:29" x14ac:dyDescent="0.25">
      <c r="A171" s="922"/>
      <c r="B171" s="929" t="s">
        <v>82</v>
      </c>
      <c r="C171" s="872" t="s">
        <v>164</v>
      </c>
      <c r="D171" s="703"/>
      <c r="E171" s="872"/>
      <c r="F171" s="872"/>
      <c r="G171" s="872"/>
      <c r="H171" s="704"/>
      <c r="I171" s="705"/>
      <c r="J171" s="706"/>
      <c r="K171" s="707"/>
      <c r="L171" s="714">
        <v>48</v>
      </c>
      <c r="M171" s="703" t="s">
        <v>145</v>
      </c>
      <c r="N171" s="864"/>
      <c r="O171" s="704">
        <f>L171*200000</f>
        <v>9600000</v>
      </c>
      <c r="P171" s="667">
        <f t="shared" si="114"/>
        <v>0.42872779938039907</v>
      </c>
      <c r="Q171" s="683"/>
      <c r="R171" s="669"/>
      <c r="S171" s="669"/>
      <c r="T171" s="669"/>
      <c r="U171" s="669"/>
      <c r="V171" s="670">
        <f>O171/12*7</f>
        <v>5600000</v>
      </c>
      <c r="W171" s="683">
        <f t="shared" si="115"/>
        <v>58.333333333333336</v>
      </c>
      <c r="X171" s="684">
        <f>1/14*W171</f>
        <v>4.166666666666667</v>
      </c>
      <c r="Y171" s="683">
        <f t="shared" si="117"/>
        <v>1.7863658307516631E-2</v>
      </c>
      <c r="Z171" s="670"/>
      <c r="AA171" s="670">
        <f t="shared" si="118"/>
        <v>4000000</v>
      </c>
      <c r="AB171" s="709"/>
      <c r="AC171" s="588"/>
    </row>
    <row r="172" spans="1:29" x14ac:dyDescent="0.25">
      <c r="A172" s="922"/>
      <c r="B172" s="929"/>
      <c r="C172" s="872"/>
      <c r="D172" s="703"/>
      <c r="E172" s="872"/>
      <c r="F172" s="872"/>
      <c r="G172" s="872"/>
      <c r="H172" s="704"/>
      <c r="I172" s="705"/>
      <c r="J172" s="706"/>
      <c r="K172" s="707"/>
      <c r="L172" s="714"/>
      <c r="M172" s="703"/>
      <c r="N172" s="864"/>
      <c r="O172" s="704"/>
      <c r="P172" s="710"/>
      <c r="Q172" s="799"/>
      <c r="R172" s="827"/>
      <c r="S172" s="827"/>
      <c r="T172" s="827"/>
      <c r="U172" s="827"/>
      <c r="V172" s="712"/>
      <c r="W172" s="799"/>
      <c r="X172" s="684"/>
      <c r="Y172" s="801"/>
      <c r="Z172" s="712"/>
      <c r="AA172" s="712"/>
      <c r="AB172" s="709"/>
      <c r="AC172" s="588"/>
    </row>
    <row r="173" spans="1:29" x14ac:dyDescent="0.25">
      <c r="A173" s="802">
        <v>521219</v>
      </c>
      <c r="B173" s="751" t="s">
        <v>165</v>
      </c>
      <c r="C173" s="702"/>
      <c r="D173" s="702"/>
      <c r="E173" s="702"/>
      <c r="F173" s="702"/>
      <c r="G173" s="713"/>
      <c r="H173" s="788"/>
      <c r="I173" s="753"/>
      <c r="J173" s="752"/>
      <c r="K173" s="789"/>
      <c r="L173" s="790"/>
      <c r="M173" s="702"/>
      <c r="N173" s="867"/>
      <c r="O173" s="788"/>
      <c r="P173" s="710"/>
      <c r="Q173" s="792"/>
      <c r="R173" s="793"/>
      <c r="S173" s="793"/>
      <c r="T173" s="793"/>
      <c r="U173" s="793"/>
      <c r="V173" s="794"/>
      <c r="W173" s="792"/>
      <c r="X173" s="684"/>
      <c r="Y173" s="795"/>
      <c r="Z173" s="794"/>
      <c r="AA173" s="794"/>
      <c r="AB173" s="762"/>
      <c r="AC173" s="588"/>
    </row>
    <row r="174" spans="1:29" x14ac:dyDescent="0.25">
      <c r="A174" s="922"/>
      <c r="B174" s="932" t="s">
        <v>82</v>
      </c>
      <c r="C174" s="933" t="s">
        <v>166</v>
      </c>
      <c r="D174" s="782"/>
      <c r="E174" s="782"/>
      <c r="F174" s="782"/>
      <c r="G174" s="832"/>
      <c r="H174" s="660"/>
      <c r="I174" s="661"/>
      <c r="J174" s="662"/>
      <c r="K174" s="663"/>
      <c r="L174" s="781">
        <v>1</v>
      </c>
      <c r="M174" s="782" t="s">
        <v>83</v>
      </c>
      <c r="N174" s="749"/>
      <c r="O174" s="660">
        <f>L174*4500000</f>
        <v>4500000</v>
      </c>
      <c r="P174" s="667">
        <f t="shared" ref="P174:P175" si="119">+O174/$O$184*100</f>
        <v>0.20096615595956205</v>
      </c>
      <c r="Q174" s="683"/>
      <c r="R174" s="669"/>
      <c r="S174" s="669"/>
      <c r="T174" s="669"/>
      <c r="U174" s="669"/>
      <c r="V174" s="670">
        <v>0</v>
      </c>
      <c r="W174" s="683">
        <f t="shared" ref="W174:W175" si="120">+V174/O174*100</f>
        <v>0</v>
      </c>
      <c r="X174" s="684">
        <f t="shared" ref="X174:X175" si="121">W174</f>
        <v>0</v>
      </c>
      <c r="Y174" s="683">
        <f t="shared" ref="Y174:Y175" si="122">X174*P174/100</f>
        <v>0</v>
      </c>
      <c r="Z174" s="670"/>
      <c r="AA174" s="670">
        <f t="shared" ref="AA174:AA175" si="123">+O174-V174</f>
        <v>4500000</v>
      </c>
      <c r="AB174" s="668"/>
      <c r="AC174" s="588"/>
    </row>
    <row r="175" spans="1:29" x14ac:dyDescent="0.25">
      <c r="A175" s="922"/>
      <c r="B175" s="934" t="s">
        <v>82</v>
      </c>
      <c r="C175" s="871" t="s">
        <v>167</v>
      </c>
      <c r="D175" s="703"/>
      <c r="E175" s="703"/>
      <c r="F175" s="703"/>
      <c r="G175" s="763"/>
      <c r="H175" s="704"/>
      <c r="I175" s="705"/>
      <c r="J175" s="706"/>
      <c r="K175" s="707"/>
      <c r="L175" s="714">
        <v>2</v>
      </c>
      <c r="M175" s="703" t="s">
        <v>147</v>
      </c>
      <c r="N175" s="864"/>
      <c r="O175" s="704">
        <f>L175*3000000</f>
        <v>6000000</v>
      </c>
      <c r="P175" s="667">
        <f t="shared" si="119"/>
        <v>0.26795487461274942</v>
      </c>
      <c r="Q175" s="683"/>
      <c r="R175" s="669"/>
      <c r="S175" s="669"/>
      <c r="T175" s="669"/>
      <c r="U175" s="669"/>
      <c r="V175" s="670">
        <v>0</v>
      </c>
      <c r="W175" s="683">
        <f t="shared" si="120"/>
        <v>0</v>
      </c>
      <c r="X175" s="684">
        <f t="shared" si="121"/>
        <v>0</v>
      </c>
      <c r="Y175" s="683">
        <f t="shared" si="122"/>
        <v>0</v>
      </c>
      <c r="Z175" s="670"/>
      <c r="AA175" s="670">
        <f t="shared" si="123"/>
        <v>6000000</v>
      </c>
      <c r="AB175" s="709"/>
      <c r="AC175" s="588"/>
    </row>
    <row r="176" spans="1:29" x14ac:dyDescent="0.25">
      <c r="A176" s="922"/>
      <c r="B176" s="934"/>
      <c r="C176" s="871"/>
      <c r="D176" s="703"/>
      <c r="E176" s="703"/>
      <c r="F176" s="703"/>
      <c r="G176" s="763"/>
      <c r="H176" s="704"/>
      <c r="I176" s="705"/>
      <c r="J176" s="706"/>
      <c r="K176" s="707"/>
      <c r="L176" s="714"/>
      <c r="M176" s="703"/>
      <c r="N176" s="864"/>
      <c r="O176" s="704"/>
      <c r="P176" s="710"/>
      <c r="Q176" s="799"/>
      <c r="R176" s="827"/>
      <c r="S176" s="827"/>
      <c r="T176" s="827"/>
      <c r="U176" s="827"/>
      <c r="V176" s="712"/>
      <c r="W176" s="799"/>
      <c r="X176" s="684"/>
      <c r="Y176" s="801"/>
      <c r="Z176" s="712"/>
      <c r="AA176" s="712"/>
      <c r="AB176" s="709"/>
      <c r="AC176" s="588"/>
    </row>
    <row r="177" spans="1:29" x14ac:dyDescent="0.25">
      <c r="A177" s="802">
        <v>522141</v>
      </c>
      <c r="B177" s="935" t="s">
        <v>168</v>
      </c>
      <c r="C177" s="936"/>
      <c r="D177" s="936"/>
      <c r="E177" s="936"/>
      <c r="F177" s="936"/>
      <c r="G177" s="937"/>
      <c r="H177" s="704"/>
      <c r="I177" s="705"/>
      <c r="J177" s="706"/>
      <c r="K177" s="707"/>
      <c r="L177" s="714"/>
      <c r="M177" s="703"/>
      <c r="N177" s="864"/>
      <c r="O177" s="704"/>
      <c r="P177" s="710"/>
      <c r="Q177" s="799"/>
      <c r="R177" s="827"/>
      <c r="S177" s="827"/>
      <c r="T177" s="827"/>
      <c r="U177" s="827"/>
      <c r="V177" s="712"/>
      <c r="W177" s="799"/>
      <c r="X177" s="684"/>
      <c r="Y177" s="801"/>
      <c r="Z177" s="712"/>
      <c r="AA177" s="712"/>
      <c r="AB177" s="709"/>
      <c r="AC177" s="588"/>
    </row>
    <row r="178" spans="1:29" x14ac:dyDescent="0.25">
      <c r="A178" s="922"/>
      <c r="B178" s="934" t="s">
        <v>82</v>
      </c>
      <c r="C178" s="871" t="s">
        <v>169</v>
      </c>
      <c r="D178" s="703"/>
      <c r="E178" s="703"/>
      <c r="F178" s="703"/>
      <c r="G178" s="763"/>
      <c r="H178" s="704"/>
      <c r="I178" s="705"/>
      <c r="J178" s="706"/>
      <c r="K178" s="707"/>
      <c r="L178" s="714">
        <v>1</v>
      </c>
      <c r="M178" s="703" t="s">
        <v>83</v>
      </c>
      <c r="N178" s="864"/>
      <c r="O178" s="704">
        <f>L178*4000000</f>
        <v>4000000</v>
      </c>
      <c r="P178" s="667">
        <f t="shared" ref="P178" si="124">+O178/$O$184*100</f>
        <v>0.17863658307516625</v>
      </c>
      <c r="Q178" s="683"/>
      <c r="R178" s="669"/>
      <c r="S178" s="669"/>
      <c r="T178" s="669"/>
      <c r="U178" s="669"/>
      <c r="V178" s="670">
        <v>0</v>
      </c>
      <c r="W178" s="683">
        <f t="shared" ref="W178" si="125">+V178/O178*100</f>
        <v>0</v>
      </c>
      <c r="X178" s="684">
        <f t="shared" ref="X178" si="126">W178</f>
        <v>0</v>
      </c>
      <c r="Y178" s="683">
        <f t="shared" ref="Y178" si="127">X178*P178/100</f>
        <v>0</v>
      </c>
      <c r="Z178" s="670"/>
      <c r="AA178" s="670">
        <f t="shared" ref="AA178" si="128">+O178-V178</f>
        <v>4000000</v>
      </c>
      <c r="AB178" s="668"/>
      <c r="AC178" s="588"/>
    </row>
    <row r="179" spans="1:29" x14ac:dyDescent="0.25">
      <c r="A179" s="922"/>
      <c r="B179" s="934"/>
      <c r="C179" s="871"/>
      <c r="D179" s="703"/>
      <c r="E179" s="703"/>
      <c r="F179" s="703"/>
      <c r="G179" s="763"/>
      <c r="H179" s="704"/>
      <c r="I179" s="705"/>
      <c r="J179" s="706"/>
      <c r="K179" s="707"/>
      <c r="L179" s="714"/>
      <c r="M179" s="703"/>
      <c r="N179" s="864"/>
      <c r="O179" s="704"/>
      <c r="P179" s="710"/>
      <c r="Q179" s="799"/>
      <c r="R179" s="827"/>
      <c r="S179" s="827"/>
      <c r="T179" s="827"/>
      <c r="U179" s="827"/>
      <c r="V179" s="712"/>
      <c r="W179" s="799"/>
      <c r="X179" s="684"/>
      <c r="Y179" s="801"/>
      <c r="Z179" s="712"/>
      <c r="AA179" s="712"/>
      <c r="AB179" s="709"/>
      <c r="AC179" s="588"/>
    </row>
    <row r="180" spans="1:29" x14ac:dyDescent="0.25">
      <c r="A180" s="922">
        <v>524111</v>
      </c>
      <c r="B180" s="938" t="s">
        <v>85</v>
      </c>
      <c r="C180" s="871"/>
      <c r="D180" s="703"/>
      <c r="E180" s="703"/>
      <c r="F180" s="703"/>
      <c r="G180" s="763"/>
      <c r="H180" s="704"/>
      <c r="I180" s="705"/>
      <c r="J180" s="706"/>
      <c r="K180" s="707"/>
      <c r="L180" s="714"/>
      <c r="M180" s="703"/>
      <c r="N180" s="864"/>
      <c r="O180" s="704"/>
      <c r="P180" s="710"/>
      <c r="Q180" s="799"/>
      <c r="R180" s="827"/>
      <c r="S180" s="827"/>
      <c r="T180" s="827"/>
      <c r="U180" s="827"/>
      <c r="V180" s="712"/>
      <c r="W180" s="799"/>
      <c r="X180" s="684"/>
      <c r="Y180" s="801"/>
      <c r="Z180" s="712"/>
      <c r="AA180" s="712"/>
      <c r="AB180" s="709"/>
      <c r="AC180" s="588"/>
    </row>
    <row r="181" spans="1:29" x14ac:dyDescent="0.25">
      <c r="A181" s="922"/>
      <c r="B181" s="923" t="s">
        <v>82</v>
      </c>
      <c r="C181" s="872" t="s">
        <v>102</v>
      </c>
      <c r="D181" s="872"/>
      <c r="E181" s="872"/>
      <c r="F181" s="872"/>
      <c r="G181" s="873"/>
      <c r="H181" s="704"/>
      <c r="I181" s="705"/>
      <c r="J181" s="706"/>
      <c r="K181" s="707"/>
      <c r="L181" s="714">
        <v>1</v>
      </c>
      <c r="M181" s="703" t="s">
        <v>83</v>
      </c>
      <c r="N181" s="864"/>
      <c r="O181" s="704">
        <f>L181*40500000</f>
        <v>40500000</v>
      </c>
      <c r="P181" s="667">
        <f t="shared" ref="P181" si="129">+O181/$O$184*100</f>
        <v>1.8086954036360583</v>
      </c>
      <c r="Q181" s="683"/>
      <c r="R181" s="669"/>
      <c r="S181" s="669"/>
      <c r="T181" s="669"/>
      <c r="U181" s="669"/>
      <c r="V181" s="670">
        <v>30502000</v>
      </c>
      <c r="W181" s="683">
        <f t="shared" ref="W181" si="130">+V181/O181*100</f>
        <v>75.313580246913574</v>
      </c>
      <c r="X181" s="684">
        <f>4/12*W181</f>
        <v>25.104526748971189</v>
      </c>
      <c r="Y181" s="683">
        <f t="shared" ref="Y181" si="131">X181*P181/100</f>
        <v>0.45406442141322662</v>
      </c>
      <c r="Z181" s="670"/>
      <c r="AA181" s="670">
        <f t="shared" ref="AA181" si="132">+O181-V181</f>
        <v>9998000</v>
      </c>
      <c r="AB181" s="668"/>
      <c r="AC181" s="588"/>
    </row>
    <row r="182" spans="1:29" x14ac:dyDescent="0.25">
      <c r="A182" s="939"/>
      <c r="B182" s="940"/>
      <c r="C182" s="941"/>
      <c r="D182" s="831"/>
      <c r="E182" s="831"/>
      <c r="F182" s="831"/>
      <c r="G182" s="756"/>
      <c r="H182" s="755"/>
      <c r="I182" s="942"/>
      <c r="J182" s="943"/>
      <c r="K182" s="944"/>
      <c r="L182" s="945"/>
      <c r="M182" s="831"/>
      <c r="N182" s="946"/>
      <c r="O182" s="755"/>
      <c r="P182" s="947"/>
      <c r="Q182" s="758"/>
      <c r="R182" s="948"/>
      <c r="S182" s="948"/>
      <c r="T182" s="948"/>
      <c r="U182" s="948"/>
      <c r="V182" s="760"/>
      <c r="W182" s="758"/>
      <c r="X182" s="761"/>
      <c r="Y182" s="949"/>
      <c r="Z182" s="760"/>
      <c r="AA182" s="760"/>
      <c r="AB182" s="757"/>
      <c r="AC182" s="588"/>
    </row>
    <row r="183" spans="1:29" x14ac:dyDescent="0.25">
      <c r="A183" s="922"/>
      <c r="B183" s="950"/>
      <c r="C183" s="872"/>
      <c r="D183" s="703"/>
      <c r="E183" s="872"/>
      <c r="F183" s="872"/>
      <c r="G183" s="872"/>
      <c r="H183" s="704"/>
      <c r="I183" s="705"/>
      <c r="J183" s="706"/>
      <c r="K183" s="707"/>
      <c r="L183" s="714"/>
      <c r="M183" s="703"/>
      <c r="N183" s="864"/>
      <c r="O183" s="704"/>
      <c r="P183" s="710"/>
      <c r="Q183" s="799"/>
      <c r="R183" s="827"/>
      <c r="S183" s="827"/>
      <c r="T183" s="827"/>
      <c r="U183" s="827"/>
      <c r="V183" s="712"/>
      <c r="W183" s="799"/>
      <c r="X183" s="828"/>
      <c r="Y183" s="801"/>
      <c r="Z183" s="712"/>
      <c r="AA183" s="712"/>
      <c r="AB183" s="709"/>
      <c r="AC183" s="588"/>
    </row>
    <row r="184" spans="1:29" ht="15.75" thickBot="1" x14ac:dyDescent="0.3">
      <c r="A184" s="951"/>
      <c r="B184" s="952" t="s">
        <v>171</v>
      </c>
      <c r="C184" s="953"/>
      <c r="D184" s="954"/>
      <c r="E184" s="954"/>
      <c r="F184" s="954"/>
      <c r="G184" s="955"/>
      <c r="H184" s="956"/>
      <c r="I184" s="957"/>
      <c r="J184" s="958"/>
      <c r="K184" s="959"/>
      <c r="L184" s="960"/>
      <c r="M184" s="961"/>
      <c r="N184" s="962"/>
      <c r="O184" s="963">
        <f>SUM(O17:O183)</f>
        <v>2239183000</v>
      </c>
      <c r="P184" s="964">
        <f>SUM(P26:P183)</f>
        <v>100.00000000000001</v>
      </c>
      <c r="Q184" s="964">
        <f>SUM(Q66:Q183)</f>
        <v>0</v>
      </c>
      <c r="R184" s="965" t="s">
        <v>82</v>
      </c>
      <c r="S184" s="965" t="s">
        <v>82</v>
      </c>
      <c r="T184" s="965" t="s">
        <v>82</v>
      </c>
      <c r="U184" s="965" t="s">
        <v>82</v>
      </c>
      <c r="V184" s="966">
        <f>SUM(V17:V183)</f>
        <v>1190037567</v>
      </c>
      <c r="W184" s="964">
        <f>+V184/O184*100</f>
        <v>53.146061174991054</v>
      </c>
      <c r="X184" s="967">
        <f>SUM(X17:X183)</f>
        <v>2386.1970486326263</v>
      </c>
      <c r="Y184" s="967">
        <f>SUM(Y17:Y183)</f>
        <v>24.909973234710634</v>
      </c>
      <c r="Z184" s="966">
        <f>SUM(Z17:Z183)</f>
        <v>0</v>
      </c>
      <c r="AA184" s="966">
        <f>SUM(AA17:AA183)</f>
        <v>1049145433</v>
      </c>
      <c r="AB184" s="968"/>
      <c r="AC184" s="588"/>
    </row>
    <row r="185" spans="1:29" ht="15.75" thickTop="1" x14ac:dyDescent="0.25">
      <c r="A185" s="969"/>
      <c r="B185" s="970"/>
      <c r="C185" s="971"/>
      <c r="D185" s="972"/>
      <c r="E185" s="973"/>
      <c r="F185" s="973"/>
      <c r="G185" s="973"/>
      <c r="H185" s="974"/>
      <c r="I185" s="974"/>
      <c r="J185" s="974"/>
      <c r="K185" s="975"/>
      <c r="L185" s="972"/>
      <c r="M185" s="972"/>
      <c r="N185" s="972"/>
      <c r="O185" s="972"/>
      <c r="P185" s="976"/>
      <c r="Q185" s="972"/>
      <c r="R185" s="972"/>
      <c r="S185" s="972"/>
      <c r="T185" s="972"/>
      <c r="U185" s="972"/>
      <c r="V185" s="972"/>
      <c r="W185" s="972"/>
      <c r="X185" s="972"/>
      <c r="Y185" s="972"/>
      <c r="Z185" s="972"/>
      <c r="AA185" s="972"/>
      <c r="AB185" s="972"/>
      <c r="AC185" s="588"/>
    </row>
    <row r="186" spans="1:29" x14ac:dyDescent="0.25">
      <c r="A186" s="977"/>
      <c r="B186" s="978"/>
      <c r="C186" s="978"/>
      <c r="D186" s="979"/>
      <c r="E186" s="979"/>
      <c r="F186" s="979"/>
      <c r="G186" s="980"/>
      <c r="H186" s="980"/>
      <c r="I186" s="980"/>
      <c r="J186" s="980"/>
      <c r="K186" s="980"/>
      <c r="L186" s="972"/>
      <c r="M186" s="972"/>
      <c r="N186" s="972"/>
      <c r="O186" s="972"/>
      <c r="P186" s="976"/>
      <c r="Q186" s="972"/>
      <c r="R186" s="972"/>
      <c r="S186" s="972"/>
      <c r="T186" s="972"/>
      <c r="U186" s="972"/>
      <c r="V186" s="972"/>
      <c r="W186" s="972"/>
      <c r="X186" s="972"/>
      <c r="Y186" s="981" t="s">
        <v>276</v>
      </c>
      <c r="Z186" s="981"/>
      <c r="AA186" s="981"/>
      <c r="AB186" s="981"/>
      <c r="AC186" s="588"/>
    </row>
    <row r="187" spans="1:29" x14ac:dyDescent="0.25">
      <c r="A187" s="977"/>
      <c r="B187" s="978"/>
      <c r="C187" s="978"/>
      <c r="D187" s="979"/>
      <c r="E187" s="979"/>
      <c r="F187" s="979"/>
      <c r="G187" s="982"/>
      <c r="H187" s="983"/>
      <c r="I187" s="983"/>
      <c r="J187" s="983"/>
      <c r="K187" s="983"/>
      <c r="L187" s="972"/>
      <c r="M187" s="972"/>
      <c r="N187" s="984"/>
      <c r="O187" s="972"/>
      <c r="P187" s="976"/>
      <c r="Q187" s="972"/>
      <c r="R187" s="972"/>
      <c r="S187" s="972"/>
      <c r="T187" s="972"/>
      <c r="U187" s="972"/>
      <c r="V187" s="972"/>
      <c r="W187" s="972"/>
      <c r="X187" s="972"/>
      <c r="Y187" s="972"/>
      <c r="Z187" s="972"/>
      <c r="AA187" s="972"/>
      <c r="AB187" s="972"/>
      <c r="AC187" s="588"/>
    </row>
    <row r="188" spans="1:29" x14ac:dyDescent="0.25">
      <c r="A188" s="977"/>
      <c r="B188" s="978"/>
      <c r="C188" s="985"/>
      <c r="D188" s="979"/>
      <c r="E188" s="979"/>
      <c r="F188" s="979"/>
      <c r="G188" s="982"/>
      <c r="H188" s="982"/>
      <c r="I188" s="982"/>
      <c r="J188" s="982"/>
      <c r="K188" s="982"/>
      <c r="L188" s="972"/>
      <c r="M188" s="972"/>
      <c r="N188" s="984"/>
      <c r="O188" s="972"/>
      <c r="P188" s="976"/>
      <c r="Q188" s="972"/>
      <c r="R188" s="972"/>
      <c r="S188" s="972"/>
      <c r="T188" s="972"/>
      <c r="U188" s="972"/>
      <c r="V188" s="972"/>
      <c r="W188" s="972"/>
      <c r="X188" s="972"/>
      <c r="Y188" s="981" t="s">
        <v>174</v>
      </c>
      <c r="Z188" s="981"/>
      <c r="AA188" s="981"/>
      <c r="AB188" s="981"/>
      <c r="AC188" s="588"/>
    </row>
    <row r="189" spans="1:29" x14ac:dyDescent="0.25">
      <c r="A189" s="977"/>
      <c r="B189" s="978"/>
      <c r="C189" s="978"/>
      <c r="D189" s="979"/>
      <c r="E189" s="979"/>
      <c r="F189" s="979"/>
      <c r="G189" s="986"/>
      <c r="H189" s="986"/>
      <c r="I189" s="986"/>
      <c r="J189" s="986"/>
      <c r="K189" s="986"/>
      <c r="L189" s="972"/>
      <c r="M189" s="972"/>
      <c r="N189" s="987"/>
      <c r="O189" s="972"/>
      <c r="P189" s="976"/>
      <c r="Q189" s="972"/>
      <c r="R189" s="972"/>
      <c r="S189" s="972"/>
      <c r="T189" s="972"/>
      <c r="U189" s="972"/>
      <c r="V189" s="972"/>
      <c r="W189" s="972"/>
      <c r="X189" s="972"/>
      <c r="Y189" s="972"/>
      <c r="Z189" s="972"/>
      <c r="AA189" s="972"/>
      <c r="AB189" s="972"/>
      <c r="AC189" s="588"/>
    </row>
    <row r="190" spans="1:29" x14ac:dyDescent="0.25">
      <c r="A190" s="977"/>
      <c r="B190" s="978"/>
      <c r="C190" s="978"/>
      <c r="D190" s="979"/>
      <c r="E190" s="979"/>
      <c r="F190" s="979"/>
      <c r="G190" s="988"/>
      <c r="H190" s="988"/>
      <c r="I190" s="989"/>
      <c r="J190" s="989"/>
      <c r="K190" s="990"/>
      <c r="L190" s="972"/>
      <c r="M190" s="972"/>
      <c r="N190" s="972"/>
      <c r="O190" s="972"/>
      <c r="P190" s="976"/>
      <c r="Q190" s="972"/>
      <c r="R190" s="972"/>
      <c r="S190" s="972"/>
      <c r="T190" s="972"/>
      <c r="U190" s="972"/>
      <c r="V190" s="972"/>
      <c r="W190" s="972"/>
      <c r="X190" s="972"/>
      <c r="Y190" s="972"/>
      <c r="Z190" s="972"/>
      <c r="AA190" s="972"/>
      <c r="AB190" s="972"/>
      <c r="AC190" s="588"/>
    </row>
    <row r="191" spans="1:29" x14ac:dyDescent="0.25">
      <c r="A191" s="991"/>
      <c r="B191" s="979"/>
      <c r="C191" s="979"/>
      <c r="D191" s="979"/>
      <c r="E191" s="979"/>
      <c r="F191" s="979"/>
      <c r="G191" s="988"/>
      <c r="H191" s="988"/>
      <c r="I191" s="989"/>
      <c r="J191" s="989"/>
      <c r="K191" s="990"/>
      <c r="L191" s="972"/>
      <c r="M191" s="972"/>
      <c r="N191" s="972"/>
      <c r="O191" s="972"/>
      <c r="P191" s="976"/>
      <c r="Q191" s="972"/>
      <c r="R191" s="972"/>
      <c r="S191" s="972"/>
      <c r="T191" s="972"/>
      <c r="U191" s="972"/>
      <c r="V191" s="972"/>
      <c r="W191" s="972"/>
      <c r="X191" s="972"/>
      <c r="Y191" s="992" t="s">
        <v>176</v>
      </c>
      <c r="Z191" s="992"/>
      <c r="AA191" s="992"/>
      <c r="AB191" s="992"/>
      <c r="AC191" s="588"/>
    </row>
    <row r="192" spans="1:29" x14ac:dyDescent="0.25">
      <c r="A192" s="991"/>
      <c r="B192" s="979"/>
      <c r="C192" s="979"/>
      <c r="D192" s="979"/>
      <c r="E192" s="979"/>
      <c r="F192" s="979"/>
      <c r="G192" s="972"/>
      <c r="H192" s="972"/>
      <c r="I192" s="972"/>
      <c r="J192" s="990"/>
      <c r="K192" s="993"/>
      <c r="L192" s="972"/>
      <c r="M192" s="972"/>
      <c r="N192" s="972"/>
      <c r="O192" s="972"/>
      <c r="P192" s="976"/>
      <c r="Q192" s="972"/>
      <c r="R192" s="972"/>
      <c r="S192" s="972"/>
      <c r="T192" s="972"/>
      <c r="U192" s="972"/>
      <c r="V192" s="972"/>
      <c r="W192" s="972"/>
      <c r="X192" s="972"/>
      <c r="Y192" s="981" t="s">
        <v>177</v>
      </c>
      <c r="Z192" s="981"/>
      <c r="AA192" s="981"/>
      <c r="AB192" s="981"/>
      <c r="AC192" s="588"/>
    </row>
    <row r="193" spans="1:29" x14ac:dyDescent="0.25">
      <c r="A193" s="588"/>
      <c r="B193" s="588"/>
      <c r="C193" s="588"/>
      <c r="D193" s="588"/>
      <c r="E193" s="588"/>
      <c r="F193" s="588"/>
      <c r="G193" s="588"/>
      <c r="H193" s="588"/>
      <c r="I193" s="588"/>
      <c r="J193" s="588"/>
      <c r="K193" s="588"/>
      <c r="L193" s="588"/>
      <c r="M193" s="588"/>
      <c r="N193" s="588"/>
      <c r="O193" s="588"/>
      <c r="P193" s="588"/>
      <c r="Q193" s="588"/>
      <c r="R193" s="588"/>
      <c r="S193" s="588"/>
      <c r="T193" s="588"/>
      <c r="U193" s="588"/>
      <c r="V193" s="588"/>
      <c r="W193" s="588"/>
      <c r="X193" s="588"/>
      <c r="Y193" s="588"/>
      <c r="Z193" s="588"/>
      <c r="AA193" s="588"/>
      <c r="AB193" s="588"/>
      <c r="AC193" s="588"/>
    </row>
  </sheetData>
  <mergeCells count="33">
    <mergeCell ref="B177:G177"/>
    <mergeCell ref="G186:K186"/>
    <mergeCell ref="Y186:AB186"/>
    <mergeCell ref="Y188:AB188"/>
    <mergeCell ref="Y191:AB191"/>
    <mergeCell ref="Y192:AB192"/>
    <mergeCell ref="B16:G16"/>
    <mergeCell ref="H16:I16"/>
    <mergeCell ref="L16:M16"/>
    <mergeCell ref="D68:G68"/>
    <mergeCell ref="B139:G139"/>
    <mergeCell ref="C167:G167"/>
    <mergeCell ref="Q12:R12"/>
    <mergeCell ref="V12:W12"/>
    <mergeCell ref="X12:Y12"/>
    <mergeCell ref="B12:G15"/>
    <mergeCell ref="L12:M15"/>
    <mergeCell ref="N12:N15"/>
    <mergeCell ref="O12:O15"/>
    <mergeCell ref="P12:P15"/>
    <mergeCell ref="H11:I15"/>
    <mergeCell ref="J11:J15"/>
    <mergeCell ref="K11:K15"/>
    <mergeCell ref="A1:P1"/>
    <mergeCell ref="A2:AB2"/>
    <mergeCell ref="A3:AB3"/>
    <mergeCell ref="F7:G7"/>
    <mergeCell ref="T11:U12"/>
    <mergeCell ref="V11:W11"/>
    <mergeCell ref="X11:Y11"/>
    <mergeCell ref="Z11:AA12"/>
    <mergeCell ref="AB11:AB15"/>
    <mergeCell ref="A12:A15"/>
  </mergeCells>
  <pageMargins left="0.7" right="0.7" top="0.75" bottom="0.75" header="0.3" footer="0.3"/>
  <pageSetup paperSize="5" scale="60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Sheet1</vt:lpstr>
      <vt:lpstr>JAN 2017</vt:lpstr>
      <vt:lpstr>FEB 2017</vt:lpstr>
      <vt:lpstr>MAR 2017</vt:lpstr>
      <vt:lpstr>APRIL 2017</vt:lpstr>
      <vt:lpstr>MEI 2017</vt:lpstr>
      <vt:lpstr>JUNI2017</vt:lpstr>
      <vt:lpstr>JULI 2017</vt:lpstr>
      <vt:lpstr>PERBAIKAN JULI 2017</vt:lpstr>
      <vt:lpstr>Sheet3</vt:lpstr>
      <vt:lpstr>Sheet4</vt:lpstr>
      <vt:lpstr>'APRIL 2017'!Print_Area</vt:lpstr>
      <vt:lpstr>'FEB 2017'!Print_Area</vt:lpstr>
      <vt:lpstr>'JAN 2017'!Print_Area</vt:lpstr>
      <vt:lpstr>'JULI 2017'!Print_Area</vt:lpstr>
      <vt:lpstr>JUNI2017!Print_Area</vt:lpstr>
      <vt:lpstr>'MAR 2017'!Print_Area</vt:lpstr>
      <vt:lpstr>'MEI 2017'!Print_Area</vt:lpstr>
      <vt:lpstr>'APRIL 2017'!Print_Titles</vt:lpstr>
      <vt:lpstr>'FEB 2017'!Print_Titles</vt:lpstr>
      <vt:lpstr>'JAN 2017'!Print_Titles</vt:lpstr>
      <vt:lpstr>'JULI 2017'!Print_Titles</vt:lpstr>
      <vt:lpstr>JUNI2017!Print_Titles</vt:lpstr>
      <vt:lpstr>'MAR 2017'!Print_Titles</vt:lpstr>
      <vt:lpstr>'MEI 2017'!Print_Titles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STAMAR PAOTERE</dc:title>
  <dc:creator>ismail - [2010]</dc:creator>
  <cp:lastModifiedBy>ismail - [2010]</cp:lastModifiedBy>
  <cp:lastPrinted>2017-08-11T01:54:01Z</cp:lastPrinted>
  <dcterms:created xsi:type="dcterms:W3CDTF">2016-12-28T03:23:06Z</dcterms:created>
  <dcterms:modified xsi:type="dcterms:W3CDTF">2017-08-11T02:00:22Z</dcterms:modified>
</cp:coreProperties>
</file>