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0" windowWidth="18735" windowHeight="11700" activeTab="1"/>
  </bookViews>
  <sheets>
    <sheet name="Income" sheetId="14" r:id="rId1"/>
    <sheet name="P &amp; L-Summary " sheetId="7" r:id="rId2"/>
    <sheet name="B.S  " sheetId="8" r:id="rId3"/>
    <sheet name="Cash flow" sheetId="5" r:id="rId4"/>
    <sheet name="Depreciation" sheetId="13" r:id="rId5"/>
    <sheet name="Sheet4" sheetId="12" r:id="rId6"/>
  </sheets>
  <definedNames>
    <definedName name="_xlnm._FilterDatabase" localSheetId="4" hidden="1">Depreciation!$A$4:$AA$8</definedName>
    <definedName name="_xlnm.Print_Area" localSheetId="2">'B.S  '!$A$2:$H$35</definedName>
    <definedName name="_xlnm.Print_Area" localSheetId="3">'Cash flow'!$B$5:$I$54</definedName>
    <definedName name="_xlnm.Print_Area" localSheetId="4">Depreciation!$A$1:$U$10</definedName>
    <definedName name="_xlnm.Print_Area" localSheetId="0">Income!#REF!</definedName>
    <definedName name="_xlnm.Print_Area" localSheetId="1">'P &amp; L-Summary '!$A$2:$G$17</definedName>
    <definedName name="_xlnm.Print_Titles" localSheetId="2">'B.S  '!$4:$4</definedName>
  </definedNames>
  <calcPr calcId="145621"/>
</workbook>
</file>

<file path=xl/calcChain.xml><?xml version="1.0" encoding="utf-8"?>
<calcChain xmlns="http://schemas.openxmlformats.org/spreadsheetml/2006/main">
  <c r="F12" i="8" l="1"/>
  <c r="K46" i="14"/>
  <c r="K45" i="14"/>
  <c r="I46" i="14"/>
  <c r="I45" i="14"/>
  <c r="G46" i="14"/>
  <c r="G45" i="14"/>
  <c r="E46" i="14"/>
  <c r="C46" i="14"/>
  <c r="E32" i="8" l="1"/>
  <c r="I13" i="5"/>
  <c r="H13" i="5"/>
  <c r="G13" i="5"/>
  <c r="F13" i="5"/>
  <c r="E13" i="5"/>
  <c r="E43" i="5"/>
  <c r="I35" i="5"/>
  <c r="H35" i="5"/>
  <c r="G35" i="5"/>
  <c r="F49" i="5"/>
  <c r="H12" i="8"/>
  <c r="H32" i="8"/>
  <c r="H27" i="8"/>
  <c r="H26" i="8"/>
  <c r="H15" i="8"/>
  <c r="H13" i="8"/>
  <c r="H8" i="8"/>
  <c r="H7" i="8"/>
  <c r="H6" i="8"/>
  <c r="H9" i="8" s="1"/>
  <c r="G32" i="8"/>
  <c r="G27" i="8"/>
  <c r="G26" i="8"/>
  <c r="G15" i="8"/>
  <c r="G13" i="8"/>
  <c r="G12" i="8"/>
  <c r="G8" i="8"/>
  <c r="G7" i="8"/>
  <c r="G6" i="8"/>
  <c r="G9" i="8" s="1"/>
  <c r="F32" i="8"/>
  <c r="F27" i="8"/>
  <c r="F26" i="8"/>
  <c r="F15" i="8"/>
  <c r="F13" i="8"/>
  <c r="F8" i="8"/>
  <c r="F7" i="8"/>
  <c r="F6" i="8"/>
  <c r="E27" i="8"/>
  <c r="E26" i="8"/>
  <c r="H22" i="8"/>
  <c r="G22" i="8"/>
  <c r="F22" i="8"/>
  <c r="E22" i="8"/>
  <c r="E15" i="8"/>
  <c r="E13" i="8"/>
  <c r="E12" i="8"/>
  <c r="E8" i="8"/>
  <c r="E7" i="8"/>
  <c r="E6" i="8"/>
  <c r="D32" i="8"/>
  <c r="D31" i="8"/>
  <c r="D33" i="8" s="1"/>
  <c r="D27" i="8"/>
  <c r="D26" i="8"/>
  <c r="D28" i="8" s="1"/>
  <c r="D22" i="8"/>
  <c r="D15" i="8"/>
  <c r="D13" i="8"/>
  <c r="D12" i="8"/>
  <c r="D8" i="8"/>
  <c r="D7" i="8"/>
  <c r="D6" i="8"/>
  <c r="C22" i="8"/>
  <c r="C11" i="8"/>
  <c r="C7" i="8"/>
  <c r="C6" i="8"/>
  <c r="G14" i="7"/>
  <c r="I14" i="5" s="1"/>
  <c r="G13" i="7"/>
  <c r="F14" i="7"/>
  <c r="H14" i="5" s="1"/>
  <c r="F13" i="7"/>
  <c r="E14" i="7"/>
  <c r="G14" i="5" s="1"/>
  <c r="E13" i="7"/>
  <c r="D14" i="7"/>
  <c r="F14" i="5" s="1"/>
  <c r="D13" i="7"/>
  <c r="C14" i="7"/>
  <c r="E14" i="5" s="1"/>
  <c r="E37" i="5" s="1"/>
  <c r="C13" i="7"/>
  <c r="K64" i="14"/>
  <c r="I64" i="14"/>
  <c r="G64" i="14"/>
  <c r="E64" i="14"/>
  <c r="C64" i="14"/>
  <c r="K61" i="14"/>
  <c r="G12" i="7" s="1"/>
  <c r="I61" i="14"/>
  <c r="F12" i="7" s="1"/>
  <c r="G61" i="14"/>
  <c r="E12" i="7" s="1"/>
  <c r="E61" i="14"/>
  <c r="D12" i="7" s="1"/>
  <c r="C61" i="14"/>
  <c r="C12" i="7" s="1"/>
  <c r="K39" i="14"/>
  <c r="K65" i="14" s="1"/>
  <c r="I39" i="14"/>
  <c r="I65" i="14" s="1"/>
  <c r="G39" i="14"/>
  <c r="G65" i="14" s="1"/>
  <c r="E39" i="14"/>
  <c r="E65" i="14" s="1"/>
  <c r="C39" i="14"/>
  <c r="C65" i="14" s="1"/>
  <c r="BS17" i="14"/>
  <c r="K28" i="14" s="1"/>
  <c r="BQ17" i="14"/>
  <c r="K27" i="14" s="1"/>
  <c r="BO17" i="14"/>
  <c r="K26" i="14" s="1"/>
  <c r="BN17" i="14"/>
  <c r="K25" i="14" s="1"/>
  <c r="BK17" i="14"/>
  <c r="BJ17" i="14"/>
  <c r="BI17" i="14"/>
  <c r="BH17" i="14"/>
  <c r="BT17" i="14" s="1"/>
  <c r="BD17" i="14"/>
  <c r="I28" i="14" s="1"/>
  <c r="BB17" i="14"/>
  <c r="I27" i="14" s="1"/>
  <c r="AZ17" i="14"/>
  <c r="I26" i="14" s="1"/>
  <c r="AY17" i="14"/>
  <c r="I25" i="14" s="1"/>
  <c r="AV17" i="14"/>
  <c r="AU17" i="14"/>
  <c r="AT17" i="14"/>
  <c r="AS17" i="14"/>
  <c r="I24" i="14" s="1"/>
  <c r="AO17" i="14"/>
  <c r="G28" i="14" s="1"/>
  <c r="AM17" i="14"/>
  <c r="G27" i="14" s="1"/>
  <c r="AK17" i="14"/>
  <c r="G26" i="14" s="1"/>
  <c r="AJ17" i="14"/>
  <c r="G25" i="14" s="1"/>
  <c r="AG17" i="14"/>
  <c r="AF17" i="14"/>
  <c r="AE17" i="14"/>
  <c r="AA17" i="14"/>
  <c r="E28" i="14" s="1"/>
  <c r="Y17" i="14"/>
  <c r="E27" i="14" s="1"/>
  <c r="BM16" i="14"/>
  <c r="BL16" i="14"/>
  <c r="AX16" i="14"/>
  <c r="AW16" i="14"/>
  <c r="AI16" i="14"/>
  <c r="AH16" i="14"/>
  <c r="U16" i="14"/>
  <c r="T16" i="14"/>
  <c r="D16" i="14"/>
  <c r="W15" i="14"/>
  <c r="V15" i="14"/>
  <c r="S15" i="14"/>
  <c r="R15" i="14"/>
  <c r="Q15" i="14"/>
  <c r="K15" i="14"/>
  <c r="G15" i="14"/>
  <c r="F15" i="14"/>
  <c r="C15" i="14"/>
  <c r="B15" i="14"/>
  <c r="W14" i="14"/>
  <c r="V14" i="14"/>
  <c r="S14" i="14"/>
  <c r="R14" i="14"/>
  <c r="Q14" i="14"/>
  <c r="K14" i="14"/>
  <c r="G14" i="14"/>
  <c r="F14" i="14"/>
  <c r="C14" i="14"/>
  <c r="B14" i="14"/>
  <c r="W13" i="14"/>
  <c r="V13" i="14"/>
  <c r="S13" i="14"/>
  <c r="R13" i="14"/>
  <c r="Q13" i="14"/>
  <c r="K13" i="14"/>
  <c r="K17" i="14" s="1"/>
  <c r="C28" i="14" s="1"/>
  <c r="G13" i="14"/>
  <c r="F13" i="14"/>
  <c r="C13" i="14"/>
  <c r="B13" i="14"/>
  <c r="W12" i="14"/>
  <c r="V12" i="14"/>
  <c r="S12" i="14"/>
  <c r="R12" i="14"/>
  <c r="Q12" i="14"/>
  <c r="G12" i="14"/>
  <c r="F12" i="14"/>
  <c r="C12" i="14"/>
  <c r="C17" i="14" s="1"/>
  <c r="B12" i="14"/>
  <c r="V11" i="14"/>
  <c r="Q11" i="14"/>
  <c r="G11" i="14"/>
  <c r="F11" i="14"/>
  <c r="B11" i="14"/>
  <c r="W10" i="14"/>
  <c r="V10" i="14"/>
  <c r="Q10" i="14"/>
  <c r="G10" i="14"/>
  <c r="F10" i="14"/>
  <c r="B10" i="14"/>
  <c r="W9" i="14"/>
  <c r="V9" i="14"/>
  <c r="S9" i="14"/>
  <c r="R9" i="14"/>
  <c r="Q9" i="14"/>
  <c r="I9" i="14"/>
  <c r="G9" i="14"/>
  <c r="F9" i="14"/>
  <c r="B9" i="14"/>
  <c r="W8" i="14"/>
  <c r="V8" i="14"/>
  <c r="S8" i="14"/>
  <c r="R8" i="14"/>
  <c r="Q8" i="14"/>
  <c r="G8" i="14"/>
  <c r="F8" i="14"/>
  <c r="B8" i="14"/>
  <c r="W7" i="14"/>
  <c r="V7" i="14"/>
  <c r="S7" i="14"/>
  <c r="S17" i="14" s="1"/>
  <c r="R7" i="14"/>
  <c r="Q7" i="14"/>
  <c r="F7" i="14"/>
  <c r="B7" i="14"/>
  <c r="B17" i="14" s="1"/>
  <c r="W6" i="14"/>
  <c r="V6" i="14"/>
  <c r="R6" i="14"/>
  <c r="Q6" i="14"/>
  <c r="W5" i="14"/>
  <c r="V5" i="14"/>
  <c r="R5" i="14"/>
  <c r="Q5" i="14"/>
  <c r="W4" i="14"/>
  <c r="V4" i="14"/>
  <c r="R4" i="14"/>
  <c r="Q4" i="14"/>
  <c r="Q17" i="14" s="1"/>
  <c r="V17" i="14" l="1"/>
  <c r="E25" i="14" s="1"/>
  <c r="E7" i="7"/>
  <c r="W17" i="14"/>
  <c r="E26" i="14" s="1"/>
  <c r="F7" i="7"/>
  <c r="C7" i="7"/>
  <c r="G7" i="7"/>
  <c r="R17" i="14"/>
  <c r="E24" i="14" s="1"/>
  <c r="E30" i="14" s="1"/>
  <c r="F17" i="14"/>
  <c r="C25" i="14" s="1"/>
  <c r="G17" i="14"/>
  <c r="C26" i="14" s="1"/>
  <c r="D7" i="7"/>
  <c r="C27" i="14"/>
  <c r="I17" i="14"/>
  <c r="E31" i="8"/>
  <c r="F31" i="8" s="1"/>
  <c r="G31" i="8" s="1"/>
  <c r="H31" i="8" s="1"/>
  <c r="I30" i="14"/>
  <c r="I70" i="14" s="1"/>
  <c r="F6" i="7"/>
  <c r="AP17" i="14"/>
  <c r="K66" i="14"/>
  <c r="K71" i="14" s="1"/>
  <c r="I66" i="14"/>
  <c r="I71" i="14" s="1"/>
  <c r="I72" i="14" s="1"/>
  <c r="G66" i="14"/>
  <c r="G71" i="14" s="1"/>
  <c r="E66" i="14"/>
  <c r="E71" i="14" s="1"/>
  <c r="C66" i="14"/>
  <c r="C71" i="14" s="1"/>
  <c r="AB17" i="14"/>
  <c r="N17" i="14"/>
  <c r="C24" i="14"/>
  <c r="C30" i="14" s="1"/>
  <c r="BE17" i="14"/>
  <c r="G24" i="14"/>
  <c r="G30" i="14" s="1"/>
  <c r="K24" i="14"/>
  <c r="K30" i="14" s="1"/>
  <c r="K70" i="14" l="1"/>
  <c r="K72" i="14" s="1"/>
  <c r="G6" i="7"/>
  <c r="C70" i="14"/>
  <c r="C72" i="14" s="1"/>
  <c r="C6" i="7"/>
  <c r="D14" i="8" s="1"/>
  <c r="D16" i="8" s="1"/>
  <c r="D39" i="8" s="1"/>
  <c r="G70" i="14"/>
  <c r="E6" i="7"/>
  <c r="E70" i="14"/>
  <c r="E72" i="14" s="1"/>
  <c r="D6" i="7"/>
  <c r="E14" i="8" s="1"/>
  <c r="G72" i="14"/>
  <c r="F9" i="8"/>
  <c r="I49" i="5" l="1"/>
  <c r="H49" i="5"/>
  <c r="G49" i="5"/>
  <c r="E49" i="5"/>
  <c r="E52" i="5" s="1"/>
  <c r="H14" i="8"/>
  <c r="H16" i="8" s="1"/>
  <c r="H39" i="8" s="1"/>
  <c r="G14" i="8"/>
  <c r="G16" i="8" s="1"/>
  <c r="G39" i="8" s="1"/>
  <c r="G40" i="8" s="1"/>
  <c r="F14" i="8"/>
  <c r="F16" i="8" s="1"/>
  <c r="F39" i="8" s="1"/>
  <c r="E16" i="8"/>
  <c r="E39" i="8" s="1"/>
  <c r="E40" i="8" s="1"/>
  <c r="C33" i="8"/>
  <c r="H28" i="8"/>
  <c r="G28" i="8"/>
  <c r="F28" i="8"/>
  <c r="E28" i="8"/>
  <c r="C28" i="8"/>
  <c r="C24" i="8"/>
  <c r="C16" i="8"/>
  <c r="D9" i="8"/>
  <c r="C9" i="8"/>
  <c r="R55" i="13"/>
  <c r="R57" i="13" s="1"/>
  <c r="N55" i="13"/>
  <c r="N57" i="13" s="1"/>
  <c r="M55" i="13"/>
  <c r="M57" i="13" s="1"/>
  <c r="K55" i="13"/>
  <c r="K57" i="13" s="1"/>
  <c r="P53" i="13"/>
  <c r="F53" i="13"/>
  <c r="H53" i="13" s="1"/>
  <c r="P52" i="13"/>
  <c r="F52" i="13"/>
  <c r="H52" i="13" s="1"/>
  <c r="S50" i="13"/>
  <c r="P50" i="13"/>
  <c r="R43" i="13"/>
  <c r="R45" i="13" s="1"/>
  <c r="N43" i="13"/>
  <c r="N45" i="13" s="1"/>
  <c r="M43" i="13"/>
  <c r="M45" i="13" s="1"/>
  <c r="K43" i="13"/>
  <c r="K45" i="13" s="1"/>
  <c r="P41" i="13"/>
  <c r="F41" i="13"/>
  <c r="H41" i="13" s="1"/>
  <c r="P40" i="13"/>
  <c r="T40" i="13" s="1"/>
  <c r="O40" i="13"/>
  <c r="L43" i="13"/>
  <c r="L45" i="13" s="1"/>
  <c r="F40" i="13"/>
  <c r="H40" i="13" s="1"/>
  <c r="S38" i="13"/>
  <c r="P38" i="13"/>
  <c r="P16" i="13"/>
  <c r="R31" i="13"/>
  <c r="R33" i="13" s="1"/>
  <c r="N31" i="13"/>
  <c r="N33" i="13" s="1"/>
  <c r="M31" i="13"/>
  <c r="M33" i="13" s="1"/>
  <c r="K31" i="13"/>
  <c r="K33" i="13" s="1"/>
  <c r="P29" i="13"/>
  <c r="L29" i="13"/>
  <c r="F29" i="13"/>
  <c r="H29" i="13" s="1"/>
  <c r="P28" i="13"/>
  <c r="L28" i="13"/>
  <c r="O28" i="13" s="1"/>
  <c r="F28" i="13"/>
  <c r="H28" i="13" s="1"/>
  <c r="S26" i="13"/>
  <c r="P26" i="13"/>
  <c r="R19" i="13"/>
  <c r="R21" i="13" s="1"/>
  <c r="N19" i="13"/>
  <c r="N21" i="13" s="1"/>
  <c r="M19" i="13"/>
  <c r="M21" i="13" s="1"/>
  <c r="K19" i="13"/>
  <c r="K21" i="13" s="1"/>
  <c r="P17" i="13"/>
  <c r="L17" i="13"/>
  <c r="F17" i="13"/>
  <c r="H17" i="13" s="1"/>
  <c r="L16" i="13"/>
  <c r="L19" i="13" s="1"/>
  <c r="L21" i="13" s="1"/>
  <c r="F16" i="13"/>
  <c r="H16" i="13" s="1"/>
  <c r="S14" i="13"/>
  <c r="P14" i="13"/>
  <c r="P6" i="13"/>
  <c r="L6" i="13"/>
  <c r="P5" i="13"/>
  <c r="L5" i="13"/>
  <c r="F40" i="8" l="1"/>
  <c r="H40" i="8"/>
  <c r="E39" i="5"/>
  <c r="F33" i="8"/>
  <c r="E33" i="8"/>
  <c r="P19" i="13"/>
  <c r="P21" i="13" s="1"/>
  <c r="O16" i="13"/>
  <c r="P55" i="13"/>
  <c r="P57" i="13" s="1"/>
  <c r="Q16" i="13"/>
  <c r="S16" i="13" s="1"/>
  <c r="T16" i="13"/>
  <c r="Q28" i="13"/>
  <c r="T5" i="13"/>
  <c r="T6" i="13"/>
  <c r="L31" i="13"/>
  <c r="L33" i="13" s="1"/>
  <c r="P31" i="13"/>
  <c r="P33" i="13" s="1"/>
  <c r="P43" i="13"/>
  <c r="P45" i="13" s="1"/>
  <c r="C34" i="8"/>
  <c r="D18" i="8"/>
  <c r="C18" i="8"/>
  <c r="F18" i="8"/>
  <c r="E9" i="8"/>
  <c r="E18" i="8" s="1"/>
  <c r="T41" i="13"/>
  <c r="T43" i="13" s="1"/>
  <c r="T45" i="13" s="1"/>
  <c r="T53" i="13"/>
  <c r="T52" i="13"/>
  <c r="L55" i="13"/>
  <c r="L57" i="13" s="1"/>
  <c r="O52" i="13"/>
  <c r="O53" i="13"/>
  <c r="Q40" i="13"/>
  <c r="S40" i="13" s="1"/>
  <c r="O41" i="13"/>
  <c r="T29" i="13"/>
  <c r="T28" i="13"/>
  <c r="O29" i="13"/>
  <c r="Q29" i="13" s="1"/>
  <c r="S28" i="13"/>
  <c r="U28" i="13" s="1"/>
  <c r="T17" i="13"/>
  <c r="T19" i="13" s="1"/>
  <c r="T21" i="13" s="1"/>
  <c r="O17" i="13"/>
  <c r="Q17" i="13" s="1"/>
  <c r="O5" i="13"/>
  <c r="O6" i="13"/>
  <c r="Q19" i="13" l="1"/>
  <c r="C35" i="8"/>
  <c r="H33" i="8"/>
  <c r="G33" i="8"/>
  <c r="T55" i="13"/>
  <c r="T57" i="13" s="1"/>
  <c r="T31" i="13"/>
  <c r="T33" i="13" s="1"/>
  <c r="H18" i="8"/>
  <c r="G18" i="8"/>
  <c r="S53" i="13"/>
  <c r="U53" i="13" s="1"/>
  <c r="O55" i="13"/>
  <c r="O57" i="13" s="1"/>
  <c r="Q41" i="13"/>
  <c r="S41" i="13" s="1"/>
  <c r="U41" i="13" s="1"/>
  <c r="U40" i="13"/>
  <c r="O43" i="13"/>
  <c r="O45" i="13" s="1"/>
  <c r="O31" i="13"/>
  <c r="O33" i="13" s="1"/>
  <c r="S29" i="13"/>
  <c r="S31" i="13" s="1"/>
  <c r="S33" i="13" s="1"/>
  <c r="O19" i="13"/>
  <c r="O21" i="13" s="1"/>
  <c r="S17" i="13"/>
  <c r="U17" i="13" s="1"/>
  <c r="F6" i="13"/>
  <c r="F5" i="13"/>
  <c r="R8" i="13"/>
  <c r="R10" i="13" s="1"/>
  <c r="O8" i="13"/>
  <c r="O10" i="13" s="1"/>
  <c r="N8" i="13"/>
  <c r="N10" i="13" s="1"/>
  <c r="M8" i="13"/>
  <c r="M10" i="13" s="1"/>
  <c r="L8" i="13"/>
  <c r="L10" i="13" s="1"/>
  <c r="K8" i="13"/>
  <c r="K10" i="13" s="1"/>
  <c r="H6" i="13"/>
  <c r="H5" i="13"/>
  <c r="S3" i="13"/>
  <c r="P3" i="13"/>
  <c r="Q6" i="13" l="1"/>
  <c r="S6" i="13" s="1"/>
  <c r="U6" i="13" s="1"/>
  <c r="Q5" i="13"/>
  <c r="S5" i="13" s="1"/>
  <c r="Q55" i="13"/>
  <c r="Q57" i="13" s="1"/>
  <c r="S43" i="13"/>
  <c r="S45" i="13" s="1"/>
  <c r="Q43" i="13"/>
  <c r="U43" i="13"/>
  <c r="U45" i="13" s="1"/>
  <c r="Q31" i="13"/>
  <c r="Q33" i="13" s="1"/>
  <c r="U29" i="13"/>
  <c r="U31" i="13" s="1"/>
  <c r="U33" i="13" s="1"/>
  <c r="Q21" i="13"/>
  <c r="S19" i="13"/>
  <c r="S21" i="13" s="1"/>
  <c r="U16" i="13"/>
  <c r="U19" i="13" s="1"/>
  <c r="U21" i="13" s="1"/>
  <c r="P8" i="13"/>
  <c r="P10" i="13" s="1"/>
  <c r="T8" i="13"/>
  <c r="T10" i="13" s="1"/>
  <c r="Q8" i="13" l="1"/>
  <c r="Q10" i="13" s="1"/>
  <c r="U5" i="13"/>
  <c r="S8" i="13"/>
  <c r="S10" i="13" s="1"/>
  <c r="Q45" i="13"/>
  <c r="S55" i="13"/>
  <c r="S57" i="13" s="1"/>
  <c r="U52" i="13"/>
  <c r="U55" i="13" s="1"/>
  <c r="U57" i="13" s="1"/>
  <c r="U8" i="13"/>
  <c r="U10" i="13" s="1"/>
  <c r="G9" i="7" l="1"/>
  <c r="F9" i="7"/>
  <c r="E9" i="7"/>
  <c r="D9" i="7"/>
  <c r="C9" i="7"/>
  <c r="C17" i="7" s="1"/>
  <c r="D17" i="7" l="1"/>
  <c r="F10" i="5" s="1"/>
  <c r="F18" i="5" s="1"/>
  <c r="F23" i="5" s="1"/>
  <c r="F17" i="7"/>
  <c r="H10" i="5" s="1"/>
  <c r="H18" i="5" s="1"/>
  <c r="H23" i="5" s="1"/>
  <c r="E17" i="7"/>
  <c r="G10" i="5" s="1"/>
  <c r="G18" i="5" s="1"/>
  <c r="G23" i="5" s="1"/>
  <c r="G17" i="7"/>
  <c r="I10" i="5" s="1"/>
  <c r="I18" i="5" s="1"/>
  <c r="I23" i="5" s="1"/>
  <c r="D23" i="8"/>
  <c r="D24" i="8" s="1"/>
  <c r="D34" i="8" s="1"/>
  <c r="D35" i="8" s="1"/>
  <c r="E10" i="5"/>
  <c r="E18" i="5" s="1"/>
  <c r="E23" i="5" s="1"/>
  <c r="F23" i="8" l="1"/>
  <c r="F24" i="8" s="1"/>
  <c r="F34" i="8" s="1"/>
  <c r="F35" i="8" s="1"/>
  <c r="E23" i="8"/>
  <c r="E24" i="8" s="1"/>
  <c r="E34" i="8" s="1"/>
  <c r="E35" i="8" s="1"/>
  <c r="G23" i="8"/>
  <c r="G24" i="8" s="1"/>
  <c r="G34" i="8" s="1"/>
  <c r="G35" i="8" s="1"/>
  <c r="H23" i="8"/>
  <c r="H24" i="8" s="1"/>
  <c r="H34" i="8" s="1"/>
  <c r="H35" i="8" s="1"/>
  <c r="H52" i="5"/>
  <c r="I43" i="5" s="1"/>
  <c r="I52" i="5"/>
  <c r="H28" i="5" l="1"/>
  <c r="I37" i="5"/>
  <c r="G52" i="5"/>
  <c r="H43" i="5" s="1"/>
  <c r="I28" i="5" l="1"/>
  <c r="I39" i="5" l="1"/>
  <c r="E28" i="5" l="1"/>
  <c r="E31" i="5" s="1"/>
  <c r="E41" i="5" s="1"/>
  <c r="E46" i="5" s="1"/>
  <c r="F28" i="5"/>
  <c r="G28" i="5" l="1"/>
  <c r="F31" i="5" l="1"/>
  <c r="G31" i="5" l="1"/>
  <c r="H31" i="5"/>
  <c r="I31" i="5" l="1"/>
  <c r="F43" i="5" l="1"/>
  <c r="I41" i="5" l="1"/>
  <c r="I46" i="5" s="1"/>
  <c r="I53" i="5" s="1"/>
  <c r="F37" i="5" l="1"/>
  <c r="F39" i="5" s="1"/>
  <c r="F41" i="5" l="1"/>
  <c r="F46" i="5" l="1"/>
  <c r="H37" i="5"/>
  <c r="H39" i="5" s="1"/>
  <c r="H41" i="5" s="1"/>
  <c r="H46" i="5" s="1"/>
  <c r="H53" i="5" s="1"/>
  <c r="G37" i="5"/>
  <c r="G39" i="5" s="1"/>
  <c r="F52" i="5" l="1"/>
  <c r="F53" i="5" l="1"/>
  <c r="G43" i="5"/>
  <c r="E53" i="5"/>
  <c r="G41" i="5" l="1"/>
  <c r="G46" i="5" s="1"/>
  <c r="G53" i="5" s="1"/>
</calcChain>
</file>

<file path=xl/sharedStrings.xml><?xml version="1.0" encoding="utf-8"?>
<sst xmlns="http://schemas.openxmlformats.org/spreadsheetml/2006/main" count="638" uniqueCount="238">
  <si>
    <t>Total</t>
  </si>
  <si>
    <t>Income</t>
  </si>
  <si>
    <t>Account Description</t>
  </si>
  <si>
    <t>Current Year</t>
  </si>
  <si>
    <t>FIXED ASSETS</t>
  </si>
  <si>
    <t>Group Total</t>
  </si>
  <si>
    <t>DEPRECIATION PROVISIONS</t>
  </si>
  <si>
    <t>Main Group Total</t>
  </si>
  <si>
    <t>CURRENT ASSETS</t>
  </si>
  <si>
    <t>FIXED DEPOSITS</t>
  </si>
  <si>
    <t>PREPAID EXPENSES</t>
  </si>
  <si>
    <t>TRADE DEBTORS</t>
  </si>
  <si>
    <t>SHAREHOLDERS EQUITY &amp; RESERVES</t>
  </si>
  <si>
    <t>SHARE CAPITAL</t>
  </si>
  <si>
    <t>CURRENT ACCOUNT</t>
  </si>
  <si>
    <t>CURRENT LIABILITIES</t>
  </si>
  <si>
    <t>TRADE CREDITORS</t>
  </si>
  <si>
    <t>POST DATED CHEQUES ISSUED</t>
  </si>
  <si>
    <t>PROVISIONS</t>
  </si>
  <si>
    <t>COMMISSION PROVISION</t>
  </si>
  <si>
    <t>GRATUITY PROVISIONS</t>
  </si>
  <si>
    <t>OTHER PROVISIONS</t>
  </si>
  <si>
    <t>Dirhams</t>
  </si>
  <si>
    <t>Cash flows from Operating Activities</t>
  </si>
  <si>
    <t>Adjustment  for :</t>
  </si>
  <si>
    <t>Depreciation of property, plant and equipment</t>
  </si>
  <si>
    <t>Employees' terminal benefits</t>
  </si>
  <si>
    <t>Finance charges</t>
  </si>
  <si>
    <t>Interest income</t>
  </si>
  <si>
    <t>Loss on sales of property, plant and equipment</t>
  </si>
  <si>
    <t>Other Non cash expenses</t>
  </si>
  <si>
    <t>(Increase) in inventories</t>
  </si>
  <si>
    <t>Decrease / (Increase) in trade and other receivables</t>
  </si>
  <si>
    <t>Increase/(Decrease) in trade and other payables</t>
  </si>
  <si>
    <t xml:space="preserve">Net Cash (used in) Operating Activities </t>
  </si>
  <si>
    <t>Cash flows from Investing Activities</t>
  </si>
  <si>
    <t>Purchase of property, plant &amp; equipments</t>
  </si>
  <si>
    <t>Procceeds from sale of property, plant and equipment</t>
  </si>
  <si>
    <t>Interest received</t>
  </si>
  <si>
    <t>Net cash (used in) Investing Activities</t>
  </si>
  <si>
    <t>Cash flows from Financing Activities</t>
  </si>
  <si>
    <t>Capital introduction during the period</t>
  </si>
  <si>
    <t>Proceeds from loans and borrowings</t>
  </si>
  <si>
    <t>Net Cash from  Financing Activities</t>
  </si>
  <si>
    <t>Net (Decrease) / Increase in cash and cash equivalents</t>
  </si>
  <si>
    <t>Cash and cash equivalents at the beginning of the year</t>
  </si>
  <si>
    <t>Cash and cash equivalents at the end of the year</t>
  </si>
  <si>
    <t>Cash and cash equivalents represented by</t>
  </si>
  <si>
    <t>Bank over draft</t>
  </si>
  <si>
    <t>TOTAL</t>
  </si>
  <si>
    <t>BANK &amp; CASH</t>
  </si>
  <si>
    <t>Sch No:</t>
  </si>
  <si>
    <t>Forecasted Statement of Financial position</t>
  </si>
  <si>
    <t>Forecasted Statement of Cash Flow</t>
  </si>
  <si>
    <t>Expected Profit/(Loss ) for the year</t>
  </si>
  <si>
    <t>Revenue</t>
  </si>
  <si>
    <t>Cost Of revenue</t>
  </si>
  <si>
    <t>Expected Gross Profit</t>
  </si>
  <si>
    <t>Other Income</t>
  </si>
  <si>
    <t>General and admin expenses</t>
  </si>
  <si>
    <t>Selling and distribution expenses</t>
  </si>
  <si>
    <t>Finance chatges</t>
  </si>
  <si>
    <t xml:space="preserve">Depreciation Schedule as on  </t>
  </si>
  <si>
    <t>GROSS BLOCK</t>
  </si>
  <si>
    <t>ACCUMULATED DEPRECIATION</t>
  </si>
  <si>
    <t>NET BOOK VALUE</t>
  </si>
  <si>
    <t>YEAR</t>
  </si>
  <si>
    <t>BAP_GRP</t>
  </si>
  <si>
    <t>BAP_CATG</t>
  </si>
  <si>
    <t>DOC_DT</t>
  </si>
  <si>
    <t>DOC_NO</t>
  </si>
  <si>
    <t>ACQN_DT</t>
  </si>
  <si>
    <t>DEL_DT</t>
  </si>
  <si>
    <t>USAGE Days</t>
  </si>
  <si>
    <t>NARRATION</t>
  </si>
  <si>
    <t>DEP_RATE</t>
  </si>
  <si>
    <t>PURCH_PRICE</t>
  </si>
  <si>
    <t>GROSS_OB</t>
  </si>
  <si>
    <t>GROSS_ADDN</t>
  </si>
  <si>
    <t>GROSS_DEL</t>
  </si>
  <si>
    <t>GROSS_CB</t>
  </si>
  <si>
    <t>ACC_DEPR_OB</t>
  </si>
  <si>
    <t>DEPR_EXP</t>
  </si>
  <si>
    <t>ACC_DEPR_DEL</t>
  </si>
  <si>
    <t>ACC_DEPR_CB</t>
  </si>
  <si>
    <t>NBV_OB</t>
  </si>
  <si>
    <t>NBV_CB</t>
  </si>
  <si>
    <t>Conference table Beech Colour</t>
  </si>
  <si>
    <t>Low cabinet beech colour wooden doors for Accounting</t>
  </si>
  <si>
    <t>Office Interiors + furnitures</t>
  </si>
  <si>
    <t>Office Computers+Equip</t>
  </si>
  <si>
    <t>F  Y 2016</t>
  </si>
  <si>
    <t>F  Y 2015</t>
  </si>
  <si>
    <t>F  Y 2017</t>
  </si>
  <si>
    <t>F  Y 2018</t>
  </si>
  <si>
    <t>F  Y 2019</t>
  </si>
  <si>
    <t>OFFICE INTERIORS &amp; FURNITURES</t>
  </si>
  <si>
    <t>OFFICE COMPUTERS &amp; EQUIPMENTS</t>
  </si>
  <si>
    <t>OTHER DEPOSITS &amp; ADVANCES</t>
  </si>
  <si>
    <t>2015 - Opening</t>
  </si>
  <si>
    <t>Operating  Profit/(Loss )Before Working Capital Changes</t>
  </si>
  <si>
    <t>Cash &amp; Bank balances including Term deposit</t>
  </si>
  <si>
    <t>Net Profit/(Loss) for the year</t>
  </si>
  <si>
    <t>YEAR 1  -  2015</t>
  </si>
  <si>
    <t>TOTAL - Yr 1</t>
  </si>
  <si>
    <t>YEAR 2  -  2016</t>
  </si>
  <si>
    <t>TOTAL - Yr 2</t>
  </si>
  <si>
    <t>YEAR 3  -  2017</t>
  </si>
  <si>
    <t>TOTAL - Yr 3</t>
  </si>
  <si>
    <t>YEAR 4  -  2018</t>
  </si>
  <si>
    <t>TOTAL - Yr 4</t>
  </si>
  <si>
    <t>YEAR 5  -  2019</t>
  </si>
  <si>
    <t>TOTAL - Yr 5</t>
  </si>
  <si>
    <t>MONTHS</t>
  </si>
  <si>
    <t>No. of Ads</t>
  </si>
  <si>
    <t>Stand /Subs no. of copies</t>
  </si>
  <si>
    <t>Online Income</t>
  </si>
  <si>
    <t>Products</t>
  </si>
  <si>
    <t>Events Revenue</t>
  </si>
  <si>
    <t>Event Title</t>
  </si>
  <si>
    <t>SEI Business Network Club</t>
  </si>
  <si>
    <t>Small Enterprise</t>
  </si>
  <si>
    <t>Title 2</t>
  </si>
  <si>
    <t>SE Mag</t>
  </si>
  <si>
    <t>Title 3</t>
  </si>
  <si>
    <t>Title 4</t>
  </si>
  <si>
    <t>SE mag</t>
  </si>
  <si>
    <t>Jan</t>
  </si>
  <si>
    <t>1 EDM, 1 Bnr</t>
  </si>
  <si>
    <t>Feb</t>
  </si>
  <si>
    <t>StartUp Hunt</t>
  </si>
  <si>
    <t>March</t>
  </si>
  <si>
    <t>PetroICT Summit</t>
  </si>
  <si>
    <t>April</t>
  </si>
  <si>
    <t>Franchise Summit ME</t>
  </si>
  <si>
    <t>May</t>
  </si>
  <si>
    <t>Makeover Campaign</t>
  </si>
  <si>
    <t>Hositality ICT Summit</t>
  </si>
  <si>
    <t>June</t>
  </si>
  <si>
    <t>SME Learning Series</t>
  </si>
  <si>
    <t>July</t>
  </si>
  <si>
    <t>Green Office</t>
  </si>
  <si>
    <t>Aug</t>
  </si>
  <si>
    <t>Sep</t>
  </si>
  <si>
    <t>Oct (GITEX Month)</t>
  </si>
  <si>
    <t>2 EDMs, 2 Bnrs</t>
  </si>
  <si>
    <t>Oct</t>
  </si>
  <si>
    <t>DPI Summit ME</t>
  </si>
  <si>
    <t>Healthcare ICT Summit</t>
  </si>
  <si>
    <t>Nov</t>
  </si>
  <si>
    <t>2 EDMs 2 Bnrs</t>
  </si>
  <si>
    <t>Hospitality ICT Summit</t>
  </si>
  <si>
    <t>Dec</t>
  </si>
  <si>
    <t>3 EDM, 1 Bnr</t>
  </si>
  <si>
    <t>Total Products</t>
  </si>
  <si>
    <t>S. Total</t>
  </si>
  <si>
    <t>Description</t>
  </si>
  <si>
    <t>Print Ads Income</t>
  </si>
  <si>
    <t>Stand /Subs Income</t>
  </si>
  <si>
    <t>Events</t>
  </si>
  <si>
    <t>G. Total</t>
  </si>
  <si>
    <t>Yr 1 (2015)</t>
  </si>
  <si>
    <t>Yr 2 (2016)</t>
  </si>
  <si>
    <t>Yr 3 (2017)</t>
  </si>
  <si>
    <t>Yr 4 (2018)</t>
  </si>
  <si>
    <t>Yr 5 (2019)</t>
  </si>
  <si>
    <t>Advert Sales ( Print &amp; Online)</t>
  </si>
  <si>
    <t>(10 Months)</t>
  </si>
  <si>
    <t>Subs/Stand Sales</t>
  </si>
  <si>
    <t>Online Ad Sales</t>
  </si>
  <si>
    <t>SEI Business Club</t>
  </si>
  <si>
    <t>Total Revenue (Income)</t>
  </si>
  <si>
    <t>Details</t>
  </si>
  <si>
    <t>Printing</t>
  </si>
  <si>
    <r>
      <rPr>
        <b/>
        <sz val="10"/>
        <rFont val="Arial"/>
        <family val="2"/>
      </rPr>
      <t xml:space="preserve">Distribution Cost </t>
    </r>
    <r>
      <rPr>
        <sz val="10"/>
        <rFont val="Arial"/>
        <family val="2"/>
      </rPr>
      <t>(40-35-35% of sub/stand sales)</t>
    </r>
  </si>
  <si>
    <t>Events (25% cost avg)</t>
  </si>
  <si>
    <t>Total Cost of Revenue</t>
  </si>
  <si>
    <t>(10 months)</t>
  </si>
  <si>
    <t>Employment</t>
  </si>
  <si>
    <t>Office Rent (900Sq Ft)</t>
  </si>
  <si>
    <t>Online ( website, server, AMC)</t>
  </si>
  <si>
    <t>Sales Commissions</t>
  </si>
  <si>
    <t>Water &amp; Electricity</t>
  </si>
  <si>
    <t>Depreciation</t>
  </si>
  <si>
    <t>Provion for Bad debt</t>
  </si>
  <si>
    <t>Gratuity Provision</t>
  </si>
  <si>
    <t>Communication - Internet &amp; Telephone</t>
  </si>
  <si>
    <t>Office Supplies &amp; Maintenance</t>
  </si>
  <si>
    <t>Postage &amp; Courier</t>
  </si>
  <si>
    <t>Employment Related Expenses ( Visa - Entry &amp; Exit)</t>
  </si>
  <si>
    <t>5 Staff</t>
  </si>
  <si>
    <t>7 Staff</t>
  </si>
  <si>
    <t>8 Staff</t>
  </si>
  <si>
    <t>Trade License + Title Fee</t>
  </si>
  <si>
    <t>Business trips</t>
  </si>
  <si>
    <t>Franchise Fee</t>
  </si>
  <si>
    <t>Audit Fees</t>
  </si>
  <si>
    <t xml:space="preserve">Misc Expenses </t>
  </si>
  <si>
    <t>Total Operating Expenses</t>
  </si>
  <si>
    <t>Marketing &amp; Promotion</t>
  </si>
  <si>
    <t>Financial Expenses</t>
  </si>
  <si>
    <t>Total Other Expenses</t>
  </si>
  <si>
    <t>TOTAL Expenses</t>
  </si>
  <si>
    <t>( 10 months)</t>
  </si>
  <si>
    <t>(12 Months)</t>
  </si>
  <si>
    <t>Total Income</t>
  </si>
  <si>
    <t>Less Total Expenses</t>
  </si>
  <si>
    <t>Net Profit</t>
  </si>
  <si>
    <t>CAPEX: Office Computers+Equip (Asset)</t>
  </si>
  <si>
    <t>Office Interiors + furnitures (Asset)</t>
  </si>
  <si>
    <t>ALL IN USD</t>
  </si>
  <si>
    <t>COST  (AED )</t>
  </si>
  <si>
    <t>SUMMARY</t>
  </si>
  <si>
    <t>AED</t>
  </si>
  <si>
    <t>Copies Sold (@aed 11.01)</t>
  </si>
  <si>
    <t>Copies Sold (@AED 11.01)</t>
  </si>
  <si>
    <t>REVENUE SUMMARY (AED)</t>
  </si>
  <si>
    <t>Cost of Revenue (AED)</t>
  </si>
  <si>
    <t>Operating Expenses (AED)</t>
  </si>
  <si>
    <t>5009.6/staff</t>
  </si>
  <si>
    <t>12,000 copies @ AED 7.71</t>
  </si>
  <si>
    <t>29,000 copies @ AED 7.71</t>
  </si>
  <si>
    <t>32,000 copies @ AED 7.71</t>
  </si>
  <si>
    <t>38,000 copies @ AED 7.71</t>
  </si>
  <si>
    <t>42,000 copies @ AED 7.71</t>
  </si>
  <si>
    <t>Copies Sold (@ AED 11.01)</t>
  </si>
  <si>
    <t>Copies Sold (@ AED 14.68)</t>
  </si>
  <si>
    <t>Copies Sold (@AED 14.68</t>
  </si>
  <si>
    <t>Year 5 ( 2019 ) TOTAL Income :   AED 4,410,386</t>
  </si>
  <si>
    <t>Print Ads Income AED</t>
  </si>
  <si>
    <t>CEO / Publisher / Director- Sales - Accomodation</t>
  </si>
  <si>
    <t>CEO / Publisher / Director- Sales - Vehicle &amp; Maintenance</t>
  </si>
  <si>
    <t>Year 1 ( 2015 March - Dec : 9 Months) TOTAL Income :   AED 742,061</t>
  </si>
  <si>
    <t>Year 2 ( 2016 ) TOTAL Income :   AED 2,191,306</t>
  </si>
  <si>
    <t>Year 3 ( 2017 ) TOTAL Income :   AED 2,857,484</t>
  </si>
  <si>
    <t>Year 4 ( 2018 ) TOTAL Income :   AED 3,836,526</t>
  </si>
  <si>
    <t>50% rental yr1&amp;2</t>
  </si>
  <si>
    <t>Forecasted Statement of Comprehensive Income  (AED)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</si>
</sst>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0.00_);\(0.00\)"/>
    <numFmt numFmtId="165" formatCode="#,##0.00;\(#,##0.00\);0.00"/>
    <numFmt numFmtId="166" formatCode="_-* #,##0_-;_-* #,##0\-;_-* &quot;-&quot;??_-;_-@_-"/>
    <numFmt numFmtId="167" formatCode="_(* #,##0_);_(* \(#,##0\);_(* &quot;-&quot;??_);_(@_)"/>
    <numFmt numFmtId="168" formatCode="_-* #,##0\ _D_M_-;\-* #,##0\ _D_M_-;_-* &quot;-&quot;\ _D_M_-;_-@_-"/>
    <numFmt numFmtId="169" formatCode="_-* #,##0.00\ _D_M_-;\-* #,##0.00\ _D_M_-;_-* &quot;-&quot;??\ _D_M_-;_-@_-"/>
    <numFmt numFmtId="170" formatCode="General_)"/>
    <numFmt numFmtId="171" formatCode="_-* #,##0\ &quot;DM&quot;_-;\-* #,##0\ &quot;DM&quot;_-;_-* &quot;-&quot;\ &quot;DM&quot;_-;_-@_-"/>
    <numFmt numFmtId="172" formatCode="_-* #,##0.00\ &quot;DM&quot;_-;\-* #,##0.00\ &quot;DM&quot;_-;_-* &quot;-&quot;??\ &quot;DM&quot;_-;_-@_-"/>
    <numFmt numFmtId="173" formatCode="[$-809]dd\-mm\-yyyy;@"/>
    <numFmt numFmtId="174" formatCode="#,##0.0000_);\(#,##0.0000\)"/>
  </numFmts>
  <fonts count="50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i/>
      <sz val="10"/>
      <color indexed="8"/>
      <name val="Verdana"/>
      <family val="2"/>
    </font>
    <font>
      <b/>
      <sz val="12"/>
      <color indexed="8"/>
      <name val="Verdana"/>
      <family val="2"/>
    </font>
    <font>
      <b/>
      <sz val="10"/>
      <color indexed="8"/>
      <name val="Arial"/>
      <family val="2"/>
    </font>
    <font>
      <b/>
      <i/>
      <sz val="10"/>
      <color indexed="8"/>
      <name val="Arial"/>
      <family val="2"/>
    </font>
    <font>
      <sz val="10"/>
      <name val="Arial"/>
      <family val="2"/>
    </font>
    <font>
      <sz val="10"/>
      <color indexed="8"/>
      <name val="Verdana"/>
      <family val="2"/>
    </font>
    <font>
      <b/>
      <sz val="10"/>
      <color indexed="8"/>
      <name val="Verdana"/>
      <family val="2"/>
    </font>
    <font>
      <sz val="9"/>
      <color indexed="8"/>
      <name val="Arial"/>
      <family val="2"/>
    </font>
    <font>
      <b/>
      <sz val="9"/>
      <color indexed="8"/>
      <name val="Verdana"/>
      <family val="2"/>
    </font>
    <font>
      <sz val="9"/>
      <color indexed="8"/>
      <name val="Verdana"/>
      <family val="2"/>
    </font>
    <font>
      <b/>
      <sz val="9"/>
      <color indexed="8"/>
      <name val="Arial"/>
      <family val="2"/>
    </font>
    <font>
      <sz val="11"/>
      <color indexed="8"/>
      <name val="Calibri"/>
      <family val="2"/>
    </font>
    <font>
      <b/>
      <sz val="10"/>
      <name val="Verdana"/>
      <family val="2"/>
    </font>
    <font>
      <sz val="10"/>
      <name val="Verdana"/>
      <family val="2"/>
    </font>
    <font>
      <i/>
      <sz val="10"/>
      <name val="Verdana"/>
      <family val="2"/>
    </font>
    <font>
      <b/>
      <i/>
      <sz val="10"/>
      <name val="Verdana"/>
      <family val="2"/>
    </font>
    <font>
      <sz val="11"/>
      <color indexed="8"/>
      <name val="Arial"/>
      <family val="2"/>
    </font>
    <font>
      <sz val="12"/>
      <name val="Times New Roman"/>
      <family val="1"/>
    </font>
    <font>
      <sz val="12"/>
      <name val="Arial"/>
      <family val="2"/>
    </font>
    <font>
      <sz val="12"/>
      <name val="Helv"/>
    </font>
    <font>
      <sz val="10"/>
      <name val="Courier"/>
      <family val="3"/>
    </font>
    <font>
      <sz val="15"/>
      <name val="Cordia New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9"/>
      <name val="Calibri"/>
      <family val="2"/>
      <scheme val="minor"/>
    </font>
    <font>
      <b/>
      <sz val="10"/>
      <color indexed="13"/>
      <name val="Calibri"/>
      <family val="2"/>
      <scheme val="minor"/>
    </font>
    <font>
      <b/>
      <sz val="10"/>
      <color rgb="FFFFFF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color theme="0"/>
      <name val="Arial"/>
      <family val="2"/>
    </font>
    <font>
      <b/>
      <sz val="10"/>
      <color theme="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sz val="11"/>
      <name val="Calibri"/>
      <family val="2"/>
      <scheme val="minor"/>
    </font>
    <font>
      <i/>
      <sz val="8"/>
      <name val="Arial"/>
      <family val="2"/>
    </font>
    <font>
      <i/>
      <sz val="11"/>
      <name val="Calibri"/>
      <family val="2"/>
      <scheme val="minor"/>
    </font>
    <font>
      <b/>
      <i/>
      <sz val="10"/>
      <name val="Arial"/>
      <family val="2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u/>
      <sz val="10"/>
      <name val="Arial"/>
      <family val="2"/>
    </font>
    <font>
      <i/>
      <sz val="8"/>
      <color theme="0"/>
      <name val="Arial"/>
      <family val="2"/>
    </font>
    <font>
      <i/>
      <sz val="9"/>
      <name val="Arial"/>
      <family val="2"/>
    </font>
    <font>
      <sz val="9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1"/>
        <bgColor indexed="9"/>
      </patternFill>
    </fill>
    <fill>
      <patternFill patternType="solid">
        <fgColor indexed="21"/>
        <bgColor indexed="64"/>
      </patternFill>
    </fill>
    <fill>
      <patternFill patternType="solid">
        <fgColor rgb="FFFF000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2">
    <xf numFmtId="0" fontId="0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6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6" fillId="0" borderId="0">
      <alignment vertical="top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" fillId="0" borderId="0">
      <alignment vertical="top"/>
    </xf>
    <xf numFmtId="0" fontId="1" fillId="0" borderId="0">
      <alignment vertical="top"/>
    </xf>
    <xf numFmtId="43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>
      <alignment vertical="top"/>
    </xf>
    <xf numFmtId="0" fontId="6" fillId="0" borderId="0"/>
    <xf numFmtId="0" fontId="6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6" fillId="0" borderId="0"/>
    <xf numFmtId="0" fontId="6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6" fillId="0" borderId="0">
      <alignment vertical="top"/>
    </xf>
    <xf numFmtId="9" fontId="13" fillId="0" borderId="0" applyFont="0" applyFill="0" applyBorder="0" applyAlignment="0" applyProtection="0"/>
    <xf numFmtId="37" fontId="13" fillId="0" borderId="0"/>
    <xf numFmtId="37" fontId="13" fillId="0" borderId="0"/>
    <xf numFmtId="0" fontId="19" fillId="0" borderId="0"/>
    <xf numFmtId="168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70" fontId="22" fillId="0" borderId="0"/>
    <xf numFmtId="171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0" fontId="23" fillId="0" borderId="0"/>
    <xf numFmtId="0" fontId="6" fillId="0" borderId="0"/>
  </cellStyleXfs>
  <cellXfs count="356">
    <xf numFmtId="0" fontId="0" fillId="0" borderId="0" xfId="0"/>
    <xf numFmtId="2" fontId="1" fillId="3" borderId="0" xfId="1" applyNumberFormat="1" applyFont="1" applyFill="1">
      <alignment vertical="top"/>
    </xf>
    <xf numFmtId="2" fontId="1" fillId="3" borderId="1" xfId="1" applyNumberFormat="1" applyFont="1" applyFill="1" applyBorder="1">
      <alignment vertical="top"/>
    </xf>
    <xf numFmtId="2" fontId="4" fillId="3" borderId="0" xfId="1" applyNumberFormat="1" applyFont="1" applyFill="1" applyAlignment="1">
      <alignment horizontal="center" vertical="top"/>
    </xf>
    <xf numFmtId="2" fontId="4" fillId="3" borderId="0" xfId="1" applyNumberFormat="1" applyFont="1" applyFill="1">
      <alignment vertical="top"/>
    </xf>
    <xf numFmtId="2" fontId="1" fillId="3" borderId="14" xfId="1" applyNumberFormat="1" applyFont="1" applyFill="1" applyBorder="1">
      <alignment vertical="top"/>
    </xf>
    <xf numFmtId="164" fontId="8" fillId="3" borderId="0" xfId="1" applyNumberFormat="1" applyFont="1" applyFill="1">
      <alignment vertical="top"/>
    </xf>
    <xf numFmtId="0" fontId="9" fillId="0" borderId="0" xfId="2" applyFont="1" applyFill="1" applyAlignment="1">
      <alignment vertical="top"/>
    </xf>
    <xf numFmtId="0" fontId="10" fillId="0" borderId="0" xfId="3" applyFont="1" applyFill="1" applyAlignment="1">
      <alignment vertical="top" readingOrder="1"/>
    </xf>
    <xf numFmtId="0" fontId="9" fillId="0" borderId="0" xfId="3" applyFont="1" applyFill="1" applyAlignment="1">
      <alignment vertical="top"/>
    </xf>
    <xf numFmtId="0" fontId="9" fillId="0" borderId="0" xfId="4" applyFont="1" applyFill="1" applyAlignment="1">
      <alignment vertical="top"/>
    </xf>
    <xf numFmtId="0" fontId="10" fillId="4" borderId="20" xfId="3" applyFont="1" applyFill="1" applyBorder="1" applyAlignment="1">
      <alignment vertical="top" readingOrder="1"/>
    </xf>
    <xf numFmtId="0" fontId="10" fillId="4" borderId="1" xfId="3" applyFont="1" applyFill="1" applyBorder="1" applyAlignment="1">
      <alignment vertical="top" readingOrder="1"/>
    </xf>
    <xf numFmtId="0" fontId="9" fillId="0" borderId="0" xfId="2" applyFont="1" applyFill="1" applyAlignment="1">
      <alignment vertical="center"/>
    </xf>
    <xf numFmtId="39" fontId="9" fillId="0" borderId="0" xfId="2" applyNumberFormat="1" applyFont="1" applyFill="1" applyAlignment="1">
      <alignment vertical="top"/>
    </xf>
    <xf numFmtId="0" fontId="15" fillId="0" borderId="0" xfId="42" applyFont="1" applyFill="1"/>
    <xf numFmtId="0" fontId="15" fillId="0" borderId="0" xfId="42" applyFont="1" applyFill="1" applyAlignment="1"/>
    <xf numFmtId="0" fontId="15" fillId="0" borderId="19" xfId="42" applyFont="1" applyFill="1" applyBorder="1"/>
    <xf numFmtId="0" fontId="15" fillId="0" borderId="22" xfId="42" applyFont="1" applyFill="1" applyBorder="1"/>
    <xf numFmtId="0" fontId="14" fillId="0" borderId="23" xfId="42" applyFont="1" applyFill="1" applyBorder="1" applyAlignment="1">
      <alignment horizontal="center"/>
    </xf>
    <xf numFmtId="0" fontId="15" fillId="0" borderId="17" xfId="42" applyFont="1" applyFill="1" applyBorder="1"/>
    <xf numFmtId="0" fontId="15" fillId="0" borderId="0" xfId="42" applyFont="1" applyFill="1" applyBorder="1"/>
    <xf numFmtId="0" fontId="14" fillId="0" borderId="10" xfId="42" applyFont="1" applyFill="1" applyBorder="1"/>
    <xf numFmtId="0" fontId="15" fillId="0" borderId="12" xfId="42" applyFont="1" applyFill="1" applyBorder="1"/>
    <xf numFmtId="0" fontId="14" fillId="0" borderId="13" xfId="42" applyFont="1" applyFill="1" applyBorder="1" applyAlignment="1">
      <alignment horizontal="center"/>
    </xf>
    <xf numFmtId="37" fontId="14" fillId="0" borderId="18" xfId="42" applyNumberFormat="1" applyFont="1" applyFill="1" applyBorder="1" applyAlignment="1">
      <alignment horizontal="center"/>
    </xf>
    <xf numFmtId="0" fontId="14" fillId="0" borderId="18" xfId="42" applyFont="1" applyFill="1" applyBorder="1" applyAlignment="1">
      <alignment horizontal="center"/>
    </xf>
    <xf numFmtId="37" fontId="15" fillId="0" borderId="18" xfId="42" applyNumberFormat="1" applyFont="1" applyFill="1" applyBorder="1" applyAlignment="1">
      <alignment horizontal="center"/>
    </xf>
    <xf numFmtId="165" fontId="7" fillId="0" borderId="18" xfId="3" applyNumberFormat="1" applyFont="1" applyFill="1" applyBorder="1" applyAlignment="1">
      <alignment vertical="top"/>
    </xf>
    <xf numFmtId="0" fontId="14" fillId="0" borderId="17" xfId="42" applyFont="1" applyFill="1" applyBorder="1" applyAlignment="1">
      <alignment horizontal="left"/>
    </xf>
    <xf numFmtId="166" fontId="15" fillId="0" borderId="9" xfId="24" applyNumberFormat="1" applyFont="1" applyFill="1" applyBorder="1"/>
    <xf numFmtId="166" fontId="15" fillId="0" borderId="18" xfId="24" applyNumberFormat="1" applyFont="1" applyFill="1" applyBorder="1"/>
    <xf numFmtId="0" fontId="15" fillId="0" borderId="17" xfId="42" applyFont="1" applyFill="1" applyBorder="1" applyAlignment="1"/>
    <xf numFmtId="0" fontId="15" fillId="0" borderId="0" xfId="42" applyFont="1" applyFill="1" applyBorder="1" applyAlignment="1"/>
    <xf numFmtId="166" fontId="15" fillId="0" borderId="13" xfId="24" applyNumberFormat="1" applyFont="1" applyFill="1" applyBorder="1"/>
    <xf numFmtId="0" fontId="14" fillId="0" borderId="17" xfId="42" applyFont="1" applyFill="1" applyBorder="1"/>
    <xf numFmtId="0" fontId="14" fillId="0" borderId="0" xfId="42" applyFont="1" applyFill="1" applyBorder="1" applyAlignment="1"/>
    <xf numFmtId="0" fontId="14" fillId="0" borderId="17" xfId="42" applyFont="1" applyFill="1" applyBorder="1" applyAlignment="1">
      <alignment horizontal="justify"/>
    </xf>
    <xf numFmtId="0" fontId="14" fillId="0" borderId="17" xfId="42" applyFont="1" applyFill="1" applyBorder="1" applyAlignment="1"/>
    <xf numFmtId="37" fontId="14" fillId="0" borderId="2" xfId="42" applyNumberFormat="1" applyFont="1" applyFill="1" applyBorder="1" applyAlignment="1">
      <alignment horizontal="center"/>
    </xf>
    <xf numFmtId="0" fontId="15" fillId="0" borderId="18" xfId="42" applyFont="1" applyFill="1" applyBorder="1" applyAlignment="1">
      <alignment horizontal="center"/>
    </xf>
    <xf numFmtId="0" fontId="16" fillId="0" borderId="17" xfId="42" applyFont="1" applyFill="1" applyBorder="1"/>
    <xf numFmtId="0" fontId="16" fillId="0" borderId="0" xfId="42" applyFont="1" applyFill="1" applyBorder="1"/>
    <xf numFmtId="0" fontId="16" fillId="0" borderId="18" xfId="42" applyFont="1" applyFill="1" applyBorder="1"/>
    <xf numFmtId="37" fontId="16" fillId="0" borderId="18" xfId="42" applyNumberFormat="1" applyFont="1" applyFill="1" applyBorder="1" applyAlignment="1">
      <alignment horizontal="center"/>
    </xf>
    <xf numFmtId="37" fontId="17" fillId="0" borderId="2" xfId="42" applyNumberFormat="1" applyFont="1" applyFill="1" applyBorder="1" applyAlignment="1">
      <alignment horizontal="center"/>
    </xf>
    <xf numFmtId="0" fontId="16" fillId="0" borderId="24" xfId="42" applyFont="1" applyFill="1" applyBorder="1"/>
    <xf numFmtId="0" fontId="16" fillId="0" borderId="25" xfId="42" applyFont="1" applyFill="1" applyBorder="1"/>
    <xf numFmtId="0" fontId="16" fillId="0" borderId="26" xfId="42" applyFont="1" applyFill="1" applyBorder="1" applyAlignment="1">
      <alignment horizontal="center"/>
    </xf>
    <xf numFmtId="0" fontId="16" fillId="0" borderId="0" xfId="42" applyFont="1" applyFill="1"/>
    <xf numFmtId="0" fontId="16" fillId="0" borderId="0" xfId="42" applyFont="1" applyFill="1" applyAlignment="1">
      <alignment horizontal="center"/>
    </xf>
    <xf numFmtId="37" fontId="15" fillId="0" borderId="0" xfId="42" applyNumberFormat="1" applyFont="1" applyFill="1" applyAlignment="1">
      <alignment horizontal="center"/>
    </xf>
    <xf numFmtId="164" fontId="8" fillId="3" borderId="1" xfId="1" applyNumberFormat="1" applyFont="1" applyFill="1" applyBorder="1" applyAlignment="1">
      <alignment horizontal="center" vertical="top"/>
    </xf>
    <xf numFmtId="0" fontId="15" fillId="0" borderId="0" xfId="42" applyFont="1" applyFill="1" applyAlignment="1">
      <alignment horizontal="center"/>
    </xf>
    <xf numFmtId="0" fontId="10" fillId="4" borderId="20" xfId="3" applyFont="1" applyFill="1" applyBorder="1" applyAlignment="1">
      <alignment horizontal="center" vertical="top" readingOrder="1"/>
    </xf>
    <xf numFmtId="0" fontId="15" fillId="0" borderId="23" xfId="42" applyFont="1" applyFill="1" applyBorder="1"/>
    <xf numFmtId="0" fontId="15" fillId="0" borderId="18" xfId="42" applyFont="1" applyFill="1" applyBorder="1"/>
    <xf numFmtId="0" fontId="15" fillId="0" borderId="13" xfId="42" applyFont="1" applyFill="1" applyBorder="1"/>
    <xf numFmtId="0" fontId="15" fillId="0" borderId="18" xfId="42" applyFont="1" applyFill="1" applyBorder="1" applyAlignment="1"/>
    <xf numFmtId="0" fontId="15" fillId="0" borderId="18" xfId="25" applyFont="1" applyFill="1" applyBorder="1">
      <alignment vertical="top"/>
    </xf>
    <xf numFmtId="0" fontId="14" fillId="0" borderId="18" xfId="42" applyFont="1" applyFill="1" applyBorder="1" applyAlignment="1"/>
    <xf numFmtId="0" fontId="16" fillId="0" borderId="26" xfId="42" applyFont="1" applyFill="1" applyBorder="1"/>
    <xf numFmtId="0" fontId="11" fillId="0" borderId="10" xfId="3" applyFont="1" applyFill="1" applyBorder="1" applyAlignment="1">
      <alignment vertical="top" readingOrder="1"/>
    </xf>
    <xf numFmtId="0" fontId="12" fillId="5" borderId="1" xfId="2" applyFont="1" applyFill="1" applyBorder="1" applyAlignment="1">
      <alignment horizontal="center" vertical="top"/>
    </xf>
    <xf numFmtId="0" fontId="12" fillId="5" borderId="1" xfId="2" applyFont="1" applyFill="1" applyBorder="1" applyAlignment="1">
      <alignment horizontal="center" vertical="center"/>
    </xf>
    <xf numFmtId="165" fontId="9" fillId="0" borderId="0" xfId="2" applyNumberFormat="1" applyFont="1" applyFill="1" applyAlignment="1">
      <alignment vertical="top"/>
    </xf>
    <xf numFmtId="0" fontId="10" fillId="0" borderId="21" xfId="3" applyFont="1" applyFill="1" applyBorder="1" applyAlignment="1">
      <alignment horizontal="center" vertical="top" readingOrder="1"/>
    </xf>
    <xf numFmtId="0" fontId="10" fillId="0" borderId="10" xfId="3" applyFont="1" applyFill="1" applyBorder="1" applyAlignment="1">
      <alignment horizontal="center" vertical="top" readingOrder="1"/>
    </xf>
    <xf numFmtId="0" fontId="10" fillId="0" borderId="14" xfId="3" applyFont="1" applyFill="1" applyBorder="1" applyAlignment="1">
      <alignment horizontal="center" vertical="top" readingOrder="1"/>
    </xf>
    <xf numFmtId="0" fontId="10" fillId="0" borderId="5" xfId="3" applyFont="1" applyFill="1" applyBorder="1" applyAlignment="1">
      <alignment horizontal="center" vertical="top" readingOrder="1"/>
    </xf>
    <xf numFmtId="0" fontId="9" fillId="0" borderId="6" xfId="2" applyFont="1" applyFill="1" applyBorder="1" applyAlignment="1">
      <alignment vertical="top"/>
    </xf>
    <xf numFmtId="0" fontId="10" fillId="4" borderId="22" xfId="3" applyFont="1" applyFill="1" applyBorder="1" applyAlignment="1">
      <alignment horizontal="center" vertical="top" readingOrder="1"/>
    </xf>
    <xf numFmtId="0" fontId="9" fillId="0" borderId="29" xfId="2" applyFont="1" applyFill="1" applyBorder="1" applyAlignment="1">
      <alignment vertical="top"/>
    </xf>
    <xf numFmtId="2" fontId="4" fillId="3" borderId="21" xfId="1" applyNumberFormat="1" applyFont="1" applyFill="1" applyBorder="1" applyAlignment="1">
      <alignment horizontal="center" vertical="top"/>
    </xf>
    <xf numFmtId="0" fontId="15" fillId="0" borderId="0" xfId="42" applyFont="1" applyFill="1" applyAlignment="1">
      <alignment horizontal="center"/>
    </xf>
    <xf numFmtId="2" fontId="1" fillId="3" borderId="21" xfId="1" applyNumberFormat="1" applyFont="1" applyFill="1" applyBorder="1" applyAlignment="1">
      <alignment horizontal="left" vertical="top"/>
    </xf>
    <xf numFmtId="2" fontId="1" fillId="3" borderId="10" xfId="1" applyNumberFormat="1" applyFont="1" applyFill="1" applyBorder="1" applyAlignment="1">
      <alignment horizontal="left" vertical="top"/>
    </xf>
    <xf numFmtId="2" fontId="1" fillId="3" borderId="30" xfId="1" applyNumberFormat="1" applyFont="1" applyFill="1" applyBorder="1" applyAlignment="1">
      <alignment horizontal="left" vertical="top"/>
    </xf>
    <xf numFmtId="2" fontId="4" fillId="3" borderId="1" xfId="1" applyNumberFormat="1" applyFont="1" applyFill="1" applyBorder="1" applyAlignment="1">
      <alignment horizontal="center" vertical="top"/>
    </xf>
    <xf numFmtId="2" fontId="1" fillId="3" borderId="0" xfId="1" applyNumberFormat="1" applyFont="1" applyFill="1" applyAlignment="1">
      <alignment horizontal="center" vertical="top"/>
    </xf>
    <xf numFmtId="2" fontId="1" fillId="3" borderId="10" xfId="1" applyNumberFormat="1" applyFont="1" applyFill="1" applyBorder="1" applyAlignment="1">
      <alignment horizontal="center" vertical="top"/>
    </xf>
    <xf numFmtId="2" fontId="4" fillId="3" borderId="10" xfId="1" applyNumberFormat="1" applyFont="1" applyFill="1" applyBorder="1" applyAlignment="1">
      <alignment horizontal="center" vertical="top"/>
    </xf>
    <xf numFmtId="3" fontId="1" fillId="3" borderId="0" xfId="1" applyNumberFormat="1" applyFont="1" applyFill="1">
      <alignment vertical="top"/>
    </xf>
    <xf numFmtId="3" fontId="4" fillId="3" borderId="2" xfId="1" applyNumberFormat="1" applyFont="1" applyFill="1" applyBorder="1" applyAlignment="1">
      <alignment horizontal="center" vertical="top"/>
    </xf>
    <xf numFmtId="3" fontId="4" fillId="3" borderId="6" xfId="1" applyNumberFormat="1" applyFont="1" applyFill="1" applyBorder="1">
      <alignment vertical="top"/>
    </xf>
    <xf numFmtId="3" fontId="18" fillId="3" borderId="11" xfId="1" applyNumberFormat="1" applyFont="1" applyFill="1" applyBorder="1" applyAlignment="1">
      <alignment horizontal="center" vertical="center"/>
    </xf>
    <xf numFmtId="3" fontId="18" fillId="3" borderId="6" xfId="0" applyNumberFormat="1" applyFont="1" applyFill="1" applyBorder="1" applyAlignment="1">
      <alignment horizontal="center" vertical="center"/>
    </xf>
    <xf numFmtId="3" fontId="18" fillId="3" borderId="11" xfId="0" applyNumberFormat="1" applyFont="1" applyFill="1" applyBorder="1" applyAlignment="1">
      <alignment horizontal="center" vertical="center"/>
    </xf>
    <xf numFmtId="3" fontId="18" fillId="3" borderId="15" xfId="0" applyNumberFormat="1" applyFont="1" applyFill="1" applyBorder="1" applyAlignment="1">
      <alignment horizontal="center" vertical="center"/>
    </xf>
    <xf numFmtId="37" fontId="18" fillId="3" borderId="11" xfId="1" applyNumberFormat="1" applyFont="1" applyFill="1" applyBorder="1" applyAlignment="1">
      <alignment horizontal="center" vertical="center"/>
    </xf>
    <xf numFmtId="2" fontId="1" fillId="3" borderId="1" xfId="1" applyNumberFormat="1" applyFont="1" applyFill="1" applyBorder="1" applyAlignment="1">
      <alignment horizontal="center" vertical="top"/>
    </xf>
    <xf numFmtId="2" fontId="1" fillId="3" borderId="30" xfId="1" applyNumberFormat="1" applyFont="1" applyFill="1" applyBorder="1" applyAlignment="1">
      <alignment horizontal="center" vertical="top"/>
    </xf>
    <xf numFmtId="1" fontId="3" fillId="3" borderId="1" xfId="1" applyNumberFormat="1" applyFont="1" applyFill="1" applyBorder="1" applyAlignment="1">
      <alignment horizontal="center" vertical="top"/>
    </xf>
    <xf numFmtId="2" fontId="5" fillId="3" borderId="1" xfId="1" applyNumberFormat="1" applyFont="1" applyFill="1" applyBorder="1" applyAlignment="1">
      <alignment horizontal="center" vertical="top"/>
    </xf>
    <xf numFmtId="3" fontId="4" fillId="3" borderId="2" xfId="1" applyNumberFormat="1" applyFont="1" applyFill="1" applyBorder="1" applyAlignment="1">
      <alignment horizontal="center" vertical="center"/>
    </xf>
    <xf numFmtId="2" fontId="4" fillId="3" borderId="21" xfId="1" applyNumberFormat="1" applyFont="1" applyFill="1" applyBorder="1" applyAlignment="1">
      <alignment horizontal="center" vertical="center"/>
    </xf>
    <xf numFmtId="2" fontId="1" fillId="3" borderId="10" xfId="1" applyNumberFormat="1" applyFont="1" applyFill="1" applyBorder="1" applyAlignment="1">
      <alignment horizontal="center" vertical="center"/>
    </xf>
    <xf numFmtId="2" fontId="1" fillId="3" borderId="14" xfId="1" applyNumberFormat="1" applyFont="1" applyFill="1" applyBorder="1" applyAlignment="1">
      <alignment horizontal="center" vertical="center"/>
    </xf>
    <xf numFmtId="2" fontId="5" fillId="3" borderId="1" xfId="1" applyNumberFormat="1" applyFont="1" applyFill="1" applyBorder="1" applyAlignment="1">
      <alignment horizontal="center" vertical="center"/>
    </xf>
    <xf numFmtId="2" fontId="1" fillId="3" borderId="21" xfId="1" applyNumberFormat="1" applyFont="1" applyFill="1" applyBorder="1" applyAlignment="1">
      <alignment horizontal="center" vertical="center"/>
    </xf>
    <xf numFmtId="37" fontId="8" fillId="3" borderId="2" xfId="1" applyNumberFormat="1" applyFont="1" applyFill="1" applyBorder="1" applyAlignment="1">
      <alignment horizontal="center" vertical="center"/>
    </xf>
    <xf numFmtId="1" fontId="3" fillId="3" borderId="2" xfId="1" applyNumberFormat="1" applyFont="1" applyFill="1" applyBorder="1" applyAlignment="1">
      <alignment horizontal="center" vertical="top"/>
    </xf>
    <xf numFmtId="0" fontId="24" fillId="0" borderId="0" xfId="4" applyFont="1" applyAlignment="1"/>
    <xf numFmtId="0" fontId="24" fillId="0" borderId="0" xfId="4" applyNumberFormat="1" applyFont="1" applyAlignment="1"/>
    <xf numFmtId="43" fontId="24" fillId="0" borderId="0" xfId="18" applyFont="1" applyFill="1" applyBorder="1" applyAlignment="1"/>
    <xf numFmtId="0" fontId="24" fillId="0" borderId="0" xfId="4" applyFont="1" applyFill="1" applyBorder="1" applyAlignment="1"/>
    <xf numFmtId="0" fontId="24" fillId="0" borderId="31" xfId="4" applyFont="1" applyFill="1" applyBorder="1" applyAlignment="1"/>
    <xf numFmtId="0" fontId="26" fillId="0" borderId="0" xfId="4" applyFont="1" applyFill="1" applyBorder="1">
      <alignment vertical="top"/>
    </xf>
    <xf numFmtId="0" fontId="24" fillId="0" borderId="0" xfId="4" applyFont="1" applyFill="1" applyAlignment="1"/>
    <xf numFmtId="0" fontId="26" fillId="0" borderId="0" xfId="4" applyFont="1" applyBorder="1" applyAlignment="1">
      <alignment horizontal="left" vertical="top"/>
    </xf>
    <xf numFmtId="0" fontId="27" fillId="0" borderId="0" xfId="4" applyFont="1" applyBorder="1" applyAlignment="1">
      <alignment horizontal="left" vertical="top"/>
    </xf>
    <xf numFmtId="14" fontId="25" fillId="7" borderId="2" xfId="4" applyNumberFormat="1" applyFont="1" applyFill="1" applyBorder="1" applyAlignment="1">
      <alignment horizontal="left" vertical="top"/>
    </xf>
    <xf numFmtId="173" fontId="26" fillId="0" borderId="0" xfId="4" applyNumberFormat="1" applyFont="1" applyBorder="1" applyAlignment="1">
      <alignment horizontal="left"/>
    </xf>
    <xf numFmtId="14" fontId="26" fillId="0" borderId="0" xfId="4" applyNumberFormat="1" applyFont="1" applyBorder="1" applyAlignment="1">
      <alignment horizontal="left"/>
    </xf>
    <xf numFmtId="14" fontId="28" fillId="0" borderId="0" xfId="4" applyNumberFormat="1" applyFont="1" applyFill="1" applyBorder="1" applyAlignment="1">
      <alignment horizontal="left" vertical="top"/>
    </xf>
    <xf numFmtId="0" fontId="26" fillId="0" borderId="0" xfId="4" applyFont="1" applyFill="1" applyBorder="1" applyAlignment="1">
      <alignment horizontal="left" vertical="top"/>
    </xf>
    <xf numFmtId="14" fontId="28" fillId="0" borderId="32" xfId="18" applyNumberFormat="1" applyFont="1" applyFill="1" applyBorder="1" applyAlignment="1">
      <alignment horizontal="left"/>
    </xf>
    <xf numFmtId="43" fontId="26" fillId="0" borderId="0" xfId="18" applyFont="1" applyFill="1" applyBorder="1" applyAlignment="1">
      <alignment horizontal="left" vertical="top"/>
    </xf>
    <xf numFmtId="0" fontId="26" fillId="0" borderId="31" xfId="4" applyFont="1" applyFill="1" applyBorder="1" applyAlignment="1">
      <alignment horizontal="left" vertical="top"/>
    </xf>
    <xf numFmtId="0" fontId="26" fillId="0" borderId="0" xfId="4" applyFont="1" applyFill="1" applyAlignment="1">
      <alignment horizontal="left" vertical="top"/>
    </xf>
    <xf numFmtId="0" fontId="26" fillId="0" borderId="7" xfId="4" applyFont="1" applyBorder="1" applyAlignment="1">
      <alignment horizontal="left" vertical="top"/>
    </xf>
    <xf numFmtId="173" fontId="26" fillId="0" borderId="7" xfId="4" applyNumberFormat="1" applyFont="1" applyBorder="1" applyAlignment="1">
      <alignment horizontal="left"/>
    </xf>
    <xf numFmtId="0" fontId="26" fillId="0" borderId="7" xfId="4" applyNumberFormat="1" applyFont="1" applyBorder="1" applyAlignment="1">
      <alignment horizontal="left"/>
    </xf>
    <xf numFmtId="14" fontId="28" fillId="0" borderId="7" xfId="4" applyNumberFormat="1" applyFont="1" applyFill="1" applyBorder="1" applyAlignment="1">
      <alignment horizontal="left" vertical="top"/>
    </xf>
    <xf numFmtId="14" fontId="28" fillId="0" borderId="27" xfId="18" applyNumberFormat="1" applyFont="1" applyFill="1" applyBorder="1" applyAlignment="1">
      <alignment horizontal="left"/>
    </xf>
    <xf numFmtId="14" fontId="29" fillId="8" borderId="31" xfId="18" applyNumberFormat="1" applyFont="1" applyFill="1" applyBorder="1" applyAlignment="1">
      <alignment horizontal="left"/>
    </xf>
    <xf numFmtId="14" fontId="30" fillId="9" borderId="31" xfId="18" applyNumberFormat="1" applyFont="1" applyFill="1" applyBorder="1" applyAlignment="1">
      <alignment horizontal="left"/>
    </xf>
    <xf numFmtId="14" fontId="29" fillId="9" borderId="31" xfId="18" applyNumberFormat="1" applyFont="1" applyFill="1" applyBorder="1" applyAlignment="1">
      <alignment horizontal="left"/>
    </xf>
    <xf numFmtId="167" fontId="29" fillId="8" borderId="31" xfId="18" applyNumberFormat="1" applyFont="1" applyFill="1" applyBorder="1" applyAlignment="1">
      <alignment horizontal="left"/>
    </xf>
    <xf numFmtId="167" fontId="29" fillId="8" borderId="33" xfId="18" applyNumberFormat="1" applyFont="1" applyFill="1" applyBorder="1" applyAlignment="1">
      <alignment horizontal="left"/>
    </xf>
    <xf numFmtId="14" fontId="26" fillId="0" borderId="31" xfId="4" applyNumberFormat="1" applyFont="1" applyFill="1" applyBorder="1" applyAlignment="1">
      <alignment horizontal="left" vertical="top"/>
    </xf>
    <xf numFmtId="14" fontId="29" fillId="0" borderId="0" xfId="18" applyNumberFormat="1" applyFont="1" applyFill="1" applyBorder="1" applyAlignment="1">
      <alignment horizontal="left"/>
    </xf>
    <xf numFmtId="0" fontId="28" fillId="10" borderId="31" xfId="4" applyFont="1" applyFill="1" applyBorder="1" applyAlignment="1">
      <alignment horizontal="center" vertical="center"/>
    </xf>
    <xf numFmtId="173" fontId="28" fillId="10" borderId="31" xfId="4" applyNumberFormat="1" applyFont="1" applyFill="1" applyBorder="1" applyAlignment="1">
      <alignment horizontal="center" vertical="center"/>
    </xf>
    <xf numFmtId="0" fontId="28" fillId="10" borderId="31" xfId="4" applyNumberFormat="1" applyFont="1" applyFill="1" applyBorder="1" applyAlignment="1">
      <alignment horizontal="center" vertical="center"/>
    </xf>
    <xf numFmtId="167" fontId="28" fillId="11" borderId="31" xfId="18" applyNumberFormat="1" applyFont="1" applyFill="1" applyBorder="1" applyAlignment="1">
      <alignment horizontal="center" vertical="center"/>
    </xf>
    <xf numFmtId="167" fontId="28" fillId="11" borderId="33" xfId="18" applyNumberFormat="1" applyFont="1" applyFill="1" applyBorder="1" applyAlignment="1">
      <alignment horizontal="center" vertical="center"/>
    </xf>
    <xf numFmtId="167" fontId="26" fillId="0" borderId="0" xfId="18" applyNumberFormat="1" applyFont="1" applyFill="1" applyBorder="1" applyAlignment="1">
      <alignment horizontal="left"/>
    </xf>
    <xf numFmtId="0" fontId="26" fillId="0" borderId="31" xfId="4" applyFont="1" applyFill="1" applyBorder="1">
      <alignment vertical="top"/>
    </xf>
    <xf numFmtId="15" fontId="24" fillId="0" borderId="31" xfId="4" applyNumberFormat="1" applyFont="1" applyFill="1" applyBorder="1" applyAlignment="1"/>
    <xf numFmtId="0" fontId="26" fillId="0" borderId="31" xfId="4" applyNumberFormat="1" applyFont="1" applyFill="1" applyBorder="1" applyAlignment="1">
      <alignment horizontal="center" vertical="top"/>
    </xf>
    <xf numFmtId="9" fontId="24" fillId="0" borderId="31" xfId="4" applyNumberFormat="1" applyFont="1" applyFill="1" applyBorder="1" applyAlignment="1"/>
    <xf numFmtId="43" fontId="24" fillId="0" borderId="31" xfId="18" applyFont="1" applyFill="1" applyBorder="1" applyAlignment="1"/>
    <xf numFmtId="37" fontId="26" fillId="0" borderId="31" xfId="18" applyNumberFormat="1" applyFont="1" applyFill="1" applyBorder="1" applyAlignment="1">
      <alignment vertical="top"/>
    </xf>
    <xf numFmtId="167" fontId="24" fillId="0" borderId="31" xfId="18" applyNumberFormat="1" applyFont="1" applyFill="1" applyBorder="1" applyAlignment="1">
      <alignment vertical="top"/>
    </xf>
    <xf numFmtId="43" fontId="24" fillId="0" borderId="31" xfId="18" applyFont="1" applyFill="1" applyBorder="1" applyAlignment="1">
      <alignment vertical="top"/>
    </xf>
    <xf numFmtId="167" fontId="26" fillId="0" borderId="31" xfId="18" applyNumberFormat="1" applyFont="1" applyFill="1" applyBorder="1" applyAlignment="1">
      <alignment vertical="top"/>
    </xf>
    <xf numFmtId="43" fontId="26" fillId="0" borderId="0" xfId="18" applyFont="1" applyFill="1" applyBorder="1" applyAlignment="1">
      <alignment vertical="top"/>
    </xf>
    <xf numFmtId="37" fontId="26" fillId="0" borderId="0" xfId="18" applyNumberFormat="1" applyFont="1" applyFill="1" applyBorder="1" applyAlignment="1">
      <alignment vertical="top"/>
    </xf>
    <xf numFmtId="3" fontId="24" fillId="0" borderId="0" xfId="4" applyNumberFormat="1" applyFont="1" applyFill="1" applyBorder="1" applyAlignment="1"/>
    <xf numFmtId="0" fontId="26" fillId="0" borderId="0" xfId="4" applyFont="1" applyFill="1">
      <alignment vertical="top"/>
    </xf>
    <xf numFmtId="0" fontId="24" fillId="0" borderId="31" xfId="4" applyFont="1" applyFill="1" applyBorder="1" applyAlignment="1">
      <alignment horizontal="left"/>
    </xf>
    <xf numFmtId="0" fontId="31" fillId="2" borderId="31" xfId="4" applyFont="1" applyFill="1" applyBorder="1">
      <alignment vertical="top"/>
    </xf>
    <xf numFmtId="0" fontId="31" fillId="2" borderId="31" xfId="4" applyFont="1" applyFill="1" applyBorder="1" applyAlignment="1"/>
    <xf numFmtId="0" fontId="31" fillId="2" borderId="31" xfId="4" applyNumberFormat="1" applyFont="1" applyFill="1" applyBorder="1" applyAlignment="1">
      <alignment horizontal="center" vertical="top"/>
    </xf>
    <xf numFmtId="9" fontId="31" fillId="2" borderId="31" xfId="4" applyNumberFormat="1" applyFont="1" applyFill="1" applyBorder="1" applyAlignment="1"/>
    <xf numFmtId="43" fontId="31" fillId="2" borderId="31" xfId="18" applyFont="1" applyFill="1" applyBorder="1" applyAlignment="1"/>
    <xf numFmtId="43" fontId="31" fillId="0" borderId="0" xfId="18" applyFont="1" applyFill="1" applyBorder="1" applyAlignment="1">
      <alignment vertical="top"/>
    </xf>
    <xf numFmtId="37" fontId="31" fillId="0" borderId="0" xfId="18" applyNumberFormat="1" applyFont="1" applyFill="1" applyBorder="1" applyAlignment="1">
      <alignment vertical="top"/>
    </xf>
    <xf numFmtId="37" fontId="31" fillId="0" borderId="31" xfId="18" applyNumberFormat="1" applyFont="1" applyFill="1" applyBorder="1" applyAlignment="1">
      <alignment vertical="top"/>
    </xf>
    <xf numFmtId="0" fontId="31" fillId="0" borderId="0" xfId="4" applyFont="1" applyFill="1" applyBorder="1">
      <alignment vertical="top"/>
    </xf>
    <xf numFmtId="37" fontId="24" fillId="0" borderId="31" xfId="18" applyNumberFormat="1" applyFont="1" applyFill="1" applyBorder="1" applyAlignment="1"/>
    <xf numFmtId="3" fontId="31" fillId="0" borderId="0" xfId="4" applyNumberFormat="1" applyFont="1" applyFill="1" applyBorder="1" applyAlignment="1"/>
    <xf numFmtId="0" fontId="31" fillId="2" borderId="28" xfId="4" applyFont="1" applyFill="1" applyBorder="1">
      <alignment vertical="top"/>
    </xf>
    <xf numFmtId="40" fontId="24" fillId="0" borderId="31" xfId="4" applyNumberFormat="1" applyFont="1" applyFill="1" applyBorder="1" applyAlignment="1"/>
    <xf numFmtId="0" fontId="26" fillId="0" borderId="34" xfId="4" applyFont="1" applyFill="1" applyBorder="1">
      <alignment vertical="top"/>
    </xf>
    <xf numFmtId="0" fontId="26" fillId="0" borderId="35" xfId="4" applyFont="1" applyFill="1" applyBorder="1">
      <alignment vertical="top"/>
    </xf>
    <xf numFmtId="14" fontId="31" fillId="2" borderId="31" xfId="4" applyNumberFormat="1" applyFont="1" applyFill="1" applyBorder="1" applyAlignment="1"/>
    <xf numFmtId="0" fontId="26" fillId="0" borderId="31" xfId="4" applyFont="1" applyBorder="1">
      <alignment vertical="top"/>
    </xf>
    <xf numFmtId="0" fontId="24" fillId="0" borderId="31" xfId="4" applyFont="1" applyBorder="1" applyAlignment="1"/>
    <xf numFmtId="14" fontId="24" fillId="0" borderId="31" xfId="4" applyNumberFormat="1" applyFont="1" applyBorder="1" applyAlignment="1"/>
    <xf numFmtId="9" fontId="24" fillId="0" borderId="31" xfId="4" applyNumberFormat="1" applyFont="1" applyBorder="1" applyAlignment="1"/>
    <xf numFmtId="43" fontId="24" fillId="0" borderId="31" xfId="18" applyFont="1" applyBorder="1" applyAlignment="1"/>
    <xf numFmtId="37" fontId="24" fillId="0" borderId="31" xfId="18" applyNumberFormat="1" applyFont="1" applyBorder="1" applyAlignment="1"/>
    <xf numFmtId="37" fontId="26" fillId="0" borderId="31" xfId="18" applyNumberFormat="1" applyFont="1" applyBorder="1" applyAlignment="1">
      <alignment vertical="top"/>
    </xf>
    <xf numFmtId="167" fontId="24" fillId="0" borderId="31" xfId="18" applyNumberFormat="1" applyFont="1" applyBorder="1" applyAlignment="1">
      <alignment vertical="top"/>
    </xf>
    <xf numFmtId="43" fontId="24" fillId="0" borderId="31" xfId="18" applyFont="1" applyBorder="1" applyAlignment="1">
      <alignment vertical="top"/>
    </xf>
    <xf numFmtId="167" fontId="26" fillId="0" borderId="31" xfId="18" applyNumberFormat="1" applyFont="1" applyBorder="1" applyAlignment="1">
      <alignment vertical="top"/>
    </xf>
    <xf numFmtId="2" fontId="24" fillId="0" borderId="0" xfId="4" applyNumberFormat="1" applyFont="1" applyFill="1" applyBorder="1" applyAlignment="1"/>
    <xf numFmtId="0" fontId="25" fillId="0" borderId="31" xfId="4" applyFont="1" applyBorder="1" applyAlignment="1"/>
    <xf numFmtId="0" fontId="25" fillId="0" borderId="31" xfId="4" applyNumberFormat="1" applyFont="1" applyBorder="1" applyAlignment="1"/>
    <xf numFmtId="43" fontId="25" fillId="7" borderId="31" xfId="18" applyFont="1" applyFill="1" applyBorder="1" applyAlignment="1"/>
    <xf numFmtId="43" fontId="25" fillId="0" borderId="0" xfId="18" applyFont="1" applyFill="1" applyBorder="1"/>
    <xf numFmtId="37" fontId="25" fillId="0" borderId="0" xfId="18" applyNumberFormat="1" applyFont="1" applyFill="1" applyBorder="1"/>
    <xf numFmtId="37" fontId="25" fillId="0" borderId="31" xfId="18" applyNumberFormat="1" applyFont="1" applyFill="1" applyBorder="1"/>
    <xf numFmtId="0" fontId="25" fillId="0" borderId="0" xfId="4" applyFont="1" applyFill="1" applyBorder="1" applyAlignment="1"/>
    <xf numFmtId="0" fontId="25" fillId="0" borderId="0" xfId="4" applyFont="1" applyFill="1" applyAlignment="1"/>
    <xf numFmtId="14" fontId="26" fillId="0" borderId="0" xfId="4" applyNumberFormat="1" applyFont="1" applyBorder="1">
      <alignment vertical="top"/>
    </xf>
    <xf numFmtId="0" fontId="26" fillId="0" borderId="0" xfId="4" applyFont="1" applyBorder="1">
      <alignment vertical="top"/>
    </xf>
    <xf numFmtId="9" fontId="24" fillId="0" borderId="0" xfId="4" applyNumberFormat="1" applyFont="1" applyAlignment="1"/>
    <xf numFmtId="37" fontId="26" fillId="0" borderId="0" xfId="18" applyNumberFormat="1" applyFont="1" applyBorder="1" applyAlignment="1">
      <alignment vertical="top"/>
    </xf>
    <xf numFmtId="37" fontId="24" fillId="0" borderId="0" xfId="18" applyNumberFormat="1" applyFont="1" applyAlignment="1"/>
    <xf numFmtId="43" fontId="24" fillId="0" borderId="0" xfId="18" applyFont="1" applyFill="1" applyBorder="1"/>
    <xf numFmtId="37" fontId="24" fillId="0" borderId="0" xfId="18" applyNumberFormat="1" applyFont="1" applyFill="1" applyBorder="1"/>
    <xf numFmtId="37" fontId="24" fillId="0" borderId="31" xfId="18" applyNumberFormat="1" applyFont="1" applyFill="1" applyBorder="1"/>
    <xf numFmtId="43" fontId="24" fillId="0" borderId="0" xfId="4" applyNumberFormat="1" applyFont="1" applyAlignment="1"/>
    <xf numFmtId="43" fontId="26" fillId="0" borderId="31" xfId="18" applyNumberFormat="1" applyFont="1" applyFill="1" applyBorder="1" applyAlignment="1">
      <alignment vertical="top"/>
    </xf>
    <xf numFmtId="3" fontId="10" fillId="5" borderId="2" xfId="3" applyNumberFormat="1" applyFont="1" applyFill="1" applyBorder="1" applyAlignment="1">
      <alignment horizontal="center" vertical="center"/>
    </xf>
    <xf numFmtId="37" fontId="11" fillId="0" borderId="11" xfId="3" applyNumberFormat="1" applyFont="1" applyFill="1" applyBorder="1" applyAlignment="1">
      <alignment horizontal="center" vertical="top"/>
    </xf>
    <xf numFmtId="37" fontId="10" fillId="0" borderId="11" xfId="3" applyNumberFormat="1" applyFont="1" applyFill="1" applyBorder="1" applyAlignment="1">
      <alignment horizontal="center" vertical="top"/>
    </xf>
    <xf numFmtId="37" fontId="9" fillId="0" borderId="11" xfId="2" applyNumberFormat="1" applyFont="1" applyFill="1" applyBorder="1" applyAlignment="1">
      <alignment horizontal="center" vertical="top"/>
    </xf>
    <xf numFmtId="37" fontId="9" fillId="0" borderId="12" xfId="2" applyNumberFormat="1" applyFont="1" applyFill="1" applyBorder="1" applyAlignment="1">
      <alignment horizontal="center" vertical="top"/>
    </xf>
    <xf numFmtId="37" fontId="8" fillId="0" borderId="16" xfId="3" applyNumberFormat="1" applyFont="1" applyFill="1" applyBorder="1" applyAlignment="1">
      <alignment horizontal="center" vertical="top"/>
    </xf>
    <xf numFmtId="37" fontId="10" fillId="5" borderId="2" xfId="3" applyNumberFormat="1" applyFont="1" applyFill="1" applyBorder="1" applyAlignment="1">
      <alignment horizontal="center" vertical="top"/>
    </xf>
    <xf numFmtId="37" fontId="10" fillId="5" borderId="3" xfId="3" applyNumberFormat="1" applyFont="1" applyFill="1" applyBorder="1" applyAlignment="1">
      <alignment horizontal="center" vertical="top"/>
    </xf>
    <xf numFmtId="37" fontId="10" fillId="4" borderId="2" xfId="3" applyNumberFormat="1" applyFont="1" applyFill="1" applyBorder="1" applyAlignment="1">
      <alignment horizontal="center" vertical="top"/>
    </xf>
    <xf numFmtId="37" fontId="10" fillId="4" borderId="3" xfId="3" applyNumberFormat="1" applyFont="1" applyFill="1" applyBorder="1" applyAlignment="1">
      <alignment horizontal="center" vertical="top"/>
    </xf>
    <xf numFmtId="37" fontId="9" fillId="0" borderId="8" xfId="2" applyNumberFormat="1" applyFont="1" applyFill="1" applyBorder="1" applyAlignment="1">
      <alignment horizontal="center" vertical="top"/>
    </xf>
    <xf numFmtId="37" fontId="9" fillId="0" borderId="7" xfId="2" applyNumberFormat="1" applyFont="1" applyFill="1" applyBorder="1" applyAlignment="1">
      <alignment horizontal="center" vertical="top"/>
    </xf>
    <xf numFmtId="37" fontId="11" fillId="0" borderId="12" xfId="3" applyNumberFormat="1" applyFont="1" applyFill="1" applyBorder="1" applyAlignment="1">
      <alignment horizontal="center" vertical="top"/>
    </xf>
    <xf numFmtId="0" fontId="20" fillId="0" borderId="0" xfId="26" applyFont="1" applyAlignment="1">
      <alignment vertical="center"/>
    </xf>
    <xf numFmtId="0" fontId="6" fillId="0" borderId="0" xfId="26" applyFont="1"/>
    <xf numFmtId="0" fontId="6" fillId="3" borderId="31" xfId="26" applyFont="1" applyFill="1" applyBorder="1" applyAlignment="1">
      <alignment horizontal="center"/>
    </xf>
    <xf numFmtId="0" fontId="33" fillId="0" borderId="0" xfId="26" applyFont="1"/>
    <xf numFmtId="0" fontId="6" fillId="0" borderId="0" xfId="26" applyFont="1" applyAlignment="1">
      <alignment horizontal="center"/>
    </xf>
    <xf numFmtId="0" fontId="33" fillId="0" borderId="0" xfId="26" applyFont="1" applyFill="1" applyBorder="1" applyAlignment="1">
      <alignment horizontal="center"/>
    </xf>
    <xf numFmtId="0" fontId="6" fillId="3" borderId="0" xfId="26" applyFont="1" applyFill="1" applyBorder="1" applyAlignment="1">
      <alignment horizontal="center"/>
    </xf>
    <xf numFmtId="0" fontId="35" fillId="3" borderId="0" xfId="26" applyFont="1" applyFill="1" applyBorder="1" applyAlignment="1">
      <alignment horizontal="center"/>
    </xf>
    <xf numFmtId="0" fontId="33" fillId="3" borderId="0" xfId="26" applyFont="1" applyFill="1" applyBorder="1" applyAlignment="1">
      <alignment horizontal="center"/>
    </xf>
    <xf numFmtId="167" fontId="6" fillId="3" borderId="0" xfId="18" applyNumberFormat="1" applyFont="1" applyFill="1" applyBorder="1" applyAlignment="1">
      <alignment horizontal="center"/>
    </xf>
    <xf numFmtId="0" fontId="6" fillId="0" borderId="31" xfId="26" applyFont="1" applyBorder="1" applyAlignment="1">
      <alignment horizontal="center"/>
    </xf>
    <xf numFmtId="167" fontId="6" fillId="0" borderId="31" xfId="18" applyNumberFormat="1" applyFont="1" applyBorder="1" applyAlignment="1">
      <alignment horizontal="center"/>
    </xf>
    <xf numFmtId="167" fontId="6" fillId="0" borderId="33" xfId="18" applyNumberFormat="1" applyFont="1" applyBorder="1" applyAlignment="1">
      <alignment horizontal="center"/>
    </xf>
    <xf numFmtId="167" fontId="33" fillId="3" borderId="0" xfId="18" applyNumberFormat="1" applyFont="1" applyFill="1" applyBorder="1" applyAlignment="1">
      <alignment horizontal="center" vertical="center"/>
    </xf>
    <xf numFmtId="9" fontId="47" fillId="3" borderId="0" xfId="26" applyNumberFormat="1" applyFont="1" applyFill="1" applyBorder="1" applyAlignment="1">
      <alignment horizontal="center" vertical="center"/>
    </xf>
    <xf numFmtId="0" fontId="34" fillId="3" borderId="0" xfId="26" applyFont="1" applyFill="1" applyBorder="1" applyAlignment="1">
      <alignment horizontal="center"/>
    </xf>
    <xf numFmtId="0" fontId="37" fillId="3" borderId="0" xfId="26" applyFont="1" applyFill="1" applyBorder="1" applyAlignment="1">
      <alignment horizontal="center" wrapText="1"/>
    </xf>
    <xf numFmtId="9" fontId="6" fillId="3" borderId="0" xfId="26" applyNumberFormat="1" applyFont="1" applyFill="1" applyBorder="1" applyAlignment="1">
      <alignment horizontal="center"/>
    </xf>
    <xf numFmtId="10" fontId="6" fillId="3" borderId="0" xfId="26" applyNumberFormat="1" applyFont="1" applyFill="1" applyBorder="1" applyAlignment="1">
      <alignment horizontal="center"/>
    </xf>
    <xf numFmtId="167" fontId="33" fillId="3" borderId="0" xfId="18" applyNumberFormat="1" applyFont="1" applyFill="1" applyBorder="1" applyAlignment="1">
      <alignment horizontal="center"/>
    </xf>
    <xf numFmtId="0" fontId="6" fillId="0" borderId="17" xfId="26" applyFont="1" applyBorder="1" applyAlignment="1">
      <alignment horizontal="center"/>
    </xf>
    <xf numFmtId="0" fontId="6" fillId="0" borderId="0" xfId="26" applyFont="1" applyBorder="1" applyAlignment="1">
      <alignment horizontal="center"/>
    </xf>
    <xf numFmtId="0" fontId="6" fillId="0" borderId="31" xfId="26" applyFont="1" applyFill="1" applyBorder="1" applyAlignment="1">
      <alignment horizontal="center"/>
    </xf>
    <xf numFmtId="0" fontId="6" fillId="0" borderId="0" xfId="26" applyFont="1" applyFill="1" applyBorder="1" applyAlignment="1">
      <alignment horizontal="center"/>
    </xf>
    <xf numFmtId="0" fontId="6" fillId="0" borderId="0" xfId="26" applyFont="1" applyAlignment="1">
      <alignment vertical="center"/>
    </xf>
    <xf numFmtId="0" fontId="41" fillId="0" borderId="0" xfId="26" applyFont="1" applyAlignment="1">
      <alignment horizontal="center"/>
    </xf>
    <xf numFmtId="0" fontId="41" fillId="3" borderId="0" xfId="26" applyFont="1" applyFill="1" applyBorder="1" applyAlignment="1">
      <alignment horizontal="center"/>
    </xf>
    <xf numFmtId="0" fontId="33" fillId="2" borderId="31" xfId="26" applyFont="1" applyFill="1" applyBorder="1" applyAlignment="1">
      <alignment horizontal="center"/>
    </xf>
    <xf numFmtId="167" fontId="6" fillId="3" borderId="31" xfId="18" applyNumberFormat="1" applyFont="1" applyFill="1" applyBorder="1" applyAlignment="1">
      <alignment horizontal="center"/>
    </xf>
    <xf numFmtId="167" fontId="6" fillId="0" borderId="0" xfId="18" applyNumberFormat="1" applyFont="1" applyFill="1" applyBorder="1" applyAlignment="1">
      <alignment horizontal="center"/>
    </xf>
    <xf numFmtId="0" fontId="6" fillId="0" borderId="0" xfId="26" applyFont="1" applyFill="1"/>
    <xf numFmtId="37" fontId="9" fillId="0" borderId="0" xfId="2" applyNumberFormat="1" applyFont="1" applyFill="1" applyAlignment="1">
      <alignment vertical="top"/>
    </xf>
    <xf numFmtId="174" fontId="9" fillId="0" borderId="0" xfId="2" applyNumberFormat="1" applyFont="1" applyFill="1" applyAlignment="1">
      <alignment vertical="top"/>
    </xf>
    <xf numFmtId="37" fontId="49" fillId="0" borderId="11" xfId="3" applyNumberFormat="1" applyFont="1" applyFill="1" applyBorder="1" applyAlignment="1">
      <alignment horizontal="center" vertical="top"/>
    </xf>
    <xf numFmtId="37" fontId="49" fillId="0" borderId="12" xfId="3" applyNumberFormat="1" applyFont="1" applyFill="1" applyBorder="1" applyAlignment="1">
      <alignment horizontal="center" vertical="top"/>
    </xf>
    <xf numFmtId="166" fontId="15" fillId="0" borderId="18" xfId="24" applyNumberFormat="1" applyFont="1" applyFill="1" applyBorder="1" applyAlignment="1">
      <alignment horizontal="center"/>
    </xf>
    <xf numFmtId="37" fontId="14" fillId="0" borderId="18" xfId="24" applyNumberFormat="1" applyFont="1" applyFill="1" applyBorder="1" applyAlignment="1">
      <alignment horizontal="center"/>
    </xf>
    <xf numFmtId="37" fontId="14" fillId="0" borderId="18" xfId="18" applyNumberFormat="1" applyFont="1" applyFill="1" applyBorder="1" applyAlignment="1">
      <alignment horizontal="center"/>
    </xf>
    <xf numFmtId="0" fontId="25" fillId="12" borderId="0" xfId="4" applyFont="1" applyFill="1" applyAlignment="1">
      <alignment horizontal="center"/>
    </xf>
    <xf numFmtId="0" fontId="33" fillId="0" borderId="31" xfId="26" applyFont="1" applyFill="1" applyBorder="1" applyAlignment="1">
      <alignment horizontal="center"/>
    </xf>
    <xf numFmtId="167" fontId="6" fillId="0" borderId="31" xfId="18" applyNumberFormat="1" applyFont="1" applyFill="1" applyBorder="1" applyAlignment="1">
      <alignment horizontal="center"/>
    </xf>
    <xf numFmtId="0" fontId="36" fillId="0" borderId="31" xfId="26" applyFont="1" applyFill="1" applyBorder="1" applyAlignment="1">
      <alignment horizontal="center"/>
    </xf>
    <xf numFmtId="3" fontId="6" fillId="0" borderId="31" xfId="26" applyNumberFormat="1" applyFont="1" applyFill="1" applyBorder="1" applyAlignment="1">
      <alignment horizontal="center"/>
    </xf>
    <xf numFmtId="0" fontId="37" fillId="0" borderId="31" xfId="26" applyFont="1" applyFill="1" applyBorder="1" applyAlignment="1">
      <alignment horizontal="center"/>
    </xf>
    <xf numFmtId="0" fontId="38" fillId="0" borderId="31" xfId="26" applyFont="1" applyFill="1" applyBorder="1" applyAlignment="1">
      <alignment horizontal="center"/>
    </xf>
    <xf numFmtId="0" fontId="43" fillId="0" borderId="31" xfId="26" applyFont="1" applyFill="1" applyBorder="1" applyAlignment="1">
      <alignment horizontal="center"/>
    </xf>
    <xf numFmtId="0" fontId="32" fillId="0" borderId="36" xfId="26" applyFont="1" applyFill="1" applyBorder="1" applyAlignment="1">
      <alignment horizontal="center" vertical="center"/>
    </xf>
    <xf numFmtId="0" fontId="33" fillId="0" borderId="31" xfId="26" applyFont="1" applyFill="1" applyBorder="1" applyAlignment="1">
      <alignment horizontal="center" vertical="center" wrapText="1"/>
    </xf>
    <xf numFmtId="3" fontId="33" fillId="0" borderId="31" xfId="26" applyNumberFormat="1" applyFont="1" applyFill="1" applyBorder="1" applyAlignment="1">
      <alignment horizontal="center"/>
    </xf>
    <xf numFmtId="0" fontId="39" fillId="0" borderId="31" xfId="26" applyFont="1" applyFill="1" applyBorder="1" applyAlignment="1">
      <alignment horizontal="center"/>
    </xf>
    <xf numFmtId="0" fontId="41" fillId="0" borderId="31" xfId="26" applyFont="1" applyFill="1" applyBorder="1" applyAlignment="1">
      <alignment horizontal="center"/>
    </xf>
    <xf numFmtId="0" fontId="33" fillId="0" borderId="31" xfId="26" applyFont="1" applyFill="1" applyBorder="1" applyAlignment="1">
      <alignment horizontal="center" vertical="center"/>
    </xf>
    <xf numFmtId="167" fontId="33" fillId="0" borderId="31" xfId="18" applyNumberFormat="1" applyFont="1" applyFill="1" applyBorder="1" applyAlignment="1">
      <alignment horizontal="center"/>
    </xf>
    <xf numFmtId="0" fontId="32" fillId="0" borderId="31" xfId="26" applyFont="1" applyFill="1" applyBorder="1" applyAlignment="1">
      <alignment horizontal="center" vertical="center"/>
    </xf>
    <xf numFmtId="0" fontId="43" fillId="0" borderId="31" xfId="26" applyFont="1" applyFill="1" applyBorder="1" applyAlignment="1">
      <alignment horizontal="center" vertical="center"/>
    </xf>
    <xf numFmtId="167" fontId="32" fillId="0" borderId="31" xfId="18" applyNumberFormat="1" applyFont="1" applyFill="1" applyBorder="1" applyAlignment="1">
      <alignment horizontal="center"/>
    </xf>
    <xf numFmtId="0" fontId="43" fillId="0" borderId="31" xfId="26" applyFont="1" applyFill="1" applyBorder="1" applyAlignment="1">
      <alignment horizontal="center" vertical="center" wrapText="1"/>
    </xf>
    <xf numFmtId="167" fontId="32" fillId="0" borderId="28" xfId="18" applyNumberFormat="1" applyFont="1" applyFill="1" applyBorder="1" applyAlignment="1">
      <alignment horizontal="center"/>
    </xf>
    <xf numFmtId="0" fontId="40" fillId="0" borderId="31" xfId="26" applyFont="1" applyFill="1" applyBorder="1" applyAlignment="1">
      <alignment horizontal="center"/>
    </xf>
    <xf numFmtId="167" fontId="40" fillId="0" borderId="31" xfId="18" applyNumberFormat="1" applyFont="1" applyFill="1" applyBorder="1" applyAlignment="1">
      <alignment horizontal="center"/>
    </xf>
    <xf numFmtId="0" fontId="42" fillId="0" borderId="31" xfId="26" applyFont="1" applyFill="1" applyBorder="1" applyAlignment="1">
      <alignment horizontal="center"/>
    </xf>
    <xf numFmtId="3" fontId="40" fillId="0" borderId="31" xfId="26" applyNumberFormat="1" applyFont="1" applyFill="1" applyBorder="1" applyAlignment="1">
      <alignment horizontal="center"/>
    </xf>
    <xf numFmtId="0" fontId="44" fillId="0" borderId="31" xfId="26" applyFont="1" applyFill="1" applyBorder="1" applyAlignment="1">
      <alignment horizontal="center"/>
    </xf>
    <xf numFmtId="3" fontId="44" fillId="0" borderId="31" xfId="26" applyNumberFormat="1" applyFont="1" applyFill="1" applyBorder="1" applyAlignment="1">
      <alignment horizontal="center"/>
    </xf>
    <xf numFmtId="0" fontId="45" fillId="0" borderId="31" xfId="26" applyFont="1" applyFill="1" applyBorder="1" applyAlignment="1">
      <alignment horizontal="center"/>
    </xf>
    <xf numFmtId="0" fontId="46" fillId="0" borderId="31" xfId="26" applyFont="1" applyFill="1" applyBorder="1" applyAlignment="1">
      <alignment horizontal="center"/>
    </xf>
    <xf numFmtId="167" fontId="6" fillId="0" borderId="33" xfId="18" applyNumberFormat="1" applyFont="1" applyFill="1" applyBorder="1" applyAlignment="1">
      <alignment horizontal="center"/>
    </xf>
    <xf numFmtId="0" fontId="48" fillId="0" borderId="31" xfId="26" applyFont="1" applyFill="1" applyBorder="1" applyAlignment="1">
      <alignment horizontal="center"/>
    </xf>
    <xf numFmtId="0" fontId="33" fillId="0" borderId="33" xfId="26" applyFont="1" applyFill="1" applyBorder="1" applyAlignment="1">
      <alignment horizontal="center"/>
    </xf>
    <xf numFmtId="3" fontId="33" fillId="0" borderId="31" xfId="26" applyNumberFormat="1" applyFont="1" applyFill="1" applyBorder="1" applyAlignment="1">
      <alignment horizontal="center" vertical="center"/>
    </xf>
    <xf numFmtId="10" fontId="41" fillId="0" borderId="31" xfId="26" applyNumberFormat="1" applyFont="1" applyFill="1" applyBorder="1" applyAlignment="1">
      <alignment horizontal="center" vertical="center"/>
    </xf>
    <xf numFmtId="9" fontId="41" fillId="0" borderId="31" xfId="26" applyNumberFormat="1" applyFont="1" applyFill="1" applyBorder="1" applyAlignment="1">
      <alignment horizontal="center" vertical="center"/>
    </xf>
    <xf numFmtId="167" fontId="33" fillId="0" borderId="33" xfId="18" applyNumberFormat="1" applyFont="1" applyFill="1" applyBorder="1" applyAlignment="1">
      <alignment horizontal="center" vertical="center"/>
    </xf>
    <xf numFmtId="0" fontId="48" fillId="0" borderId="31" xfId="26" applyFont="1" applyFill="1" applyBorder="1" applyAlignment="1">
      <alignment horizontal="center" wrapText="1"/>
    </xf>
    <xf numFmtId="0" fontId="37" fillId="0" borderId="31" xfId="26" applyFont="1" applyFill="1" applyBorder="1" applyAlignment="1">
      <alignment horizontal="center" wrapText="1"/>
    </xf>
    <xf numFmtId="167" fontId="33" fillId="0" borderId="33" xfId="18" applyNumberFormat="1" applyFont="1" applyFill="1" applyBorder="1" applyAlignment="1">
      <alignment horizontal="center"/>
    </xf>
    <xf numFmtId="9" fontId="48" fillId="0" borderId="31" xfId="26" applyNumberFormat="1" applyFont="1" applyFill="1" applyBorder="1" applyAlignment="1">
      <alignment horizontal="center"/>
    </xf>
    <xf numFmtId="10" fontId="48" fillId="0" borderId="31" xfId="26" applyNumberFormat="1" applyFont="1" applyFill="1" applyBorder="1" applyAlignment="1">
      <alignment horizontal="center"/>
    </xf>
    <xf numFmtId="167" fontId="48" fillId="0" borderId="31" xfId="18" applyNumberFormat="1" applyFont="1" applyFill="1" applyBorder="1" applyAlignment="1">
      <alignment horizontal="center"/>
    </xf>
    <xf numFmtId="167" fontId="36" fillId="0" borderId="31" xfId="18" applyNumberFormat="1" applyFont="1" applyFill="1" applyBorder="1" applyAlignment="1">
      <alignment horizontal="center"/>
    </xf>
    <xf numFmtId="0" fontId="33" fillId="0" borderId="33" xfId="26" applyFont="1" applyFill="1" applyBorder="1" applyAlignment="1">
      <alignment horizontal="center" vertical="center"/>
    </xf>
    <xf numFmtId="9" fontId="43" fillId="0" borderId="28" xfId="26" applyNumberFormat="1" applyFont="1" applyFill="1" applyBorder="1" applyAlignment="1">
      <alignment horizontal="center" vertical="center"/>
    </xf>
    <xf numFmtId="9" fontId="43" fillId="0" borderId="31" xfId="26" applyNumberFormat="1" applyFont="1" applyFill="1" applyBorder="1" applyAlignment="1">
      <alignment horizontal="center" vertical="center"/>
    </xf>
    <xf numFmtId="0" fontId="43" fillId="0" borderId="28" xfId="26" applyFont="1" applyFill="1" applyBorder="1" applyAlignment="1">
      <alignment horizontal="center" vertical="center"/>
    </xf>
    <xf numFmtId="167" fontId="33" fillId="0" borderId="31" xfId="18" applyNumberFormat="1" applyFont="1" applyFill="1" applyBorder="1" applyAlignment="1">
      <alignment horizontal="center" vertical="center"/>
    </xf>
    <xf numFmtId="0" fontId="33" fillId="0" borderId="36" xfId="26" applyFont="1" applyFill="1" applyBorder="1" applyAlignment="1">
      <alignment horizontal="center" vertical="center"/>
    </xf>
    <xf numFmtId="0" fontId="33" fillId="0" borderId="36" xfId="26" applyFont="1" applyFill="1" applyBorder="1" applyAlignment="1">
      <alignment horizontal="center"/>
    </xf>
    <xf numFmtId="0" fontId="36" fillId="0" borderId="36" xfId="26" applyFont="1" applyFill="1" applyBorder="1" applyAlignment="1">
      <alignment horizontal="center"/>
    </xf>
    <xf numFmtId="0" fontId="33" fillId="0" borderId="37" xfId="26" applyFont="1" applyFill="1" applyBorder="1" applyAlignment="1">
      <alignment horizontal="center"/>
    </xf>
    <xf numFmtId="0" fontId="6" fillId="0" borderId="31" xfId="61" applyFont="1" applyBorder="1" applyAlignment="1">
      <alignment horizontal="center"/>
    </xf>
    <xf numFmtId="167" fontId="6" fillId="0" borderId="31" xfId="18" applyNumberFormat="1" applyFont="1" applyBorder="1" applyAlignment="1">
      <alignment horizontal="center"/>
    </xf>
    <xf numFmtId="167" fontId="48" fillId="0" borderId="31" xfId="18" applyNumberFormat="1" applyFont="1" applyBorder="1" applyAlignment="1">
      <alignment horizontal="center"/>
    </xf>
    <xf numFmtId="0" fontId="6" fillId="3" borderId="0" xfId="61" applyFont="1" applyFill="1" applyBorder="1" applyAlignment="1">
      <alignment horizontal="center"/>
    </xf>
    <xf numFmtId="167" fontId="6" fillId="3" borderId="0" xfId="18" applyNumberFormat="1" applyFont="1" applyFill="1" applyBorder="1" applyAlignment="1">
      <alignment horizontal="center"/>
    </xf>
    <xf numFmtId="167" fontId="6" fillId="0" borderId="33" xfId="18" applyNumberFormat="1" applyFont="1" applyBorder="1" applyAlignment="1">
      <alignment horizontal="center"/>
    </xf>
    <xf numFmtId="0" fontId="32" fillId="0" borderId="38" xfId="26" applyFont="1" applyFill="1" applyBorder="1" applyAlignment="1">
      <alignment horizontal="center" vertical="center"/>
    </xf>
    <xf numFmtId="0" fontId="32" fillId="0" borderId="36" xfId="26" applyFont="1" applyFill="1" applyBorder="1" applyAlignment="1">
      <alignment horizontal="center" vertical="center"/>
    </xf>
    <xf numFmtId="0" fontId="33" fillId="0" borderId="33" xfId="26" applyFont="1" applyFill="1" applyBorder="1" applyAlignment="1">
      <alignment horizontal="center" vertical="center" wrapText="1"/>
    </xf>
    <xf numFmtId="0" fontId="33" fillId="0" borderId="28" xfId="26" applyFont="1" applyFill="1" applyBorder="1" applyAlignment="1">
      <alignment horizontal="center" vertical="center" wrapText="1"/>
    </xf>
    <xf numFmtId="0" fontId="43" fillId="0" borderId="35" xfId="26" applyFont="1" applyFill="1" applyBorder="1" applyAlignment="1">
      <alignment horizontal="center" vertical="center" wrapText="1"/>
    </xf>
    <xf numFmtId="0" fontId="43" fillId="0" borderId="36" xfId="26" applyFont="1" applyFill="1" applyBorder="1" applyAlignment="1">
      <alignment horizontal="center" vertical="center" wrapText="1"/>
    </xf>
    <xf numFmtId="0" fontId="33" fillId="0" borderId="35" xfId="26" applyFont="1" applyFill="1" applyBorder="1" applyAlignment="1">
      <alignment horizontal="center" vertical="center" wrapText="1"/>
    </xf>
    <xf numFmtId="0" fontId="33" fillId="0" borderId="36" xfId="26" applyFont="1" applyFill="1" applyBorder="1" applyAlignment="1">
      <alignment horizontal="center" vertical="center" wrapText="1"/>
    </xf>
    <xf numFmtId="0" fontId="43" fillId="0" borderId="35" xfId="26" applyFont="1" applyFill="1" applyBorder="1" applyAlignment="1">
      <alignment horizontal="center" vertical="center"/>
    </xf>
    <xf numFmtId="0" fontId="43" fillId="0" borderId="36" xfId="26" applyFont="1" applyFill="1" applyBorder="1" applyAlignment="1">
      <alignment horizontal="center" vertical="center"/>
    </xf>
    <xf numFmtId="0" fontId="32" fillId="0" borderId="37" xfId="26" applyFont="1" applyFill="1" applyBorder="1" applyAlignment="1">
      <alignment horizontal="center" vertical="center"/>
    </xf>
    <xf numFmtId="0" fontId="32" fillId="0" borderId="7" xfId="26" applyFont="1" applyFill="1" applyBorder="1" applyAlignment="1">
      <alignment horizontal="center" vertical="center"/>
    </xf>
    <xf numFmtId="0" fontId="32" fillId="0" borderId="27" xfId="26" applyFont="1" applyFill="1" applyBorder="1" applyAlignment="1">
      <alignment horizontal="center" vertical="center"/>
    </xf>
    <xf numFmtId="0" fontId="33" fillId="0" borderId="35" xfId="26" applyFont="1" applyFill="1" applyBorder="1" applyAlignment="1">
      <alignment horizontal="center" vertical="center"/>
    </xf>
    <xf numFmtId="0" fontId="33" fillId="0" borderId="36" xfId="26" applyFont="1" applyFill="1" applyBorder="1" applyAlignment="1">
      <alignment horizontal="center" vertical="center"/>
    </xf>
    <xf numFmtId="0" fontId="33" fillId="0" borderId="12" xfId="26" applyFont="1" applyFill="1" applyBorder="1" applyAlignment="1">
      <alignment horizontal="center" vertical="center" wrapText="1"/>
    </xf>
    <xf numFmtId="0" fontId="20" fillId="2" borderId="38" xfId="26" applyFont="1" applyFill="1" applyBorder="1" applyAlignment="1">
      <alignment horizontal="center" vertical="center"/>
    </xf>
    <xf numFmtId="3" fontId="32" fillId="0" borderId="33" xfId="26" applyNumberFormat="1" applyFont="1" applyFill="1" applyBorder="1" applyAlignment="1">
      <alignment horizontal="center" vertical="center"/>
    </xf>
    <xf numFmtId="3" fontId="32" fillId="0" borderId="12" xfId="26" applyNumberFormat="1" applyFont="1" applyFill="1" applyBorder="1" applyAlignment="1">
      <alignment horizontal="center" vertical="center"/>
    </xf>
    <xf numFmtId="3" fontId="32" fillId="0" borderId="28" xfId="26" applyNumberFormat="1" applyFont="1" applyFill="1" applyBorder="1" applyAlignment="1">
      <alignment horizontal="center" vertical="center"/>
    </xf>
    <xf numFmtId="0" fontId="35" fillId="12" borderId="0" xfId="26" applyFont="1" applyFill="1" applyBorder="1" applyAlignment="1">
      <alignment horizontal="center" vertical="center"/>
    </xf>
    <xf numFmtId="0" fontId="33" fillId="4" borderId="1" xfId="26" applyFont="1" applyFill="1" applyBorder="1" applyAlignment="1">
      <alignment horizontal="center"/>
    </xf>
    <xf numFmtId="0" fontId="33" fillId="4" borderId="3" xfId="26" applyFont="1" applyFill="1" applyBorder="1" applyAlignment="1">
      <alignment horizontal="center"/>
    </xf>
    <xf numFmtId="0" fontId="33" fillId="4" borderId="4" xfId="26" applyFont="1" applyFill="1" applyBorder="1" applyAlignment="1">
      <alignment horizontal="center"/>
    </xf>
    <xf numFmtId="167" fontId="36" fillId="0" borderId="35" xfId="18" applyNumberFormat="1" applyFont="1" applyFill="1" applyBorder="1" applyAlignment="1">
      <alignment horizontal="left" vertical="center" wrapText="1"/>
    </xf>
    <xf numFmtId="167" fontId="36" fillId="0" borderId="36" xfId="18" applyNumberFormat="1" applyFont="1" applyFill="1" applyBorder="1" applyAlignment="1">
      <alignment horizontal="left" vertical="center" wrapText="1"/>
    </xf>
    <xf numFmtId="167" fontId="43" fillId="0" borderId="35" xfId="18" applyNumberFormat="1" applyFont="1" applyFill="1" applyBorder="1" applyAlignment="1">
      <alignment horizontal="center" vertical="center"/>
    </xf>
    <xf numFmtId="167" fontId="43" fillId="0" borderId="36" xfId="18" applyNumberFormat="1" applyFont="1" applyFill="1" applyBorder="1" applyAlignment="1">
      <alignment horizontal="center" vertical="center"/>
    </xf>
    <xf numFmtId="167" fontId="43" fillId="0" borderId="31" xfId="18" applyNumberFormat="1" applyFont="1" applyFill="1" applyBorder="1" applyAlignment="1">
      <alignment horizontal="center" vertical="center"/>
    </xf>
    <xf numFmtId="2" fontId="2" fillId="3" borderId="1" xfId="1" applyNumberFormat="1" applyFont="1" applyFill="1" applyBorder="1" applyAlignment="1">
      <alignment horizontal="center" vertical="top"/>
    </xf>
    <xf numFmtId="2" fontId="2" fillId="3" borderId="3" xfId="1" applyNumberFormat="1" applyFont="1" applyFill="1" applyBorder="1" applyAlignment="1">
      <alignment horizontal="center" vertical="top"/>
    </xf>
    <xf numFmtId="2" fontId="2" fillId="3" borderId="4" xfId="1" applyNumberFormat="1" applyFont="1" applyFill="1" applyBorder="1" applyAlignment="1">
      <alignment horizontal="center" vertical="top"/>
    </xf>
    <xf numFmtId="0" fontId="8" fillId="0" borderId="17" xfId="3" applyFont="1" applyFill="1" applyBorder="1" applyAlignment="1">
      <alignment horizontal="center" vertical="top" readingOrder="1"/>
    </xf>
    <xf numFmtId="0" fontId="8" fillId="0" borderId="0" xfId="3" applyFont="1" applyFill="1" applyBorder="1" applyAlignment="1">
      <alignment horizontal="center" vertical="top" readingOrder="1"/>
    </xf>
    <xf numFmtId="0" fontId="14" fillId="0" borderId="10" xfId="42" applyFont="1" applyFill="1" applyBorder="1" applyAlignment="1">
      <alignment horizontal="left"/>
    </xf>
    <xf numFmtId="0" fontId="14" fillId="0" borderId="12" xfId="42" applyFont="1" applyFill="1" applyBorder="1" applyAlignment="1">
      <alignment horizontal="left"/>
    </xf>
    <xf numFmtId="0" fontId="14" fillId="0" borderId="13" xfId="42" applyFont="1" applyFill="1" applyBorder="1" applyAlignment="1">
      <alignment horizontal="left"/>
    </xf>
    <xf numFmtId="0" fontId="14" fillId="0" borderId="0" xfId="25" applyFont="1" applyFill="1" applyAlignment="1">
      <alignment horizontal="center"/>
    </xf>
    <xf numFmtId="0" fontId="14" fillId="0" borderId="0" xfId="42" applyFont="1" applyFill="1" applyAlignment="1">
      <alignment horizontal="center"/>
    </xf>
    <xf numFmtId="0" fontId="14" fillId="0" borderId="17" xfId="42" applyFont="1" applyFill="1" applyBorder="1" applyAlignment="1">
      <alignment horizontal="center"/>
    </xf>
    <xf numFmtId="0" fontId="14" fillId="0" borderId="0" xfId="42" applyFont="1" applyFill="1" applyBorder="1" applyAlignment="1">
      <alignment horizontal="center"/>
    </xf>
    <xf numFmtId="0" fontId="14" fillId="0" borderId="18" xfId="42" applyFont="1" applyFill="1" applyBorder="1" applyAlignment="1">
      <alignment horizontal="center"/>
    </xf>
    <xf numFmtId="167" fontId="29" fillId="8" borderId="33" xfId="18" applyNumberFormat="1" applyFont="1" applyFill="1" applyBorder="1" applyAlignment="1">
      <alignment horizontal="center"/>
    </xf>
    <xf numFmtId="167" fontId="29" fillId="8" borderId="28" xfId="18" applyNumberFormat="1" applyFont="1" applyFill="1" applyBorder="1" applyAlignment="1">
      <alignment horizontal="center"/>
    </xf>
    <xf numFmtId="167" fontId="29" fillId="8" borderId="12" xfId="18" applyNumberFormat="1" applyFont="1" applyFill="1" applyBorder="1" applyAlignment="1">
      <alignment horizontal="center"/>
    </xf>
    <xf numFmtId="167" fontId="29" fillId="9" borderId="33" xfId="18" applyNumberFormat="1" applyFont="1" applyFill="1" applyBorder="1" applyAlignment="1">
      <alignment horizontal="center"/>
    </xf>
    <xf numFmtId="167" fontId="29" fillId="9" borderId="12" xfId="18" applyNumberFormat="1" applyFont="1" applyFill="1" applyBorder="1" applyAlignment="1">
      <alignment horizontal="center"/>
    </xf>
    <xf numFmtId="167" fontId="29" fillId="9" borderId="28" xfId="18" applyNumberFormat="1" applyFont="1" applyFill="1" applyBorder="1" applyAlignment="1">
      <alignment horizontal="center"/>
    </xf>
    <xf numFmtId="0" fontId="25" fillId="6" borderId="1" xfId="4" applyFont="1" applyFill="1" applyBorder="1" applyAlignment="1">
      <alignment horizontal="center"/>
    </xf>
    <xf numFmtId="0" fontId="25" fillId="6" borderId="3" xfId="4" applyFont="1" applyFill="1" applyBorder="1" applyAlignment="1">
      <alignment horizontal="center"/>
    </xf>
    <xf numFmtId="0" fontId="25" fillId="6" borderId="4" xfId="4" applyFont="1" applyFill="1" applyBorder="1" applyAlignment="1">
      <alignment horizontal="center"/>
    </xf>
  </cellXfs>
  <cellStyles count="62">
    <cellStyle name="%" xfId="47"/>
    <cellStyle name="%_kamalvaluation" xfId="48"/>
    <cellStyle name="_Book2" xfId="5"/>
    <cellStyle name="_Book2 2" xfId="6"/>
    <cellStyle name="_Book2 3" xfId="7"/>
    <cellStyle name="_Book2 4" xfId="8"/>
    <cellStyle name="_Book2 5" xfId="9"/>
    <cellStyle name="_Book2 6" xfId="10"/>
    <cellStyle name="_Book2_Income Ratio Dec" xfId="11"/>
    <cellStyle name="_Book2_Income Ratio Dec 2" xfId="12"/>
    <cellStyle name="_Book2_Income Ratio Dec 3" xfId="13"/>
    <cellStyle name="_Book2_Income Ratio Dec 4" xfId="14"/>
    <cellStyle name="_Book2_Income Ratio Dec 5" xfId="15"/>
    <cellStyle name="_Book2_Income Ratio Dec 6" xfId="16"/>
    <cellStyle name="_Income Ratio Dec" xfId="17"/>
    <cellStyle name="0,0_x000d__x000a_NA_x000d__x000a_" xfId="49"/>
    <cellStyle name="Comma" xfId="1" builtinId="3"/>
    <cellStyle name="Comma 2" xfId="18"/>
    <cellStyle name="Comma 2 2" xfId="19"/>
    <cellStyle name="Comma 2_ProfitAndLoss 2009" xfId="3"/>
    <cellStyle name="Comma 3" xfId="20"/>
    <cellStyle name="Comma 4" xfId="21"/>
    <cellStyle name="Comma 5" xfId="22"/>
    <cellStyle name="Comma 8" xfId="23"/>
    <cellStyle name="Comma_ocean rubber group 1208" xfId="24"/>
    <cellStyle name="Dezimal [0]_MKTSHARE" xfId="50"/>
    <cellStyle name="Dezimal_MKTSHARE" xfId="51"/>
    <cellStyle name="Normal" xfId="0" builtinId="0"/>
    <cellStyle name="Normal - Style1" xfId="52"/>
    <cellStyle name="Normal - Style2" xfId="53"/>
    <cellStyle name="Normal - Style3" xfId="54"/>
    <cellStyle name="Normal - Style4" xfId="55"/>
    <cellStyle name="Normal - Style5" xfId="56"/>
    <cellStyle name="Normal 2" xfId="4"/>
    <cellStyle name="Normal 2 2" xfId="25"/>
    <cellStyle name="Normal 2 2 2" xfId="26"/>
    <cellStyle name="Normal 2 2 2 2" xfId="27"/>
    <cellStyle name="Normal 2 2 2 2 2" xfId="28"/>
    <cellStyle name="Normal 2 2 3" xfId="29"/>
    <cellStyle name="Normal 2 2 4" xfId="30"/>
    <cellStyle name="Normal 2 2 5" xfId="31"/>
    <cellStyle name="Normal 2 2 6" xfId="32"/>
    <cellStyle name="Normal 2 3" xfId="33"/>
    <cellStyle name="Normal 2 4" xfId="34"/>
    <cellStyle name="Normal 2 5" xfId="35"/>
    <cellStyle name="Normal 2 6" xfId="36"/>
    <cellStyle name="Normal 2_ProfitAndLoss 2009" xfId="2"/>
    <cellStyle name="Normal 3" xfId="37"/>
    <cellStyle name="Normal 4" xfId="38"/>
    <cellStyle name="Normal 5" xfId="39"/>
    <cellStyle name="Normal 6" xfId="40"/>
    <cellStyle name="Normal 7" xfId="61"/>
    <cellStyle name="Normal 8" xfId="41"/>
    <cellStyle name="Normal_ocean rubber group 1208" xfId="42"/>
    <cellStyle name="Percent 2" xfId="43"/>
    <cellStyle name="Percent 3" xfId="44"/>
    <cellStyle name="Percent 4" xfId="46"/>
    <cellStyle name="Standard_MKTSHARE" xfId="57"/>
    <cellStyle name="Style 1" xfId="45"/>
    <cellStyle name="Währung [0]_MKTSHARE" xfId="58"/>
    <cellStyle name="Währung_MKTSHARE" xfId="59"/>
    <cellStyle name="ปกติ_ Quotationmay4" xfId="6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79"/>
  <sheetViews>
    <sheetView view="pageBreakPreview" topLeftCell="B4" zoomScale="106" zoomScaleNormal="90" zoomScaleSheetLayoutView="106" workbookViewId="0">
      <selection activeCell="B19" sqref="B19:N19"/>
    </sheetView>
  </sheetViews>
  <sheetFormatPr defaultRowHeight="12.75" x14ac:dyDescent="0.2"/>
  <cols>
    <col min="1" max="1" width="51.28515625" style="214" bestFit="1" customWidth="1"/>
    <col min="2" max="2" width="15.7109375" style="214" bestFit="1" customWidth="1"/>
    <col min="3" max="3" width="14.28515625" style="214" customWidth="1"/>
    <col min="4" max="4" width="13.42578125" style="214" bestFit="1" customWidth="1"/>
    <col min="5" max="5" width="12.5703125" style="214" bestFit="1" customWidth="1"/>
    <col min="6" max="6" width="13" style="214" bestFit="1" customWidth="1"/>
    <col min="7" max="7" width="14" style="214" bestFit="1" customWidth="1"/>
    <col min="8" max="8" width="13" style="214" bestFit="1" customWidth="1"/>
    <col min="9" max="9" width="12.5703125" style="214" customWidth="1"/>
    <col min="10" max="10" width="16.28515625" style="214" bestFit="1" customWidth="1"/>
    <col min="11" max="11" width="15.5703125" style="214" customWidth="1"/>
    <col min="12" max="12" width="13" style="214" bestFit="1" customWidth="1"/>
    <col min="13" max="13" width="15.85546875" style="214" customWidth="1"/>
    <col min="14" max="14" width="15" style="214" bestFit="1" customWidth="1"/>
    <col min="15" max="15" width="2" style="211" customWidth="1"/>
    <col min="16" max="16" width="14.28515625" style="211" bestFit="1" customWidth="1"/>
    <col min="17" max="17" width="11.85546875" style="211" bestFit="1" customWidth="1"/>
    <col min="18" max="19" width="11.85546875" style="211" customWidth="1"/>
    <col min="20" max="20" width="7" style="211" bestFit="1" customWidth="1"/>
    <col min="21" max="22" width="12.5703125" style="211" bestFit="1" customWidth="1"/>
    <col min="23" max="23" width="7.7109375" style="211" bestFit="1" customWidth="1"/>
    <col min="24" max="24" width="14.140625" style="211" bestFit="1" customWidth="1"/>
    <col min="25" max="25" width="18" style="211" customWidth="1"/>
    <col min="26" max="26" width="21.42578125" style="211" bestFit="1" customWidth="1"/>
    <col min="27" max="27" width="13.28515625" style="211" bestFit="1" customWidth="1"/>
    <col min="28" max="28" width="15" style="211" bestFit="1" customWidth="1"/>
    <col min="29" max="29" width="4.85546875" style="211" customWidth="1"/>
    <col min="30" max="30" width="14.28515625" style="211" bestFit="1" customWidth="1"/>
    <col min="31" max="31" width="9.5703125" style="211" bestFit="1" customWidth="1"/>
    <col min="32" max="33" width="9.5703125" style="211" customWidth="1"/>
    <col min="34" max="34" width="7" style="211" bestFit="1" customWidth="1"/>
    <col min="35" max="35" width="9.28515625" style="211" bestFit="1" customWidth="1"/>
    <col min="36" max="36" width="10.140625" style="211" bestFit="1" customWidth="1"/>
    <col min="37" max="37" width="9.140625" style="211"/>
    <col min="38" max="38" width="14.140625" style="211" bestFit="1" customWidth="1"/>
    <col min="39" max="39" width="15.5703125" style="211" bestFit="1" customWidth="1"/>
    <col min="40" max="40" width="21.42578125" style="211" bestFit="1" customWidth="1"/>
    <col min="41" max="41" width="13.28515625" style="211" bestFit="1" customWidth="1"/>
    <col min="42" max="42" width="15" style="211" bestFit="1" customWidth="1"/>
    <col min="43" max="43" width="5.140625" style="211" customWidth="1"/>
    <col min="44" max="44" width="14.7109375" style="211" bestFit="1" customWidth="1"/>
    <col min="45" max="45" width="10.85546875" style="211" bestFit="1" customWidth="1"/>
    <col min="46" max="50" width="9.140625" style="211"/>
    <col min="51" max="51" width="11.85546875" style="211" customWidth="1"/>
    <col min="52" max="52" width="7.85546875" style="211" bestFit="1" customWidth="1"/>
    <col min="53" max="53" width="14.42578125" style="211" bestFit="1" customWidth="1"/>
    <col min="54" max="54" width="16.85546875" style="211" bestFit="1" customWidth="1"/>
    <col min="55" max="55" width="21.42578125" style="211" bestFit="1" customWidth="1"/>
    <col min="56" max="56" width="9.7109375" style="211" bestFit="1" customWidth="1"/>
    <col min="57" max="57" width="15" style="211" bestFit="1" customWidth="1"/>
    <col min="58" max="58" width="4.7109375" style="211" customWidth="1"/>
    <col min="59" max="59" width="14.7109375" style="211" bestFit="1" customWidth="1"/>
    <col min="60" max="60" width="10.85546875" style="211" bestFit="1" customWidth="1"/>
    <col min="61" max="63" width="9.28515625" style="211" customWidth="1"/>
    <col min="64" max="64" width="9.140625" style="211"/>
    <col min="65" max="65" width="7.85546875" style="211" bestFit="1" customWidth="1"/>
    <col min="66" max="66" width="8.5703125" style="211" bestFit="1" customWidth="1"/>
    <col min="67" max="67" width="9.140625" style="211"/>
    <col min="68" max="68" width="14.42578125" style="211" bestFit="1" customWidth="1"/>
    <col min="69" max="69" width="16.85546875" style="211" bestFit="1" customWidth="1"/>
    <col min="70" max="70" width="21.42578125" style="211" bestFit="1" customWidth="1"/>
    <col min="71" max="71" width="9.7109375" style="211" bestFit="1" customWidth="1"/>
    <col min="72" max="72" width="15" style="211" bestFit="1" customWidth="1"/>
    <col min="73" max="256" width="9.140625" style="211"/>
    <col min="257" max="257" width="51.28515625" style="211" bestFit="1" customWidth="1"/>
    <col min="258" max="258" width="12.28515625" style="211" customWidth="1"/>
    <col min="259" max="259" width="14.28515625" style="211" customWidth="1"/>
    <col min="260" max="260" width="13.42578125" style="211" bestFit="1" customWidth="1"/>
    <col min="261" max="261" width="12.5703125" style="211" bestFit="1" customWidth="1"/>
    <col min="262" max="262" width="13" style="211" bestFit="1" customWidth="1"/>
    <col min="263" max="263" width="14" style="211" bestFit="1" customWidth="1"/>
    <col min="264" max="264" width="13" style="211" bestFit="1" customWidth="1"/>
    <col min="265" max="265" width="12.5703125" style="211" customWidth="1"/>
    <col min="266" max="266" width="16.28515625" style="211" bestFit="1" customWidth="1"/>
    <col min="267" max="267" width="15.5703125" style="211" customWidth="1"/>
    <col min="268" max="268" width="13" style="211" bestFit="1" customWidth="1"/>
    <col min="269" max="269" width="15.85546875" style="211" customWidth="1"/>
    <col min="270" max="270" width="15" style="211" bestFit="1" customWidth="1"/>
    <col min="271" max="271" width="9.140625" style="211"/>
    <col min="272" max="272" width="14.28515625" style="211" bestFit="1" customWidth="1"/>
    <col min="273" max="273" width="11.85546875" style="211" bestFit="1" customWidth="1"/>
    <col min="274" max="275" width="11.85546875" style="211" customWidth="1"/>
    <col min="276" max="276" width="7" style="211" bestFit="1" customWidth="1"/>
    <col min="277" max="278" width="12.5703125" style="211" bestFit="1" customWidth="1"/>
    <col min="279" max="279" width="7.7109375" style="211" bestFit="1" customWidth="1"/>
    <col min="280" max="280" width="14.140625" style="211" bestFit="1" customWidth="1"/>
    <col min="281" max="281" width="18" style="211" customWidth="1"/>
    <col min="282" max="282" width="21.42578125" style="211" bestFit="1" customWidth="1"/>
    <col min="283" max="283" width="13.28515625" style="211" bestFit="1" customWidth="1"/>
    <col min="284" max="284" width="15" style="211" bestFit="1" customWidth="1"/>
    <col min="285" max="285" width="9.140625" style="211"/>
    <col min="286" max="286" width="14.28515625" style="211" bestFit="1" customWidth="1"/>
    <col min="287" max="287" width="9.5703125" style="211" bestFit="1" customWidth="1"/>
    <col min="288" max="289" width="9.5703125" style="211" customWidth="1"/>
    <col min="290" max="290" width="7" style="211" bestFit="1" customWidth="1"/>
    <col min="291" max="291" width="9.28515625" style="211" bestFit="1" customWidth="1"/>
    <col min="292" max="292" width="10.140625" style="211" bestFit="1" customWidth="1"/>
    <col min="293" max="293" width="9.140625" style="211"/>
    <col min="294" max="294" width="14.140625" style="211" bestFit="1" customWidth="1"/>
    <col min="295" max="295" width="15.5703125" style="211" bestFit="1" customWidth="1"/>
    <col min="296" max="296" width="21.42578125" style="211" bestFit="1" customWidth="1"/>
    <col min="297" max="297" width="13.28515625" style="211" bestFit="1" customWidth="1"/>
    <col min="298" max="298" width="15" style="211" bestFit="1" customWidth="1"/>
    <col min="299" max="299" width="9.140625" style="211"/>
    <col min="300" max="300" width="14.7109375" style="211" bestFit="1" customWidth="1"/>
    <col min="301" max="301" width="10.85546875" style="211" bestFit="1" customWidth="1"/>
    <col min="302" max="306" width="9.140625" style="211"/>
    <col min="307" max="307" width="11.85546875" style="211" customWidth="1"/>
    <col min="308" max="308" width="7.85546875" style="211" bestFit="1" customWidth="1"/>
    <col min="309" max="309" width="14.42578125" style="211" bestFit="1" customWidth="1"/>
    <col min="310" max="310" width="16.85546875" style="211" bestFit="1" customWidth="1"/>
    <col min="311" max="311" width="21.42578125" style="211" bestFit="1" customWidth="1"/>
    <col min="312" max="312" width="9.7109375" style="211" bestFit="1" customWidth="1"/>
    <col min="313" max="313" width="15" style="211" bestFit="1" customWidth="1"/>
    <col min="314" max="314" width="9.140625" style="211"/>
    <col min="315" max="315" width="14.7109375" style="211" bestFit="1" customWidth="1"/>
    <col min="316" max="316" width="10.85546875" style="211" bestFit="1" customWidth="1"/>
    <col min="317" max="319" width="9.28515625" style="211" customWidth="1"/>
    <col min="320" max="320" width="9.140625" style="211"/>
    <col min="321" max="321" width="7.85546875" style="211" bestFit="1" customWidth="1"/>
    <col min="322" max="322" width="8.5703125" style="211" bestFit="1" customWidth="1"/>
    <col min="323" max="323" width="9.140625" style="211"/>
    <col min="324" max="324" width="14.42578125" style="211" bestFit="1" customWidth="1"/>
    <col min="325" max="325" width="16.85546875" style="211" bestFit="1" customWidth="1"/>
    <col min="326" max="326" width="21.42578125" style="211" bestFit="1" customWidth="1"/>
    <col min="327" max="327" width="9.7109375" style="211" bestFit="1" customWidth="1"/>
    <col min="328" max="328" width="15" style="211" bestFit="1" customWidth="1"/>
    <col min="329" max="512" width="9.140625" style="211"/>
    <col min="513" max="513" width="51.28515625" style="211" bestFit="1" customWidth="1"/>
    <col min="514" max="514" width="12.28515625" style="211" customWidth="1"/>
    <col min="515" max="515" width="14.28515625" style="211" customWidth="1"/>
    <col min="516" max="516" width="13.42578125" style="211" bestFit="1" customWidth="1"/>
    <col min="517" max="517" width="12.5703125" style="211" bestFit="1" customWidth="1"/>
    <col min="518" max="518" width="13" style="211" bestFit="1" customWidth="1"/>
    <col min="519" max="519" width="14" style="211" bestFit="1" customWidth="1"/>
    <col min="520" max="520" width="13" style="211" bestFit="1" customWidth="1"/>
    <col min="521" max="521" width="12.5703125" style="211" customWidth="1"/>
    <col min="522" max="522" width="16.28515625" style="211" bestFit="1" customWidth="1"/>
    <col min="523" max="523" width="15.5703125" style="211" customWidth="1"/>
    <col min="524" max="524" width="13" style="211" bestFit="1" customWidth="1"/>
    <col min="525" max="525" width="15.85546875" style="211" customWidth="1"/>
    <col min="526" max="526" width="15" style="211" bestFit="1" customWidth="1"/>
    <col min="527" max="527" width="9.140625" style="211"/>
    <col min="528" max="528" width="14.28515625" style="211" bestFit="1" customWidth="1"/>
    <col min="529" max="529" width="11.85546875" style="211" bestFit="1" customWidth="1"/>
    <col min="530" max="531" width="11.85546875" style="211" customWidth="1"/>
    <col min="532" max="532" width="7" style="211" bestFit="1" customWidth="1"/>
    <col min="533" max="534" width="12.5703125" style="211" bestFit="1" customWidth="1"/>
    <col min="535" max="535" width="7.7109375" style="211" bestFit="1" customWidth="1"/>
    <col min="536" max="536" width="14.140625" style="211" bestFit="1" customWidth="1"/>
    <col min="537" max="537" width="18" style="211" customWidth="1"/>
    <col min="538" max="538" width="21.42578125" style="211" bestFit="1" customWidth="1"/>
    <col min="539" max="539" width="13.28515625" style="211" bestFit="1" customWidth="1"/>
    <col min="540" max="540" width="15" style="211" bestFit="1" customWidth="1"/>
    <col min="541" max="541" width="9.140625" style="211"/>
    <col min="542" max="542" width="14.28515625" style="211" bestFit="1" customWidth="1"/>
    <col min="543" max="543" width="9.5703125" style="211" bestFit="1" customWidth="1"/>
    <col min="544" max="545" width="9.5703125" style="211" customWidth="1"/>
    <col min="546" max="546" width="7" style="211" bestFit="1" customWidth="1"/>
    <col min="547" max="547" width="9.28515625" style="211" bestFit="1" customWidth="1"/>
    <col min="548" max="548" width="10.140625" style="211" bestFit="1" customWidth="1"/>
    <col min="549" max="549" width="9.140625" style="211"/>
    <col min="550" max="550" width="14.140625" style="211" bestFit="1" customWidth="1"/>
    <col min="551" max="551" width="15.5703125" style="211" bestFit="1" customWidth="1"/>
    <col min="552" max="552" width="21.42578125" style="211" bestFit="1" customWidth="1"/>
    <col min="553" max="553" width="13.28515625" style="211" bestFit="1" customWidth="1"/>
    <col min="554" max="554" width="15" style="211" bestFit="1" customWidth="1"/>
    <col min="555" max="555" width="9.140625" style="211"/>
    <col min="556" max="556" width="14.7109375" style="211" bestFit="1" customWidth="1"/>
    <col min="557" max="557" width="10.85546875" style="211" bestFit="1" customWidth="1"/>
    <col min="558" max="562" width="9.140625" style="211"/>
    <col min="563" max="563" width="11.85546875" style="211" customWidth="1"/>
    <col min="564" max="564" width="7.85546875" style="211" bestFit="1" customWidth="1"/>
    <col min="565" max="565" width="14.42578125" style="211" bestFit="1" customWidth="1"/>
    <col min="566" max="566" width="16.85546875" style="211" bestFit="1" customWidth="1"/>
    <col min="567" max="567" width="21.42578125" style="211" bestFit="1" customWidth="1"/>
    <col min="568" max="568" width="9.7109375" style="211" bestFit="1" customWidth="1"/>
    <col min="569" max="569" width="15" style="211" bestFit="1" customWidth="1"/>
    <col min="570" max="570" width="9.140625" style="211"/>
    <col min="571" max="571" width="14.7109375" style="211" bestFit="1" customWidth="1"/>
    <col min="572" max="572" width="10.85546875" style="211" bestFit="1" customWidth="1"/>
    <col min="573" max="575" width="9.28515625" style="211" customWidth="1"/>
    <col min="576" max="576" width="9.140625" style="211"/>
    <col min="577" max="577" width="7.85546875" style="211" bestFit="1" customWidth="1"/>
    <col min="578" max="578" width="8.5703125" style="211" bestFit="1" customWidth="1"/>
    <col min="579" max="579" width="9.140625" style="211"/>
    <col min="580" max="580" width="14.42578125" style="211" bestFit="1" customWidth="1"/>
    <col min="581" max="581" width="16.85546875" style="211" bestFit="1" customWidth="1"/>
    <col min="582" max="582" width="21.42578125" style="211" bestFit="1" customWidth="1"/>
    <col min="583" max="583" width="9.7109375" style="211" bestFit="1" customWidth="1"/>
    <col min="584" max="584" width="15" style="211" bestFit="1" customWidth="1"/>
    <col min="585" max="768" width="9.140625" style="211"/>
    <col min="769" max="769" width="51.28515625" style="211" bestFit="1" customWidth="1"/>
    <col min="770" max="770" width="12.28515625" style="211" customWidth="1"/>
    <col min="771" max="771" width="14.28515625" style="211" customWidth="1"/>
    <col min="772" max="772" width="13.42578125" style="211" bestFit="1" customWidth="1"/>
    <col min="773" max="773" width="12.5703125" style="211" bestFit="1" customWidth="1"/>
    <col min="774" max="774" width="13" style="211" bestFit="1" customWidth="1"/>
    <col min="775" max="775" width="14" style="211" bestFit="1" customWidth="1"/>
    <col min="776" max="776" width="13" style="211" bestFit="1" customWidth="1"/>
    <col min="777" max="777" width="12.5703125" style="211" customWidth="1"/>
    <col min="778" max="778" width="16.28515625" style="211" bestFit="1" customWidth="1"/>
    <col min="779" max="779" width="15.5703125" style="211" customWidth="1"/>
    <col min="780" max="780" width="13" style="211" bestFit="1" customWidth="1"/>
    <col min="781" max="781" width="15.85546875" style="211" customWidth="1"/>
    <col min="782" max="782" width="15" style="211" bestFit="1" customWidth="1"/>
    <col min="783" max="783" width="9.140625" style="211"/>
    <col min="784" max="784" width="14.28515625" style="211" bestFit="1" customWidth="1"/>
    <col min="785" max="785" width="11.85546875" style="211" bestFit="1" customWidth="1"/>
    <col min="786" max="787" width="11.85546875" style="211" customWidth="1"/>
    <col min="788" max="788" width="7" style="211" bestFit="1" customWidth="1"/>
    <col min="789" max="790" width="12.5703125" style="211" bestFit="1" customWidth="1"/>
    <col min="791" max="791" width="7.7109375" style="211" bestFit="1" customWidth="1"/>
    <col min="792" max="792" width="14.140625" style="211" bestFit="1" customWidth="1"/>
    <col min="793" max="793" width="18" style="211" customWidth="1"/>
    <col min="794" max="794" width="21.42578125" style="211" bestFit="1" customWidth="1"/>
    <col min="795" max="795" width="13.28515625" style="211" bestFit="1" customWidth="1"/>
    <col min="796" max="796" width="15" style="211" bestFit="1" customWidth="1"/>
    <col min="797" max="797" width="9.140625" style="211"/>
    <col min="798" max="798" width="14.28515625" style="211" bestFit="1" customWidth="1"/>
    <col min="799" max="799" width="9.5703125" style="211" bestFit="1" customWidth="1"/>
    <col min="800" max="801" width="9.5703125" style="211" customWidth="1"/>
    <col min="802" max="802" width="7" style="211" bestFit="1" customWidth="1"/>
    <col min="803" max="803" width="9.28515625" style="211" bestFit="1" customWidth="1"/>
    <col min="804" max="804" width="10.140625" style="211" bestFit="1" customWidth="1"/>
    <col min="805" max="805" width="9.140625" style="211"/>
    <col min="806" max="806" width="14.140625" style="211" bestFit="1" customWidth="1"/>
    <col min="807" max="807" width="15.5703125" style="211" bestFit="1" customWidth="1"/>
    <col min="808" max="808" width="21.42578125" style="211" bestFit="1" customWidth="1"/>
    <col min="809" max="809" width="13.28515625" style="211" bestFit="1" customWidth="1"/>
    <col min="810" max="810" width="15" style="211" bestFit="1" customWidth="1"/>
    <col min="811" max="811" width="9.140625" style="211"/>
    <col min="812" max="812" width="14.7109375" style="211" bestFit="1" customWidth="1"/>
    <col min="813" max="813" width="10.85546875" style="211" bestFit="1" customWidth="1"/>
    <col min="814" max="818" width="9.140625" style="211"/>
    <col min="819" max="819" width="11.85546875" style="211" customWidth="1"/>
    <col min="820" max="820" width="7.85546875" style="211" bestFit="1" customWidth="1"/>
    <col min="821" max="821" width="14.42578125" style="211" bestFit="1" customWidth="1"/>
    <col min="822" max="822" width="16.85546875" style="211" bestFit="1" customWidth="1"/>
    <col min="823" max="823" width="21.42578125" style="211" bestFit="1" customWidth="1"/>
    <col min="824" max="824" width="9.7109375" style="211" bestFit="1" customWidth="1"/>
    <col min="825" max="825" width="15" style="211" bestFit="1" customWidth="1"/>
    <col min="826" max="826" width="9.140625" style="211"/>
    <col min="827" max="827" width="14.7109375" style="211" bestFit="1" customWidth="1"/>
    <col min="828" max="828" width="10.85546875" style="211" bestFit="1" customWidth="1"/>
    <col min="829" max="831" width="9.28515625" style="211" customWidth="1"/>
    <col min="832" max="832" width="9.140625" style="211"/>
    <col min="833" max="833" width="7.85546875" style="211" bestFit="1" customWidth="1"/>
    <col min="834" max="834" width="8.5703125" style="211" bestFit="1" customWidth="1"/>
    <col min="835" max="835" width="9.140625" style="211"/>
    <col min="836" max="836" width="14.42578125" style="211" bestFit="1" customWidth="1"/>
    <col min="837" max="837" width="16.85546875" style="211" bestFit="1" customWidth="1"/>
    <col min="838" max="838" width="21.42578125" style="211" bestFit="1" customWidth="1"/>
    <col min="839" max="839" width="9.7109375" style="211" bestFit="1" customWidth="1"/>
    <col min="840" max="840" width="15" style="211" bestFit="1" customWidth="1"/>
    <col min="841" max="1024" width="9.140625" style="211"/>
    <col min="1025" max="1025" width="51.28515625" style="211" bestFit="1" customWidth="1"/>
    <col min="1026" max="1026" width="12.28515625" style="211" customWidth="1"/>
    <col min="1027" max="1027" width="14.28515625" style="211" customWidth="1"/>
    <col min="1028" max="1028" width="13.42578125" style="211" bestFit="1" customWidth="1"/>
    <col min="1029" max="1029" width="12.5703125" style="211" bestFit="1" customWidth="1"/>
    <col min="1030" max="1030" width="13" style="211" bestFit="1" customWidth="1"/>
    <col min="1031" max="1031" width="14" style="211" bestFit="1" customWidth="1"/>
    <col min="1032" max="1032" width="13" style="211" bestFit="1" customWidth="1"/>
    <col min="1033" max="1033" width="12.5703125" style="211" customWidth="1"/>
    <col min="1034" max="1034" width="16.28515625" style="211" bestFit="1" customWidth="1"/>
    <col min="1035" max="1035" width="15.5703125" style="211" customWidth="1"/>
    <col min="1036" max="1036" width="13" style="211" bestFit="1" customWidth="1"/>
    <col min="1037" max="1037" width="15.85546875" style="211" customWidth="1"/>
    <col min="1038" max="1038" width="15" style="211" bestFit="1" customWidth="1"/>
    <col min="1039" max="1039" width="9.140625" style="211"/>
    <col min="1040" max="1040" width="14.28515625" style="211" bestFit="1" customWidth="1"/>
    <col min="1041" max="1041" width="11.85546875" style="211" bestFit="1" customWidth="1"/>
    <col min="1042" max="1043" width="11.85546875" style="211" customWidth="1"/>
    <col min="1044" max="1044" width="7" style="211" bestFit="1" customWidth="1"/>
    <col min="1045" max="1046" width="12.5703125" style="211" bestFit="1" customWidth="1"/>
    <col min="1047" max="1047" width="7.7109375" style="211" bestFit="1" customWidth="1"/>
    <col min="1048" max="1048" width="14.140625" style="211" bestFit="1" customWidth="1"/>
    <col min="1049" max="1049" width="18" style="211" customWidth="1"/>
    <col min="1050" max="1050" width="21.42578125" style="211" bestFit="1" customWidth="1"/>
    <col min="1051" max="1051" width="13.28515625" style="211" bestFit="1" customWidth="1"/>
    <col min="1052" max="1052" width="15" style="211" bestFit="1" customWidth="1"/>
    <col min="1053" max="1053" width="9.140625" style="211"/>
    <col min="1054" max="1054" width="14.28515625" style="211" bestFit="1" customWidth="1"/>
    <col min="1055" max="1055" width="9.5703125" style="211" bestFit="1" customWidth="1"/>
    <col min="1056" max="1057" width="9.5703125" style="211" customWidth="1"/>
    <col min="1058" max="1058" width="7" style="211" bestFit="1" customWidth="1"/>
    <col min="1059" max="1059" width="9.28515625" style="211" bestFit="1" customWidth="1"/>
    <col min="1060" max="1060" width="10.140625" style="211" bestFit="1" customWidth="1"/>
    <col min="1061" max="1061" width="9.140625" style="211"/>
    <col min="1062" max="1062" width="14.140625" style="211" bestFit="1" customWidth="1"/>
    <col min="1063" max="1063" width="15.5703125" style="211" bestFit="1" customWidth="1"/>
    <col min="1064" max="1064" width="21.42578125" style="211" bestFit="1" customWidth="1"/>
    <col min="1065" max="1065" width="13.28515625" style="211" bestFit="1" customWidth="1"/>
    <col min="1066" max="1066" width="15" style="211" bestFit="1" customWidth="1"/>
    <col min="1067" max="1067" width="9.140625" style="211"/>
    <col min="1068" max="1068" width="14.7109375" style="211" bestFit="1" customWidth="1"/>
    <col min="1069" max="1069" width="10.85546875" style="211" bestFit="1" customWidth="1"/>
    <col min="1070" max="1074" width="9.140625" style="211"/>
    <col min="1075" max="1075" width="11.85546875" style="211" customWidth="1"/>
    <col min="1076" max="1076" width="7.85546875" style="211" bestFit="1" customWidth="1"/>
    <col min="1077" max="1077" width="14.42578125" style="211" bestFit="1" customWidth="1"/>
    <col min="1078" max="1078" width="16.85546875" style="211" bestFit="1" customWidth="1"/>
    <col min="1079" max="1079" width="21.42578125" style="211" bestFit="1" customWidth="1"/>
    <col min="1080" max="1080" width="9.7109375" style="211" bestFit="1" customWidth="1"/>
    <col min="1081" max="1081" width="15" style="211" bestFit="1" customWidth="1"/>
    <col min="1082" max="1082" width="9.140625" style="211"/>
    <col min="1083" max="1083" width="14.7109375" style="211" bestFit="1" customWidth="1"/>
    <col min="1084" max="1084" width="10.85546875" style="211" bestFit="1" customWidth="1"/>
    <col min="1085" max="1087" width="9.28515625" style="211" customWidth="1"/>
    <col min="1088" max="1088" width="9.140625" style="211"/>
    <col min="1089" max="1089" width="7.85546875" style="211" bestFit="1" customWidth="1"/>
    <col min="1090" max="1090" width="8.5703125" style="211" bestFit="1" customWidth="1"/>
    <col min="1091" max="1091" width="9.140625" style="211"/>
    <col min="1092" max="1092" width="14.42578125" style="211" bestFit="1" customWidth="1"/>
    <col min="1093" max="1093" width="16.85546875" style="211" bestFit="1" customWidth="1"/>
    <col min="1094" max="1094" width="21.42578125" style="211" bestFit="1" customWidth="1"/>
    <col min="1095" max="1095" width="9.7109375" style="211" bestFit="1" customWidth="1"/>
    <col min="1096" max="1096" width="15" style="211" bestFit="1" customWidth="1"/>
    <col min="1097" max="1280" width="9.140625" style="211"/>
    <col min="1281" max="1281" width="51.28515625" style="211" bestFit="1" customWidth="1"/>
    <col min="1282" max="1282" width="12.28515625" style="211" customWidth="1"/>
    <col min="1283" max="1283" width="14.28515625" style="211" customWidth="1"/>
    <col min="1284" max="1284" width="13.42578125" style="211" bestFit="1" customWidth="1"/>
    <col min="1285" max="1285" width="12.5703125" style="211" bestFit="1" customWidth="1"/>
    <col min="1286" max="1286" width="13" style="211" bestFit="1" customWidth="1"/>
    <col min="1287" max="1287" width="14" style="211" bestFit="1" customWidth="1"/>
    <col min="1288" max="1288" width="13" style="211" bestFit="1" customWidth="1"/>
    <col min="1289" max="1289" width="12.5703125" style="211" customWidth="1"/>
    <col min="1290" max="1290" width="16.28515625" style="211" bestFit="1" customWidth="1"/>
    <col min="1291" max="1291" width="15.5703125" style="211" customWidth="1"/>
    <col min="1292" max="1292" width="13" style="211" bestFit="1" customWidth="1"/>
    <col min="1293" max="1293" width="15.85546875" style="211" customWidth="1"/>
    <col min="1294" max="1294" width="15" style="211" bestFit="1" customWidth="1"/>
    <col min="1295" max="1295" width="9.140625" style="211"/>
    <col min="1296" max="1296" width="14.28515625" style="211" bestFit="1" customWidth="1"/>
    <col min="1297" max="1297" width="11.85546875" style="211" bestFit="1" customWidth="1"/>
    <col min="1298" max="1299" width="11.85546875" style="211" customWidth="1"/>
    <col min="1300" max="1300" width="7" style="211" bestFit="1" customWidth="1"/>
    <col min="1301" max="1302" width="12.5703125" style="211" bestFit="1" customWidth="1"/>
    <col min="1303" max="1303" width="7.7109375" style="211" bestFit="1" customWidth="1"/>
    <col min="1304" max="1304" width="14.140625" style="211" bestFit="1" customWidth="1"/>
    <col min="1305" max="1305" width="18" style="211" customWidth="1"/>
    <col min="1306" max="1306" width="21.42578125" style="211" bestFit="1" customWidth="1"/>
    <col min="1307" max="1307" width="13.28515625" style="211" bestFit="1" customWidth="1"/>
    <col min="1308" max="1308" width="15" style="211" bestFit="1" customWidth="1"/>
    <col min="1309" max="1309" width="9.140625" style="211"/>
    <col min="1310" max="1310" width="14.28515625" style="211" bestFit="1" customWidth="1"/>
    <col min="1311" max="1311" width="9.5703125" style="211" bestFit="1" customWidth="1"/>
    <col min="1312" max="1313" width="9.5703125" style="211" customWidth="1"/>
    <col min="1314" max="1314" width="7" style="211" bestFit="1" customWidth="1"/>
    <col min="1315" max="1315" width="9.28515625" style="211" bestFit="1" customWidth="1"/>
    <col min="1316" max="1316" width="10.140625" style="211" bestFit="1" customWidth="1"/>
    <col min="1317" max="1317" width="9.140625" style="211"/>
    <col min="1318" max="1318" width="14.140625" style="211" bestFit="1" customWidth="1"/>
    <col min="1319" max="1319" width="15.5703125" style="211" bestFit="1" customWidth="1"/>
    <col min="1320" max="1320" width="21.42578125" style="211" bestFit="1" customWidth="1"/>
    <col min="1321" max="1321" width="13.28515625" style="211" bestFit="1" customWidth="1"/>
    <col min="1322" max="1322" width="15" style="211" bestFit="1" customWidth="1"/>
    <col min="1323" max="1323" width="9.140625" style="211"/>
    <col min="1324" max="1324" width="14.7109375" style="211" bestFit="1" customWidth="1"/>
    <col min="1325" max="1325" width="10.85546875" style="211" bestFit="1" customWidth="1"/>
    <col min="1326" max="1330" width="9.140625" style="211"/>
    <col min="1331" max="1331" width="11.85546875" style="211" customWidth="1"/>
    <col min="1332" max="1332" width="7.85546875" style="211" bestFit="1" customWidth="1"/>
    <col min="1333" max="1333" width="14.42578125" style="211" bestFit="1" customWidth="1"/>
    <col min="1334" max="1334" width="16.85546875" style="211" bestFit="1" customWidth="1"/>
    <col min="1335" max="1335" width="21.42578125" style="211" bestFit="1" customWidth="1"/>
    <col min="1336" max="1336" width="9.7109375" style="211" bestFit="1" customWidth="1"/>
    <col min="1337" max="1337" width="15" style="211" bestFit="1" customWidth="1"/>
    <col min="1338" max="1338" width="9.140625" style="211"/>
    <col min="1339" max="1339" width="14.7109375" style="211" bestFit="1" customWidth="1"/>
    <col min="1340" max="1340" width="10.85546875" style="211" bestFit="1" customWidth="1"/>
    <col min="1341" max="1343" width="9.28515625" style="211" customWidth="1"/>
    <col min="1344" max="1344" width="9.140625" style="211"/>
    <col min="1345" max="1345" width="7.85546875" style="211" bestFit="1" customWidth="1"/>
    <col min="1346" max="1346" width="8.5703125" style="211" bestFit="1" customWidth="1"/>
    <col min="1347" max="1347" width="9.140625" style="211"/>
    <col min="1348" max="1348" width="14.42578125" style="211" bestFit="1" customWidth="1"/>
    <col min="1349" max="1349" width="16.85546875" style="211" bestFit="1" customWidth="1"/>
    <col min="1350" max="1350" width="21.42578125" style="211" bestFit="1" customWidth="1"/>
    <col min="1351" max="1351" width="9.7109375" style="211" bestFit="1" customWidth="1"/>
    <col min="1352" max="1352" width="15" style="211" bestFit="1" customWidth="1"/>
    <col min="1353" max="1536" width="9.140625" style="211"/>
    <col min="1537" max="1537" width="51.28515625" style="211" bestFit="1" customWidth="1"/>
    <col min="1538" max="1538" width="12.28515625" style="211" customWidth="1"/>
    <col min="1539" max="1539" width="14.28515625" style="211" customWidth="1"/>
    <col min="1540" max="1540" width="13.42578125" style="211" bestFit="1" customWidth="1"/>
    <col min="1541" max="1541" width="12.5703125" style="211" bestFit="1" customWidth="1"/>
    <col min="1542" max="1542" width="13" style="211" bestFit="1" customWidth="1"/>
    <col min="1543" max="1543" width="14" style="211" bestFit="1" customWidth="1"/>
    <col min="1544" max="1544" width="13" style="211" bestFit="1" customWidth="1"/>
    <col min="1545" max="1545" width="12.5703125" style="211" customWidth="1"/>
    <col min="1546" max="1546" width="16.28515625" style="211" bestFit="1" customWidth="1"/>
    <col min="1547" max="1547" width="15.5703125" style="211" customWidth="1"/>
    <col min="1548" max="1548" width="13" style="211" bestFit="1" customWidth="1"/>
    <col min="1549" max="1549" width="15.85546875" style="211" customWidth="1"/>
    <col min="1550" max="1550" width="15" style="211" bestFit="1" customWidth="1"/>
    <col min="1551" max="1551" width="9.140625" style="211"/>
    <col min="1552" max="1552" width="14.28515625" style="211" bestFit="1" customWidth="1"/>
    <col min="1553" max="1553" width="11.85546875" style="211" bestFit="1" customWidth="1"/>
    <col min="1554" max="1555" width="11.85546875" style="211" customWidth="1"/>
    <col min="1556" max="1556" width="7" style="211" bestFit="1" customWidth="1"/>
    <col min="1557" max="1558" width="12.5703125" style="211" bestFit="1" customWidth="1"/>
    <col min="1559" max="1559" width="7.7109375" style="211" bestFit="1" customWidth="1"/>
    <col min="1560" max="1560" width="14.140625" style="211" bestFit="1" customWidth="1"/>
    <col min="1561" max="1561" width="18" style="211" customWidth="1"/>
    <col min="1562" max="1562" width="21.42578125" style="211" bestFit="1" customWidth="1"/>
    <col min="1563" max="1563" width="13.28515625" style="211" bestFit="1" customWidth="1"/>
    <col min="1564" max="1564" width="15" style="211" bestFit="1" customWidth="1"/>
    <col min="1565" max="1565" width="9.140625" style="211"/>
    <col min="1566" max="1566" width="14.28515625" style="211" bestFit="1" customWidth="1"/>
    <col min="1567" max="1567" width="9.5703125" style="211" bestFit="1" customWidth="1"/>
    <col min="1568" max="1569" width="9.5703125" style="211" customWidth="1"/>
    <col min="1570" max="1570" width="7" style="211" bestFit="1" customWidth="1"/>
    <col min="1571" max="1571" width="9.28515625" style="211" bestFit="1" customWidth="1"/>
    <col min="1572" max="1572" width="10.140625" style="211" bestFit="1" customWidth="1"/>
    <col min="1573" max="1573" width="9.140625" style="211"/>
    <col min="1574" max="1574" width="14.140625" style="211" bestFit="1" customWidth="1"/>
    <col min="1575" max="1575" width="15.5703125" style="211" bestFit="1" customWidth="1"/>
    <col min="1576" max="1576" width="21.42578125" style="211" bestFit="1" customWidth="1"/>
    <col min="1577" max="1577" width="13.28515625" style="211" bestFit="1" customWidth="1"/>
    <col min="1578" max="1578" width="15" style="211" bestFit="1" customWidth="1"/>
    <col min="1579" max="1579" width="9.140625" style="211"/>
    <col min="1580" max="1580" width="14.7109375" style="211" bestFit="1" customWidth="1"/>
    <col min="1581" max="1581" width="10.85546875" style="211" bestFit="1" customWidth="1"/>
    <col min="1582" max="1586" width="9.140625" style="211"/>
    <col min="1587" max="1587" width="11.85546875" style="211" customWidth="1"/>
    <col min="1588" max="1588" width="7.85546875" style="211" bestFit="1" customWidth="1"/>
    <col min="1589" max="1589" width="14.42578125" style="211" bestFit="1" customWidth="1"/>
    <col min="1590" max="1590" width="16.85546875" style="211" bestFit="1" customWidth="1"/>
    <col min="1591" max="1591" width="21.42578125" style="211" bestFit="1" customWidth="1"/>
    <col min="1592" max="1592" width="9.7109375" style="211" bestFit="1" customWidth="1"/>
    <col min="1593" max="1593" width="15" style="211" bestFit="1" customWidth="1"/>
    <col min="1594" max="1594" width="9.140625" style="211"/>
    <col min="1595" max="1595" width="14.7109375" style="211" bestFit="1" customWidth="1"/>
    <col min="1596" max="1596" width="10.85546875" style="211" bestFit="1" customWidth="1"/>
    <col min="1597" max="1599" width="9.28515625" style="211" customWidth="1"/>
    <col min="1600" max="1600" width="9.140625" style="211"/>
    <col min="1601" max="1601" width="7.85546875" style="211" bestFit="1" customWidth="1"/>
    <col min="1602" max="1602" width="8.5703125" style="211" bestFit="1" customWidth="1"/>
    <col min="1603" max="1603" width="9.140625" style="211"/>
    <col min="1604" max="1604" width="14.42578125" style="211" bestFit="1" customWidth="1"/>
    <col min="1605" max="1605" width="16.85546875" style="211" bestFit="1" customWidth="1"/>
    <col min="1606" max="1606" width="21.42578125" style="211" bestFit="1" customWidth="1"/>
    <col min="1607" max="1607" width="9.7109375" style="211" bestFit="1" customWidth="1"/>
    <col min="1608" max="1608" width="15" style="211" bestFit="1" customWidth="1"/>
    <col min="1609" max="1792" width="9.140625" style="211"/>
    <col min="1793" max="1793" width="51.28515625" style="211" bestFit="1" customWidth="1"/>
    <col min="1794" max="1794" width="12.28515625" style="211" customWidth="1"/>
    <col min="1795" max="1795" width="14.28515625" style="211" customWidth="1"/>
    <col min="1796" max="1796" width="13.42578125" style="211" bestFit="1" customWidth="1"/>
    <col min="1797" max="1797" width="12.5703125" style="211" bestFit="1" customWidth="1"/>
    <col min="1798" max="1798" width="13" style="211" bestFit="1" customWidth="1"/>
    <col min="1799" max="1799" width="14" style="211" bestFit="1" customWidth="1"/>
    <col min="1800" max="1800" width="13" style="211" bestFit="1" customWidth="1"/>
    <col min="1801" max="1801" width="12.5703125" style="211" customWidth="1"/>
    <col min="1802" max="1802" width="16.28515625" style="211" bestFit="1" customWidth="1"/>
    <col min="1803" max="1803" width="15.5703125" style="211" customWidth="1"/>
    <col min="1804" max="1804" width="13" style="211" bestFit="1" customWidth="1"/>
    <col min="1805" max="1805" width="15.85546875" style="211" customWidth="1"/>
    <col min="1806" max="1806" width="15" style="211" bestFit="1" customWidth="1"/>
    <col min="1807" max="1807" width="9.140625" style="211"/>
    <col min="1808" max="1808" width="14.28515625" style="211" bestFit="1" customWidth="1"/>
    <col min="1809" max="1809" width="11.85546875" style="211" bestFit="1" customWidth="1"/>
    <col min="1810" max="1811" width="11.85546875" style="211" customWidth="1"/>
    <col min="1812" max="1812" width="7" style="211" bestFit="1" customWidth="1"/>
    <col min="1813" max="1814" width="12.5703125" style="211" bestFit="1" customWidth="1"/>
    <col min="1815" max="1815" width="7.7109375" style="211" bestFit="1" customWidth="1"/>
    <col min="1816" max="1816" width="14.140625" style="211" bestFit="1" customWidth="1"/>
    <col min="1817" max="1817" width="18" style="211" customWidth="1"/>
    <col min="1818" max="1818" width="21.42578125" style="211" bestFit="1" customWidth="1"/>
    <col min="1819" max="1819" width="13.28515625" style="211" bestFit="1" customWidth="1"/>
    <col min="1820" max="1820" width="15" style="211" bestFit="1" customWidth="1"/>
    <col min="1821" max="1821" width="9.140625" style="211"/>
    <col min="1822" max="1822" width="14.28515625" style="211" bestFit="1" customWidth="1"/>
    <col min="1823" max="1823" width="9.5703125" style="211" bestFit="1" customWidth="1"/>
    <col min="1824" max="1825" width="9.5703125" style="211" customWidth="1"/>
    <col min="1826" max="1826" width="7" style="211" bestFit="1" customWidth="1"/>
    <col min="1827" max="1827" width="9.28515625" style="211" bestFit="1" customWidth="1"/>
    <col min="1828" max="1828" width="10.140625" style="211" bestFit="1" customWidth="1"/>
    <col min="1829" max="1829" width="9.140625" style="211"/>
    <col min="1830" max="1830" width="14.140625" style="211" bestFit="1" customWidth="1"/>
    <col min="1831" max="1831" width="15.5703125" style="211" bestFit="1" customWidth="1"/>
    <col min="1832" max="1832" width="21.42578125" style="211" bestFit="1" customWidth="1"/>
    <col min="1833" max="1833" width="13.28515625" style="211" bestFit="1" customWidth="1"/>
    <col min="1834" max="1834" width="15" style="211" bestFit="1" customWidth="1"/>
    <col min="1835" max="1835" width="9.140625" style="211"/>
    <col min="1836" max="1836" width="14.7109375" style="211" bestFit="1" customWidth="1"/>
    <col min="1837" max="1837" width="10.85546875" style="211" bestFit="1" customWidth="1"/>
    <col min="1838" max="1842" width="9.140625" style="211"/>
    <col min="1843" max="1843" width="11.85546875" style="211" customWidth="1"/>
    <col min="1844" max="1844" width="7.85546875" style="211" bestFit="1" customWidth="1"/>
    <col min="1845" max="1845" width="14.42578125" style="211" bestFit="1" customWidth="1"/>
    <col min="1846" max="1846" width="16.85546875" style="211" bestFit="1" customWidth="1"/>
    <col min="1847" max="1847" width="21.42578125" style="211" bestFit="1" customWidth="1"/>
    <col min="1848" max="1848" width="9.7109375" style="211" bestFit="1" customWidth="1"/>
    <col min="1849" max="1849" width="15" style="211" bestFit="1" customWidth="1"/>
    <col min="1850" max="1850" width="9.140625" style="211"/>
    <col min="1851" max="1851" width="14.7109375" style="211" bestFit="1" customWidth="1"/>
    <col min="1852" max="1852" width="10.85546875" style="211" bestFit="1" customWidth="1"/>
    <col min="1853" max="1855" width="9.28515625" style="211" customWidth="1"/>
    <col min="1856" max="1856" width="9.140625" style="211"/>
    <col min="1857" max="1857" width="7.85546875" style="211" bestFit="1" customWidth="1"/>
    <col min="1858" max="1858" width="8.5703125" style="211" bestFit="1" customWidth="1"/>
    <col min="1859" max="1859" width="9.140625" style="211"/>
    <col min="1860" max="1860" width="14.42578125" style="211" bestFit="1" customWidth="1"/>
    <col min="1861" max="1861" width="16.85546875" style="211" bestFit="1" customWidth="1"/>
    <col min="1862" max="1862" width="21.42578125" style="211" bestFit="1" customWidth="1"/>
    <col min="1863" max="1863" width="9.7109375" style="211" bestFit="1" customWidth="1"/>
    <col min="1864" max="1864" width="15" style="211" bestFit="1" customWidth="1"/>
    <col min="1865" max="2048" width="9.140625" style="211"/>
    <col min="2049" max="2049" width="51.28515625" style="211" bestFit="1" customWidth="1"/>
    <col min="2050" max="2050" width="12.28515625" style="211" customWidth="1"/>
    <col min="2051" max="2051" width="14.28515625" style="211" customWidth="1"/>
    <col min="2052" max="2052" width="13.42578125" style="211" bestFit="1" customWidth="1"/>
    <col min="2053" max="2053" width="12.5703125" style="211" bestFit="1" customWidth="1"/>
    <col min="2054" max="2054" width="13" style="211" bestFit="1" customWidth="1"/>
    <col min="2055" max="2055" width="14" style="211" bestFit="1" customWidth="1"/>
    <col min="2056" max="2056" width="13" style="211" bestFit="1" customWidth="1"/>
    <col min="2057" max="2057" width="12.5703125" style="211" customWidth="1"/>
    <col min="2058" max="2058" width="16.28515625" style="211" bestFit="1" customWidth="1"/>
    <col min="2059" max="2059" width="15.5703125" style="211" customWidth="1"/>
    <col min="2060" max="2060" width="13" style="211" bestFit="1" customWidth="1"/>
    <col min="2061" max="2061" width="15.85546875" style="211" customWidth="1"/>
    <col min="2062" max="2062" width="15" style="211" bestFit="1" customWidth="1"/>
    <col min="2063" max="2063" width="9.140625" style="211"/>
    <col min="2064" max="2064" width="14.28515625" style="211" bestFit="1" customWidth="1"/>
    <col min="2065" max="2065" width="11.85546875" style="211" bestFit="1" customWidth="1"/>
    <col min="2066" max="2067" width="11.85546875" style="211" customWidth="1"/>
    <col min="2068" max="2068" width="7" style="211" bestFit="1" customWidth="1"/>
    <col min="2069" max="2070" width="12.5703125" style="211" bestFit="1" customWidth="1"/>
    <col min="2071" max="2071" width="7.7109375" style="211" bestFit="1" customWidth="1"/>
    <col min="2072" max="2072" width="14.140625" style="211" bestFit="1" customWidth="1"/>
    <col min="2073" max="2073" width="18" style="211" customWidth="1"/>
    <col min="2074" max="2074" width="21.42578125" style="211" bestFit="1" customWidth="1"/>
    <col min="2075" max="2075" width="13.28515625" style="211" bestFit="1" customWidth="1"/>
    <col min="2076" max="2076" width="15" style="211" bestFit="1" customWidth="1"/>
    <col min="2077" max="2077" width="9.140625" style="211"/>
    <col min="2078" max="2078" width="14.28515625" style="211" bestFit="1" customWidth="1"/>
    <col min="2079" max="2079" width="9.5703125" style="211" bestFit="1" customWidth="1"/>
    <col min="2080" max="2081" width="9.5703125" style="211" customWidth="1"/>
    <col min="2082" max="2082" width="7" style="211" bestFit="1" customWidth="1"/>
    <col min="2083" max="2083" width="9.28515625" style="211" bestFit="1" customWidth="1"/>
    <col min="2084" max="2084" width="10.140625" style="211" bestFit="1" customWidth="1"/>
    <col min="2085" max="2085" width="9.140625" style="211"/>
    <col min="2086" max="2086" width="14.140625" style="211" bestFit="1" customWidth="1"/>
    <col min="2087" max="2087" width="15.5703125" style="211" bestFit="1" customWidth="1"/>
    <col min="2088" max="2088" width="21.42578125" style="211" bestFit="1" customWidth="1"/>
    <col min="2089" max="2089" width="13.28515625" style="211" bestFit="1" customWidth="1"/>
    <col min="2090" max="2090" width="15" style="211" bestFit="1" customWidth="1"/>
    <col min="2091" max="2091" width="9.140625" style="211"/>
    <col min="2092" max="2092" width="14.7109375" style="211" bestFit="1" customWidth="1"/>
    <col min="2093" max="2093" width="10.85546875" style="211" bestFit="1" customWidth="1"/>
    <col min="2094" max="2098" width="9.140625" style="211"/>
    <col min="2099" max="2099" width="11.85546875" style="211" customWidth="1"/>
    <col min="2100" max="2100" width="7.85546875" style="211" bestFit="1" customWidth="1"/>
    <col min="2101" max="2101" width="14.42578125" style="211" bestFit="1" customWidth="1"/>
    <col min="2102" max="2102" width="16.85546875" style="211" bestFit="1" customWidth="1"/>
    <col min="2103" max="2103" width="21.42578125" style="211" bestFit="1" customWidth="1"/>
    <col min="2104" max="2104" width="9.7109375" style="211" bestFit="1" customWidth="1"/>
    <col min="2105" max="2105" width="15" style="211" bestFit="1" customWidth="1"/>
    <col min="2106" max="2106" width="9.140625" style="211"/>
    <col min="2107" max="2107" width="14.7109375" style="211" bestFit="1" customWidth="1"/>
    <col min="2108" max="2108" width="10.85546875" style="211" bestFit="1" customWidth="1"/>
    <col min="2109" max="2111" width="9.28515625" style="211" customWidth="1"/>
    <col min="2112" max="2112" width="9.140625" style="211"/>
    <col min="2113" max="2113" width="7.85546875" style="211" bestFit="1" customWidth="1"/>
    <col min="2114" max="2114" width="8.5703125" style="211" bestFit="1" customWidth="1"/>
    <col min="2115" max="2115" width="9.140625" style="211"/>
    <col min="2116" max="2116" width="14.42578125" style="211" bestFit="1" customWidth="1"/>
    <col min="2117" max="2117" width="16.85546875" style="211" bestFit="1" customWidth="1"/>
    <col min="2118" max="2118" width="21.42578125" style="211" bestFit="1" customWidth="1"/>
    <col min="2119" max="2119" width="9.7109375" style="211" bestFit="1" customWidth="1"/>
    <col min="2120" max="2120" width="15" style="211" bestFit="1" customWidth="1"/>
    <col min="2121" max="2304" width="9.140625" style="211"/>
    <col min="2305" max="2305" width="51.28515625" style="211" bestFit="1" customWidth="1"/>
    <col min="2306" max="2306" width="12.28515625" style="211" customWidth="1"/>
    <col min="2307" max="2307" width="14.28515625" style="211" customWidth="1"/>
    <col min="2308" max="2308" width="13.42578125" style="211" bestFit="1" customWidth="1"/>
    <col min="2309" max="2309" width="12.5703125" style="211" bestFit="1" customWidth="1"/>
    <col min="2310" max="2310" width="13" style="211" bestFit="1" customWidth="1"/>
    <col min="2311" max="2311" width="14" style="211" bestFit="1" customWidth="1"/>
    <col min="2312" max="2312" width="13" style="211" bestFit="1" customWidth="1"/>
    <col min="2313" max="2313" width="12.5703125" style="211" customWidth="1"/>
    <col min="2314" max="2314" width="16.28515625" style="211" bestFit="1" customWidth="1"/>
    <col min="2315" max="2315" width="15.5703125" style="211" customWidth="1"/>
    <col min="2316" max="2316" width="13" style="211" bestFit="1" customWidth="1"/>
    <col min="2317" max="2317" width="15.85546875" style="211" customWidth="1"/>
    <col min="2318" max="2318" width="15" style="211" bestFit="1" customWidth="1"/>
    <col min="2319" max="2319" width="9.140625" style="211"/>
    <col min="2320" max="2320" width="14.28515625" style="211" bestFit="1" customWidth="1"/>
    <col min="2321" max="2321" width="11.85546875" style="211" bestFit="1" customWidth="1"/>
    <col min="2322" max="2323" width="11.85546875" style="211" customWidth="1"/>
    <col min="2324" max="2324" width="7" style="211" bestFit="1" customWidth="1"/>
    <col min="2325" max="2326" width="12.5703125" style="211" bestFit="1" customWidth="1"/>
    <col min="2327" max="2327" width="7.7109375" style="211" bestFit="1" customWidth="1"/>
    <col min="2328" max="2328" width="14.140625" style="211" bestFit="1" customWidth="1"/>
    <col min="2329" max="2329" width="18" style="211" customWidth="1"/>
    <col min="2330" max="2330" width="21.42578125" style="211" bestFit="1" customWidth="1"/>
    <col min="2331" max="2331" width="13.28515625" style="211" bestFit="1" customWidth="1"/>
    <col min="2332" max="2332" width="15" style="211" bestFit="1" customWidth="1"/>
    <col min="2333" max="2333" width="9.140625" style="211"/>
    <col min="2334" max="2334" width="14.28515625" style="211" bestFit="1" customWidth="1"/>
    <col min="2335" max="2335" width="9.5703125" style="211" bestFit="1" customWidth="1"/>
    <col min="2336" max="2337" width="9.5703125" style="211" customWidth="1"/>
    <col min="2338" max="2338" width="7" style="211" bestFit="1" customWidth="1"/>
    <col min="2339" max="2339" width="9.28515625" style="211" bestFit="1" customWidth="1"/>
    <col min="2340" max="2340" width="10.140625" style="211" bestFit="1" customWidth="1"/>
    <col min="2341" max="2341" width="9.140625" style="211"/>
    <col min="2342" max="2342" width="14.140625" style="211" bestFit="1" customWidth="1"/>
    <col min="2343" max="2343" width="15.5703125" style="211" bestFit="1" customWidth="1"/>
    <col min="2344" max="2344" width="21.42578125" style="211" bestFit="1" customWidth="1"/>
    <col min="2345" max="2345" width="13.28515625" style="211" bestFit="1" customWidth="1"/>
    <col min="2346" max="2346" width="15" style="211" bestFit="1" customWidth="1"/>
    <col min="2347" max="2347" width="9.140625" style="211"/>
    <col min="2348" max="2348" width="14.7109375" style="211" bestFit="1" customWidth="1"/>
    <col min="2349" max="2349" width="10.85546875" style="211" bestFit="1" customWidth="1"/>
    <col min="2350" max="2354" width="9.140625" style="211"/>
    <col min="2355" max="2355" width="11.85546875" style="211" customWidth="1"/>
    <col min="2356" max="2356" width="7.85546875" style="211" bestFit="1" customWidth="1"/>
    <col min="2357" max="2357" width="14.42578125" style="211" bestFit="1" customWidth="1"/>
    <col min="2358" max="2358" width="16.85546875" style="211" bestFit="1" customWidth="1"/>
    <col min="2359" max="2359" width="21.42578125" style="211" bestFit="1" customWidth="1"/>
    <col min="2360" max="2360" width="9.7109375" style="211" bestFit="1" customWidth="1"/>
    <col min="2361" max="2361" width="15" style="211" bestFit="1" customWidth="1"/>
    <col min="2362" max="2362" width="9.140625" style="211"/>
    <col min="2363" max="2363" width="14.7109375" style="211" bestFit="1" customWidth="1"/>
    <col min="2364" max="2364" width="10.85546875" style="211" bestFit="1" customWidth="1"/>
    <col min="2365" max="2367" width="9.28515625" style="211" customWidth="1"/>
    <col min="2368" max="2368" width="9.140625" style="211"/>
    <col min="2369" max="2369" width="7.85546875" style="211" bestFit="1" customWidth="1"/>
    <col min="2370" max="2370" width="8.5703125" style="211" bestFit="1" customWidth="1"/>
    <col min="2371" max="2371" width="9.140625" style="211"/>
    <col min="2372" max="2372" width="14.42578125" style="211" bestFit="1" customWidth="1"/>
    <col min="2373" max="2373" width="16.85546875" style="211" bestFit="1" customWidth="1"/>
    <col min="2374" max="2374" width="21.42578125" style="211" bestFit="1" customWidth="1"/>
    <col min="2375" max="2375" width="9.7109375" style="211" bestFit="1" customWidth="1"/>
    <col min="2376" max="2376" width="15" style="211" bestFit="1" customWidth="1"/>
    <col min="2377" max="2560" width="9.140625" style="211"/>
    <col min="2561" max="2561" width="51.28515625" style="211" bestFit="1" customWidth="1"/>
    <col min="2562" max="2562" width="12.28515625" style="211" customWidth="1"/>
    <col min="2563" max="2563" width="14.28515625" style="211" customWidth="1"/>
    <col min="2564" max="2564" width="13.42578125" style="211" bestFit="1" customWidth="1"/>
    <col min="2565" max="2565" width="12.5703125" style="211" bestFit="1" customWidth="1"/>
    <col min="2566" max="2566" width="13" style="211" bestFit="1" customWidth="1"/>
    <col min="2567" max="2567" width="14" style="211" bestFit="1" customWidth="1"/>
    <col min="2568" max="2568" width="13" style="211" bestFit="1" customWidth="1"/>
    <col min="2569" max="2569" width="12.5703125" style="211" customWidth="1"/>
    <col min="2570" max="2570" width="16.28515625" style="211" bestFit="1" customWidth="1"/>
    <col min="2571" max="2571" width="15.5703125" style="211" customWidth="1"/>
    <col min="2572" max="2572" width="13" style="211" bestFit="1" customWidth="1"/>
    <col min="2573" max="2573" width="15.85546875" style="211" customWidth="1"/>
    <col min="2574" max="2574" width="15" style="211" bestFit="1" customWidth="1"/>
    <col min="2575" max="2575" width="9.140625" style="211"/>
    <col min="2576" max="2576" width="14.28515625" style="211" bestFit="1" customWidth="1"/>
    <col min="2577" max="2577" width="11.85546875" style="211" bestFit="1" customWidth="1"/>
    <col min="2578" max="2579" width="11.85546875" style="211" customWidth="1"/>
    <col min="2580" max="2580" width="7" style="211" bestFit="1" customWidth="1"/>
    <col min="2581" max="2582" width="12.5703125" style="211" bestFit="1" customWidth="1"/>
    <col min="2583" max="2583" width="7.7109375" style="211" bestFit="1" customWidth="1"/>
    <col min="2584" max="2584" width="14.140625" style="211" bestFit="1" customWidth="1"/>
    <col min="2585" max="2585" width="18" style="211" customWidth="1"/>
    <col min="2586" max="2586" width="21.42578125" style="211" bestFit="1" customWidth="1"/>
    <col min="2587" max="2587" width="13.28515625" style="211" bestFit="1" customWidth="1"/>
    <col min="2588" max="2588" width="15" style="211" bestFit="1" customWidth="1"/>
    <col min="2589" max="2589" width="9.140625" style="211"/>
    <col min="2590" max="2590" width="14.28515625" style="211" bestFit="1" customWidth="1"/>
    <col min="2591" max="2591" width="9.5703125" style="211" bestFit="1" customWidth="1"/>
    <col min="2592" max="2593" width="9.5703125" style="211" customWidth="1"/>
    <col min="2594" max="2594" width="7" style="211" bestFit="1" customWidth="1"/>
    <col min="2595" max="2595" width="9.28515625" style="211" bestFit="1" customWidth="1"/>
    <col min="2596" max="2596" width="10.140625" style="211" bestFit="1" customWidth="1"/>
    <col min="2597" max="2597" width="9.140625" style="211"/>
    <col min="2598" max="2598" width="14.140625" style="211" bestFit="1" customWidth="1"/>
    <col min="2599" max="2599" width="15.5703125" style="211" bestFit="1" customWidth="1"/>
    <col min="2600" max="2600" width="21.42578125" style="211" bestFit="1" customWidth="1"/>
    <col min="2601" max="2601" width="13.28515625" style="211" bestFit="1" customWidth="1"/>
    <col min="2602" max="2602" width="15" style="211" bestFit="1" customWidth="1"/>
    <col min="2603" max="2603" width="9.140625" style="211"/>
    <col min="2604" max="2604" width="14.7109375" style="211" bestFit="1" customWidth="1"/>
    <col min="2605" max="2605" width="10.85546875" style="211" bestFit="1" customWidth="1"/>
    <col min="2606" max="2610" width="9.140625" style="211"/>
    <col min="2611" max="2611" width="11.85546875" style="211" customWidth="1"/>
    <col min="2612" max="2612" width="7.85546875" style="211" bestFit="1" customWidth="1"/>
    <col min="2613" max="2613" width="14.42578125" style="211" bestFit="1" customWidth="1"/>
    <col min="2614" max="2614" width="16.85546875" style="211" bestFit="1" customWidth="1"/>
    <col min="2615" max="2615" width="21.42578125" style="211" bestFit="1" customWidth="1"/>
    <col min="2616" max="2616" width="9.7109375" style="211" bestFit="1" customWidth="1"/>
    <col min="2617" max="2617" width="15" style="211" bestFit="1" customWidth="1"/>
    <col min="2618" max="2618" width="9.140625" style="211"/>
    <col min="2619" max="2619" width="14.7109375" style="211" bestFit="1" customWidth="1"/>
    <col min="2620" max="2620" width="10.85546875" style="211" bestFit="1" customWidth="1"/>
    <col min="2621" max="2623" width="9.28515625" style="211" customWidth="1"/>
    <col min="2624" max="2624" width="9.140625" style="211"/>
    <col min="2625" max="2625" width="7.85546875" style="211" bestFit="1" customWidth="1"/>
    <col min="2626" max="2626" width="8.5703125" style="211" bestFit="1" customWidth="1"/>
    <col min="2627" max="2627" width="9.140625" style="211"/>
    <col min="2628" max="2628" width="14.42578125" style="211" bestFit="1" customWidth="1"/>
    <col min="2629" max="2629" width="16.85546875" style="211" bestFit="1" customWidth="1"/>
    <col min="2630" max="2630" width="21.42578125" style="211" bestFit="1" customWidth="1"/>
    <col min="2631" max="2631" width="9.7109375" style="211" bestFit="1" customWidth="1"/>
    <col min="2632" max="2632" width="15" style="211" bestFit="1" customWidth="1"/>
    <col min="2633" max="2816" width="9.140625" style="211"/>
    <col min="2817" max="2817" width="51.28515625" style="211" bestFit="1" customWidth="1"/>
    <col min="2818" max="2818" width="12.28515625" style="211" customWidth="1"/>
    <col min="2819" max="2819" width="14.28515625" style="211" customWidth="1"/>
    <col min="2820" max="2820" width="13.42578125" style="211" bestFit="1" customWidth="1"/>
    <col min="2821" max="2821" width="12.5703125" style="211" bestFit="1" customWidth="1"/>
    <col min="2822" max="2822" width="13" style="211" bestFit="1" customWidth="1"/>
    <col min="2823" max="2823" width="14" style="211" bestFit="1" customWidth="1"/>
    <col min="2824" max="2824" width="13" style="211" bestFit="1" customWidth="1"/>
    <col min="2825" max="2825" width="12.5703125" style="211" customWidth="1"/>
    <col min="2826" max="2826" width="16.28515625" style="211" bestFit="1" customWidth="1"/>
    <col min="2827" max="2827" width="15.5703125" style="211" customWidth="1"/>
    <col min="2828" max="2828" width="13" style="211" bestFit="1" customWidth="1"/>
    <col min="2829" max="2829" width="15.85546875" style="211" customWidth="1"/>
    <col min="2830" max="2830" width="15" style="211" bestFit="1" customWidth="1"/>
    <col min="2831" max="2831" width="9.140625" style="211"/>
    <col min="2832" max="2832" width="14.28515625" style="211" bestFit="1" customWidth="1"/>
    <col min="2833" max="2833" width="11.85546875" style="211" bestFit="1" customWidth="1"/>
    <col min="2834" max="2835" width="11.85546875" style="211" customWidth="1"/>
    <col min="2836" max="2836" width="7" style="211" bestFit="1" customWidth="1"/>
    <col min="2837" max="2838" width="12.5703125" style="211" bestFit="1" customWidth="1"/>
    <col min="2839" max="2839" width="7.7109375" style="211" bestFit="1" customWidth="1"/>
    <col min="2840" max="2840" width="14.140625" style="211" bestFit="1" customWidth="1"/>
    <col min="2841" max="2841" width="18" style="211" customWidth="1"/>
    <col min="2842" max="2842" width="21.42578125" style="211" bestFit="1" customWidth="1"/>
    <col min="2843" max="2843" width="13.28515625" style="211" bestFit="1" customWidth="1"/>
    <col min="2844" max="2844" width="15" style="211" bestFit="1" customWidth="1"/>
    <col min="2845" max="2845" width="9.140625" style="211"/>
    <col min="2846" max="2846" width="14.28515625" style="211" bestFit="1" customWidth="1"/>
    <col min="2847" max="2847" width="9.5703125" style="211" bestFit="1" customWidth="1"/>
    <col min="2848" max="2849" width="9.5703125" style="211" customWidth="1"/>
    <col min="2850" max="2850" width="7" style="211" bestFit="1" customWidth="1"/>
    <col min="2851" max="2851" width="9.28515625" style="211" bestFit="1" customWidth="1"/>
    <col min="2852" max="2852" width="10.140625" style="211" bestFit="1" customWidth="1"/>
    <col min="2853" max="2853" width="9.140625" style="211"/>
    <col min="2854" max="2854" width="14.140625" style="211" bestFit="1" customWidth="1"/>
    <col min="2855" max="2855" width="15.5703125" style="211" bestFit="1" customWidth="1"/>
    <col min="2856" max="2856" width="21.42578125" style="211" bestFit="1" customWidth="1"/>
    <col min="2857" max="2857" width="13.28515625" style="211" bestFit="1" customWidth="1"/>
    <col min="2858" max="2858" width="15" style="211" bestFit="1" customWidth="1"/>
    <col min="2859" max="2859" width="9.140625" style="211"/>
    <col min="2860" max="2860" width="14.7109375" style="211" bestFit="1" customWidth="1"/>
    <col min="2861" max="2861" width="10.85546875" style="211" bestFit="1" customWidth="1"/>
    <col min="2862" max="2866" width="9.140625" style="211"/>
    <col min="2867" max="2867" width="11.85546875" style="211" customWidth="1"/>
    <col min="2868" max="2868" width="7.85546875" style="211" bestFit="1" customWidth="1"/>
    <col min="2869" max="2869" width="14.42578125" style="211" bestFit="1" customWidth="1"/>
    <col min="2870" max="2870" width="16.85546875" style="211" bestFit="1" customWidth="1"/>
    <col min="2871" max="2871" width="21.42578125" style="211" bestFit="1" customWidth="1"/>
    <col min="2872" max="2872" width="9.7109375" style="211" bestFit="1" customWidth="1"/>
    <col min="2873" max="2873" width="15" style="211" bestFit="1" customWidth="1"/>
    <col min="2874" max="2874" width="9.140625" style="211"/>
    <col min="2875" max="2875" width="14.7109375" style="211" bestFit="1" customWidth="1"/>
    <col min="2876" max="2876" width="10.85546875" style="211" bestFit="1" customWidth="1"/>
    <col min="2877" max="2879" width="9.28515625" style="211" customWidth="1"/>
    <col min="2880" max="2880" width="9.140625" style="211"/>
    <col min="2881" max="2881" width="7.85546875" style="211" bestFit="1" customWidth="1"/>
    <col min="2882" max="2882" width="8.5703125" style="211" bestFit="1" customWidth="1"/>
    <col min="2883" max="2883" width="9.140625" style="211"/>
    <col min="2884" max="2884" width="14.42578125" style="211" bestFit="1" customWidth="1"/>
    <col min="2885" max="2885" width="16.85546875" style="211" bestFit="1" customWidth="1"/>
    <col min="2886" max="2886" width="21.42578125" style="211" bestFit="1" customWidth="1"/>
    <col min="2887" max="2887" width="9.7109375" style="211" bestFit="1" customWidth="1"/>
    <col min="2888" max="2888" width="15" style="211" bestFit="1" customWidth="1"/>
    <col min="2889" max="3072" width="9.140625" style="211"/>
    <col min="3073" max="3073" width="51.28515625" style="211" bestFit="1" customWidth="1"/>
    <col min="3074" max="3074" width="12.28515625" style="211" customWidth="1"/>
    <col min="3075" max="3075" width="14.28515625" style="211" customWidth="1"/>
    <col min="3076" max="3076" width="13.42578125" style="211" bestFit="1" customWidth="1"/>
    <col min="3077" max="3077" width="12.5703125" style="211" bestFit="1" customWidth="1"/>
    <col min="3078" max="3078" width="13" style="211" bestFit="1" customWidth="1"/>
    <col min="3079" max="3079" width="14" style="211" bestFit="1" customWidth="1"/>
    <col min="3080" max="3080" width="13" style="211" bestFit="1" customWidth="1"/>
    <col min="3081" max="3081" width="12.5703125" style="211" customWidth="1"/>
    <col min="3082" max="3082" width="16.28515625" style="211" bestFit="1" customWidth="1"/>
    <col min="3083" max="3083" width="15.5703125" style="211" customWidth="1"/>
    <col min="3084" max="3084" width="13" style="211" bestFit="1" customWidth="1"/>
    <col min="3085" max="3085" width="15.85546875" style="211" customWidth="1"/>
    <col min="3086" max="3086" width="15" style="211" bestFit="1" customWidth="1"/>
    <col min="3087" max="3087" width="9.140625" style="211"/>
    <col min="3088" max="3088" width="14.28515625" style="211" bestFit="1" customWidth="1"/>
    <col min="3089" max="3089" width="11.85546875" style="211" bestFit="1" customWidth="1"/>
    <col min="3090" max="3091" width="11.85546875" style="211" customWidth="1"/>
    <col min="3092" max="3092" width="7" style="211" bestFit="1" customWidth="1"/>
    <col min="3093" max="3094" width="12.5703125" style="211" bestFit="1" customWidth="1"/>
    <col min="3095" max="3095" width="7.7109375" style="211" bestFit="1" customWidth="1"/>
    <col min="3096" max="3096" width="14.140625" style="211" bestFit="1" customWidth="1"/>
    <col min="3097" max="3097" width="18" style="211" customWidth="1"/>
    <col min="3098" max="3098" width="21.42578125" style="211" bestFit="1" customWidth="1"/>
    <col min="3099" max="3099" width="13.28515625" style="211" bestFit="1" customWidth="1"/>
    <col min="3100" max="3100" width="15" style="211" bestFit="1" customWidth="1"/>
    <col min="3101" max="3101" width="9.140625" style="211"/>
    <col min="3102" max="3102" width="14.28515625" style="211" bestFit="1" customWidth="1"/>
    <col min="3103" max="3103" width="9.5703125" style="211" bestFit="1" customWidth="1"/>
    <col min="3104" max="3105" width="9.5703125" style="211" customWidth="1"/>
    <col min="3106" max="3106" width="7" style="211" bestFit="1" customWidth="1"/>
    <col min="3107" max="3107" width="9.28515625" style="211" bestFit="1" customWidth="1"/>
    <col min="3108" max="3108" width="10.140625" style="211" bestFit="1" customWidth="1"/>
    <col min="3109" max="3109" width="9.140625" style="211"/>
    <col min="3110" max="3110" width="14.140625" style="211" bestFit="1" customWidth="1"/>
    <col min="3111" max="3111" width="15.5703125" style="211" bestFit="1" customWidth="1"/>
    <col min="3112" max="3112" width="21.42578125" style="211" bestFit="1" customWidth="1"/>
    <col min="3113" max="3113" width="13.28515625" style="211" bestFit="1" customWidth="1"/>
    <col min="3114" max="3114" width="15" style="211" bestFit="1" customWidth="1"/>
    <col min="3115" max="3115" width="9.140625" style="211"/>
    <col min="3116" max="3116" width="14.7109375" style="211" bestFit="1" customWidth="1"/>
    <col min="3117" max="3117" width="10.85546875" style="211" bestFit="1" customWidth="1"/>
    <col min="3118" max="3122" width="9.140625" style="211"/>
    <col min="3123" max="3123" width="11.85546875" style="211" customWidth="1"/>
    <col min="3124" max="3124" width="7.85546875" style="211" bestFit="1" customWidth="1"/>
    <col min="3125" max="3125" width="14.42578125" style="211" bestFit="1" customWidth="1"/>
    <col min="3126" max="3126" width="16.85546875" style="211" bestFit="1" customWidth="1"/>
    <col min="3127" max="3127" width="21.42578125" style="211" bestFit="1" customWidth="1"/>
    <col min="3128" max="3128" width="9.7109375" style="211" bestFit="1" customWidth="1"/>
    <col min="3129" max="3129" width="15" style="211" bestFit="1" customWidth="1"/>
    <col min="3130" max="3130" width="9.140625" style="211"/>
    <col min="3131" max="3131" width="14.7109375" style="211" bestFit="1" customWidth="1"/>
    <col min="3132" max="3132" width="10.85546875" style="211" bestFit="1" customWidth="1"/>
    <col min="3133" max="3135" width="9.28515625" style="211" customWidth="1"/>
    <col min="3136" max="3136" width="9.140625" style="211"/>
    <col min="3137" max="3137" width="7.85546875" style="211" bestFit="1" customWidth="1"/>
    <col min="3138" max="3138" width="8.5703125" style="211" bestFit="1" customWidth="1"/>
    <col min="3139" max="3139" width="9.140625" style="211"/>
    <col min="3140" max="3140" width="14.42578125" style="211" bestFit="1" customWidth="1"/>
    <col min="3141" max="3141" width="16.85546875" style="211" bestFit="1" customWidth="1"/>
    <col min="3142" max="3142" width="21.42578125" style="211" bestFit="1" customWidth="1"/>
    <col min="3143" max="3143" width="9.7109375" style="211" bestFit="1" customWidth="1"/>
    <col min="3144" max="3144" width="15" style="211" bestFit="1" customWidth="1"/>
    <col min="3145" max="3328" width="9.140625" style="211"/>
    <col min="3329" max="3329" width="51.28515625" style="211" bestFit="1" customWidth="1"/>
    <col min="3330" max="3330" width="12.28515625" style="211" customWidth="1"/>
    <col min="3331" max="3331" width="14.28515625" style="211" customWidth="1"/>
    <col min="3332" max="3332" width="13.42578125" style="211" bestFit="1" customWidth="1"/>
    <col min="3333" max="3333" width="12.5703125" style="211" bestFit="1" customWidth="1"/>
    <col min="3334" max="3334" width="13" style="211" bestFit="1" customWidth="1"/>
    <col min="3335" max="3335" width="14" style="211" bestFit="1" customWidth="1"/>
    <col min="3336" max="3336" width="13" style="211" bestFit="1" customWidth="1"/>
    <col min="3337" max="3337" width="12.5703125" style="211" customWidth="1"/>
    <col min="3338" max="3338" width="16.28515625" style="211" bestFit="1" customWidth="1"/>
    <col min="3339" max="3339" width="15.5703125" style="211" customWidth="1"/>
    <col min="3340" max="3340" width="13" style="211" bestFit="1" customWidth="1"/>
    <col min="3341" max="3341" width="15.85546875" style="211" customWidth="1"/>
    <col min="3342" max="3342" width="15" style="211" bestFit="1" customWidth="1"/>
    <col min="3343" max="3343" width="9.140625" style="211"/>
    <col min="3344" max="3344" width="14.28515625" style="211" bestFit="1" customWidth="1"/>
    <col min="3345" max="3345" width="11.85546875" style="211" bestFit="1" customWidth="1"/>
    <col min="3346" max="3347" width="11.85546875" style="211" customWidth="1"/>
    <col min="3348" max="3348" width="7" style="211" bestFit="1" customWidth="1"/>
    <col min="3349" max="3350" width="12.5703125" style="211" bestFit="1" customWidth="1"/>
    <col min="3351" max="3351" width="7.7109375" style="211" bestFit="1" customWidth="1"/>
    <col min="3352" max="3352" width="14.140625" style="211" bestFit="1" customWidth="1"/>
    <col min="3353" max="3353" width="18" style="211" customWidth="1"/>
    <col min="3354" max="3354" width="21.42578125" style="211" bestFit="1" customWidth="1"/>
    <col min="3355" max="3355" width="13.28515625" style="211" bestFit="1" customWidth="1"/>
    <col min="3356" max="3356" width="15" style="211" bestFit="1" customWidth="1"/>
    <col min="3357" max="3357" width="9.140625" style="211"/>
    <col min="3358" max="3358" width="14.28515625" style="211" bestFit="1" customWidth="1"/>
    <col min="3359" max="3359" width="9.5703125" style="211" bestFit="1" customWidth="1"/>
    <col min="3360" max="3361" width="9.5703125" style="211" customWidth="1"/>
    <col min="3362" max="3362" width="7" style="211" bestFit="1" customWidth="1"/>
    <col min="3363" max="3363" width="9.28515625" style="211" bestFit="1" customWidth="1"/>
    <col min="3364" max="3364" width="10.140625" style="211" bestFit="1" customWidth="1"/>
    <col min="3365" max="3365" width="9.140625" style="211"/>
    <col min="3366" max="3366" width="14.140625" style="211" bestFit="1" customWidth="1"/>
    <col min="3367" max="3367" width="15.5703125" style="211" bestFit="1" customWidth="1"/>
    <col min="3368" max="3368" width="21.42578125" style="211" bestFit="1" customWidth="1"/>
    <col min="3369" max="3369" width="13.28515625" style="211" bestFit="1" customWidth="1"/>
    <col min="3370" max="3370" width="15" style="211" bestFit="1" customWidth="1"/>
    <col min="3371" max="3371" width="9.140625" style="211"/>
    <col min="3372" max="3372" width="14.7109375" style="211" bestFit="1" customWidth="1"/>
    <col min="3373" max="3373" width="10.85546875" style="211" bestFit="1" customWidth="1"/>
    <col min="3374" max="3378" width="9.140625" style="211"/>
    <col min="3379" max="3379" width="11.85546875" style="211" customWidth="1"/>
    <col min="3380" max="3380" width="7.85546875" style="211" bestFit="1" customWidth="1"/>
    <col min="3381" max="3381" width="14.42578125" style="211" bestFit="1" customWidth="1"/>
    <col min="3382" max="3382" width="16.85546875" style="211" bestFit="1" customWidth="1"/>
    <col min="3383" max="3383" width="21.42578125" style="211" bestFit="1" customWidth="1"/>
    <col min="3384" max="3384" width="9.7109375" style="211" bestFit="1" customWidth="1"/>
    <col min="3385" max="3385" width="15" style="211" bestFit="1" customWidth="1"/>
    <col min="3386" max="3386" width="9.140625" style="211"/>
    <col min="3387" max="3387" width="14.7109375" style="211" bestFit="1" customWidth="1"/>
    <col min="3388" max="3388" width="10.85546875" style="211" bestFit="1" customWidth="1"/>
    <col min="3389" max="3391" width="9.28515625" style="211" customWidth="1"/>
    <col min="3392" max="3392" width="9.140625" style="211"/>
    <col min="3393" max="3393" width="7.85546875" style="211" bestFit="1" customWidth="1"/>
    <col min="3394" max="3394" width="8.5703125" style="211" bestFit="1" customWidth="1"/>
    <col min="3395" max="3395" width="9.140625" style="211"/>
    <col min="3396" max="3396" width="14.42578125" style="211" bestFit="1" customWidth="1"/>
    <col min="3397" max="3397" width="16.85546875" style="211" bestFit="1" customWidth="1"/>
    <col min="3398" max="3398" width="21.42578125" style="211" bestFit="1" customWidth="1"/>
    <col min="3399" max="3399" width="9.7109375" style="211" bestFit="1" customWidth="1"/>
    <col min="3400" max="3400" width="15" style="211" bestFit="1" customWidth="1"/>
    <col min="3401" max="3584" width="9.140625" style="211"/>
    <col min="3585" max="3585" width="51.28515625" style="211" bestFit="1" customWidth="1"/>
    <col min="3586" max="3586" width="12.28515625" style="211" customWidth="1"/>
    <col min="3587" max="3587" width="14.28515625" style="211" customWidth="1"/>
    <col min="3588" max="3588" width="13.42578125" style="211" bestFit="1" customWidth="1"/>
    <col min="3589" max="3589" width="12.5703125" style="211" bestFit="1" customWidth="1"/>
    <col min="3590" max="3590" width="13" style="211" bestFit="1" customWidth="1"/>
    <col min="3591" max="3591" width="14" style="211" bestFit="1" customWidth="1"/>
    <col min="3592" max="3592" width="13" style="211" bestFit="1" customWidth="1"/>
    <col min="3593" max="3593" width="12.5703125" style="211" customWidth="1"/>
    <col min="3594" max="3594" width="16.28515625" style="211" bestFit="1" customWidth="1"/>
    <col min="3595" max="3595" width="15.5703125" style="211" customWidth="1"/>
    <col min="3596" max="3596" width="13" style="211" bestFit="1" customWidth="1"/>
    <col min="3597" max="3597" width="15.85546875" style="211" customWidth="1"/>
    <col min="3598" max="3598" width="15" style="211" bestFit="1" customWidth="1"/>
    <col min="3599" max="3599" width="9.140625" style="211"/>
    <col min="3600" max="3600" width="14.28515625" style="211" bestFit="1" customWidth="1"/>
    <col min="3601" max="3601" width="11.85546875" style="211" bestFit="1" customWidth="1"/>
    <col min="3602" max="3603" width="11.85546875" style="211" customWidth="1"/>
    <col min="3604" max="3604" width="7" style="211" bestFit="1" customWidth="1"/>
    <col min="3605" max="3606" width="12.5703125" style="211" bestFit="1" customWidth="1"/>
    <col min="3607" max="3607" width="7.7109375" style="211" bestFit="1" customWidth="1"/>
    <col min="3608" max="3608" width="14.140625" style="211" bestFit="1" customWidth="1"/>
    <col min="3609" max="3609" width="18" style="211" customWidth="1"/>
    <col min="3610" max="3610" width="21.42578125" style="211" bestFit="1" customWidth="1"/>
    <col min="3611" max="3611" width="13.28515625" style="211" bestFit="1" customWidth="1"/>
    <col min="3612" max="3612" width="15" style="211" bestFit="1" customWidth="1"/>
    <col min="3613" max="3613" width="9.140625" style="211"/>
    <col min="3614" max="3614" width="14.28515625" style="211" bestFit="1" customWidth="1"/>
    <col min="3615" max="3615" width="9.5703125" style="211" bestFit="1" customWidth="1"/>
    <col min="3616" max="3617" width="9.5703125" style="211" customWidth="1"/>
    <col min="3618" max="3618" width="7" style="211" bestFit="1" customWidth="1"/>
    <col min="3619" max="3619" width="9.28515625" style="211" bestFit="1" customWidth="1"/>
    <col min="3620" max="3620" width="10.140625" style="211" bestFit="1" customWidth="1"/>
    <col min="3621" max="3621" width="9.140625" style="211"/>
    <col min="3622" max="3622" width="14.140625" style="211" bestFit="1" customWidth="1"/>
    <col min="3623" max="3623" width="15.5703125" style="211" bestFit="1" customWidth="1"/>
    <col min="3624" max="3624" width="21.42578125" style="211" bestFit="1" customWidth="1"/>
    <col min="3625" max="3625" width="13.28515625" style="211" bestFit="1" customWidth="1"/>
    <col min="3626" max="3626" width="15" style="211" bestFit="1" customWidth="1"/>
    <col min="3627" max="3627" width="9.140625" style="211"/>
    <col min="3628" max="3628" width="14.7109375" style="211" bestFit="1" customWidth="1"/>
    <col min="3629" max="3629" width="10.85546875" style="211" bestFit="1" customWidth="1"/>
    <col min="3630" max="3634" width="9.140625" style="211"/>
    <col min="3635" max="3635" width="11.85546875" style="211" customWidth="1"/>
    <col min="3636" max="3636" width="7.85546875" style="211" bestFit="1" customWidth="1"/>
    <col min="3637" max="3637" width="14.42578125" style="211" bestFit="1" customWidth="1"/>
    <col min="3638" max="3638" width="16.85546875" style="211" bestFit="1" customWidth="1"/>
    <col min="3639" max="3639" width="21.42578125" style="211" bestFit="1" customWidth="1"/>
    <col min="3640" max="3640" width="9.7109375" style="211" bestFit="1" customWidth="1"/>
    <col min="3641" max="3641" width="15" style="211" bestFit="1" customWidth="1"/>
    <col min="3642" max="3642" width="9.140625" style="211"/>
    <col min="3643" max="3643" width="14.7109375" style="211" bestFit="1" customWidth="1"/>
    <col min="3644" max="3644" width="10.85546875" style="211" bestFit="1" customWidth="1"/>
    <col min="3645" max="3647" width="9.28515625" style="211" customWidth="1"/>
    <col min="3648" max="3648" width="9.140625" style="211"/>
    <col min="3649" max="3649" width="7.85546875" style="211" bestFit="1" customWidth="1"/>
    <col min="3650" max="3650" width="8.5703125" style="211" bestFit="1" customWidth="1"/>
    <col min="3651" max="3651" width="9.140625" style="211"/>
    <col min="3652" max="3652" width="14.42578125" style="211" bestFit="1" customWidth="1"/>
    <col min="3653" max="3653" width="16.85546875" style="211" bestFit="1" customWidth="1"/>
    <col min="3654" max="3654" width="21.42578125" style="211" bestFit="1" customWidth="1"/>
    <col min="3655" max="3655" width="9.7109375" style="211" bestFit="1" customWidth="1"/>
    <col min="3656" max="3656" width="15" style="211" bestFit="1" customWidth="1"/>
    <col min="3657" max="3840" width="9.140625" style="211"/>
    <col min="3841" max="3841" width="51.28515625" style="211" bestFit="1" customWidth="1"/>
    <col min="3842" max="3842" width="12.28515625" style="211" customWidth="1"/>
    <col min="3843" max="3843" width="14.28515625" style="211" customWidth="1"/>
    <col min="3844" max="3844" width="13.42578125" style="211" bestFit="1" customWidth="1"/>
    <col min="3845" max="3845" width="12.5703125" style="211" bestFit="1" customWidth="1"/>
    <col min="3846" max="3846" width="13" style="211" bestFit="1" customWidth="1"/>
    <col min="3847" max="3847" width="14" style="211" bestFit="1" customWidth="1"/>
    <col min="3848" max="3848" width="13" style="211" bestFit="1" customWidth="1"/>
    <col min="3849" max="3849" width="12.5703125" style="211" customWidth="1"/>
    <col min="3850" max="3850" width="16.28515625" style="211" bestFit="1" customWidth="1"/>
    <col min="3851" max="3851" width="15.5703125" style="211" customWidth="1"/>
    <col min="3852" max="3852" width="13" style="211" bestFit="1" customWidth="1"/>
    <col min="3853" max="3853" width="15.85546875" style="211" customWidth="1"/>
    <col min="3854" max="3854" width="15" style="211" bestFit="1" customWidth="1"/>
    <col min="3855" max="3855" width="9.140625" style="211"/>
    <col min="3856" max="3856" width="14.28515625" style="211" bestFit="1" customWidth="1"/>
    <col min="3857" max="3857" width="11.85546875" style="211" bestFit="1" customWidth="1"/>
    <col min="3858" max="3859" width="11.85546875" style="211" customWidth="1"/>
    <col min="3860" max="3860" width="7" style="211" bestFit="1" customWidth="1"/>
    <col min="3861" max="3862" width="12.5703125" style="211" bestFit="1" customWidth="1"/>
    <col min="3863" max="3863" width="7.7109375" style="211" bestFit="1" customWidth="1"/>
    <col min="3864" max="3864" width="14.140625" style="211" bestFit="1" customWidth="1"/>
    <col min="3865" max="3865" width="18" style="211" customWidth="1"/>
    <col min="3866" max="3866" width="21.42578125" style="211" bestFit="1" customWidth="1"/>
    <col min="3867" max="3867" width="13.28515625" style="211" bestFit="1" customWidth="1"/>
    <col min="3868" max="3868" width="15" style="211" bestFit="1" customWidth="1"/>
    <col min="3869" max="3869" width="9.140625" style="211"/>
    <col min="3870" max="3870" width="14.28515625" style="211" bestFit="1" customWidth="1"/>
    <col min="3871" max="3871" width="9.5703125" style="211" bestFit="1" customWidth="1"/>
    <col min="3872" max="3873" width="9.5703125" style="211" customWidth="1"/>
    <col min="3874" max="3874" width="7" style="211" bestFit="1" customWidth="1"/>
    <col min="3875" max="3875" width="9.28515625" style="211" bestFit="1" customWidth="1"/>
    <col min="3876" max="3876" width="10.140625" style="211" bestFit="1" customWidth="1"/>
    <col min="3877" max="3877" width="9.140625" style="211"/>
    <col min="3878" max="3878" width="14.140625" style="211" bestFit="1" customWidth="1"/>
    <col min="3879" max="3879" width="15.5703125" style="211" bestFit="1" customWidth="1"/>
    <col min="3880" max="3880" width="21.42578125" style="211" bestFit="1" customWidth="1"/>
    <col min="3881" max="3881" width="13.28515625" style="211" bestFit="1" customWidth="1"/>
    <col min="3882" max="3882" width="15" style="211" bestFit="1" customWidth="1"/>
    <col min="3883" max="3883" width="9.140625" style="211"/>
    <col min="3884" max="3884" width="14.7109375" style="211" bestFit="1" customWidth="1"/>
    <col min="3885" max="3885" width="10.85546875" style="211" bestFit="1" customWidth="1"/>
    <col min="3886" max="3890" width="9.140625" style="211"/>
    <col min="3891" max="3891" width="11.85546875" style="211" customWidth="1"/>
    <col min="3892" max="3892" width="7.85546875" style="211" bestFit="1" customWidth="1"/>
    <col min="3893" max="3893" width="14.42578125" style="211" bestFit="1" customWidth="1"/>
    <col min="3894" max="3894" width="16.85546875" style="211" bestFit="1" customWidth="1"/>
    <col min="3895" max="3895" width="21.42578125" style="211" bestFit="1" customWidth="1"/>
    <col min="3896" max="3896" width="9.7109375" style="211" bestFit="1" customWidth="1"/>
    <col min="3897" max="3897" width="15" style="211" bestFit="1" customWidth="1"/>
    <col min="3898" max="3898" width="9.140625" style="211"/>
    <col min="3899" max="3899" width="14.7109375" style="211" bestFit="1" customWidth="1"/>
    <col min="3900" max="3900" width="10.85546875" style="211" bestFit="1" customWidth="1"/>
    <col min="3901" max="3903" width="9.28515625" style="211" customWidth="1"/>
    <col min="3904" max="3904" width="9.140625" style="211"/>
    <col min="3905" max="3905" width="7.85546875" style="211" bestFit="1" customWidth="1"/>
    <col min="3906" max="3906" width="8.5703125" style="211" bestFit="1" customWidth="1"/>
    <col min="3907" max="3907" width="9.140625" style="211"/>
    <col min="3908" max="3908" width="14.42578125" style="211" bestFit="1" customWidth="1"/>
    <col min="3909" max="3909" width="16.85546875" style="211" bestFit="1" customWidth="1"/>
    <col min="3910" max="3910" width="21.42578125" style="211" bestFit="1" customWidth="1"/>
    <col min="3911" max="3911" width="9.7109375" style="211" bestFit="1" customWidth="1"/>
    <col min="3912" max="3912" width="15" style="211" bestFit="1" customWidth="1"/>
    <col min="3913" max="4096" width="9.140625" style="211"/>
    <col min="4097" max="4097" width="51.28515625" style="211" bestFit="1" customWidth="1"/>
    <col min="4098" max="4098" width="12.28515625" style="211" customWidth="1"/>
    <col min="4099" max="4099" width="14.28515625" style="211" customWidth="1"/>
    <col min="4100" max="4100" width="13.42578125" style="211" bestFit="1" customWidth="1"/>
    <col min="4101" max="4101" width="12.5703125" style="211" bestFit="1" customWidth="1"/>
    <col min="4102" max="4102" width="13" style="211" bestFit="1" customWidth="1"/>
    <col min="4103" max="4103" width="14" style="211" bestFit="1" customWidth="1"/>
    <col min="4104" max="4104" width="13" style="211" bestFit="1" customWidth="1"/>
    <col min="4105" max="4105" width="12.5703125" style="211" customWidth="1"/>
    <col min="4106" max="4106" width="16.28515625" style="211" bestFit="1" customWidth="1"/>
    <col min="4107" max="4107" width="15.5703125" style="211" customWidth="1"/>
    <col min="4108" max="4108" width="13" style="211" bestFit="1" customWidth="1"/>
    <col min="4109" max="4109" width="15.85546875" style="211" customWidth="1"/>
    <col min="4110" max="4110" width="15" style="211" bestFit="1" customWidth="1"/>
    <col min="4111" max="4111" width="9.140625" style="211"/>
    <col min="4112" max="4112" width="14.28515625" style="211" bestFit="1" customWidth="1"/>
    <col min="4113" max="4113" width="11.85546875" style="211" bestFit="1" customWidth="1"/>
    <col min="4114" max="4115" width="11.85546875" style="211" customWidth="1"/>
    <col min="4116" max="4116" width="7" style="211" bestFit="1" customWidth="1"/>
    <col min="4117" max="4118" width="12.5703125" style="211" bestFit="1" customWidth="1"/>
    <col min="4119" max="4119" width="7.7109375" style="211" bestFit="1" customWidth="1"/>
    <col min="4120" max="4120" width="14.140625" style="211" bestFit="1" customWidth="1"/>
    <col min="4121" max="4121" width="18" style="211" customWidth="1"/>
    <col min="4122" max="4122" width="21.42578125" style="211" bestFit="1" customWidth="1"/>
    <col min="4123" max="4123" width="13.28515625" style="211" bestFit="1" customWidth="1"/>
    <col min="4124" max="4124" width="15" style="211" bestFit="1" customWidth="1"/>
    <col min="4125" max="4125" width="9.140625" style="211"/>
    <col min="4126" max="4126" width="14.28515625" style="211" bestFit="1" customWidth="1"/>
    <col min="4127" max="4127" width="9.5703125" style="211" bestFit="1" customWidth="1"/>
    <col min="4128" max="4129" width="9.5703125" style="211" customWidth="1"/>
    <col min="4130" max="4130" width="7" style="211" bestFit="1" customWidth="1"/>
    <col min="4131" max="4131" width="9.28515625" style="211" bestFit="1" customWidth="1"/>
    <col min="4132" max="4132" width="10.140625" style="211" bestFit="1" customWidth="1"/>
    <col min="4133" max="4133" width="9.140625" style="211"/>
    <col min="4134" max="4134" width="14.140625" style="211" bestFit="1" customWidth="1"/>
    <col min="4135" max="4135" width="15.5703125" style="211" bestFit="1" customWidth="1"/>
    <col min="4136" max="4136" width="21.42578125" style="211" bestFit="1" customWidth="1"/>
    <col min="4137" max="4137" width="13.28515625" style="211" bestFit="1" customWidth="1"/>
    <col min="4138" max="4138" width="15" style="211" bestFit="1" customWidth="1"/>
    <col min="4139" max="4139" width="9.140625" style="211"/>
    <col min="4140" max="4140" width="14.7109375" style="211" bestFit="1" customWidth="1"/>
    <col min="4141" max="4141" width="10.85546875" style="211" bestFit="1" customWidth="1"/>
    <col min="4142" max="4146" width="9.140625" style="211"/>
    <col min="4147" max="4147" width="11.85546875" style="211" customWidth="1"/>
    <col min="4148" max="4148" width="7.85546875" style="211" bestFit="1" customWidth="1"/>
    <col min="4149" max="4149" width="14.42578125" style="211" bestFit="1" customWidth="1"/>
    <col min="4150" max="4150" width="16.85546875" style="211" bestFit="1" customWidth="1"/>
    <col min="4151" max="4151" width="21.42578125" style="211" bestFit="1" customWidth="1"/>
    <col min="4152" max="4152" width="9.7109375" style="211" bestFit="1" customWidth="1"/>
    <col min="4153" max="4153" width="15" style="211" bestFit="1" customWidth="1"/>
    <col min="4154" max="4154" width="9.140625" style="211"/>
    <col min="4155" max="4155" width="14.7109375" style="211" bestFit="1" customWidth="1"/>
    <col min="4156" max="4156" width="10.85546875" style="211" bestFit="1" customWidth="1"/>
    <col min="4157" max="4159" width="9.28515625" style="211" customWidth="1"/>
    <col min="4160" max="4160" width="9.140625" style="211"/>
    <col min="4161" max="4161" width="7.85546875" style="211" bestFit="1" customWidth="1"/>
    <col min="4162" max="4162" width="8.5703125" style="211" bestFit="1" customWidth="1"/>
    <col min="4163" max="4163" width="9.140625" style="211"/>
    <col min="4164" max="4164" width="14.42578125" style="211" bestFit="1" customWidth="1"/>
    <col min="4165" max="4165" width="16.85546875" style="211" bestFit="1" customWidth="1"/>
    <col min="4166" max="4166" width="21.42578125" style="211" bestFit="1" customWidth="1"/>
    <col min="4167" max="4167" width="9.7109375" style="211" bestFit="1" customWidth="1"/>
    <col min="4168" max="4168" width="15" style="211" bestFit="1" customWidth="1"/>
    <col min="4169" max="4352" width="9.140625" style="211"/>
    <col min="4353" max="4353" width="51.28515625" style="211" bestFit="1" customWidth="1"/>
    <col min="4354" max="4354" width="12.28515625" style="211" customWidth="1"/>
    <col min="4355" max="4355" width="14.28515625" style="211" customWidth="1"/>
    <col min="4356" max="4356" width="13.42578125" style="211" bestFit="1" customWidth="1"/>
    <col min="4357" max="4357" width="12.5703125" style="211" bestFit="1" customWidth="1"/>
    <col min="4358" max="4358" width="13" style="211" bestFit="1" customWidth="1"/>
    <col min="4359" max="4359" width="14" style="211" bestFit="1" customWidth="1"/>
    <col min="4360" max="4360" width="13" style="211" bestFit="1" customWidth="1"/>
    <col min="4361" max="4361" width="12.5703125" style="211" customWidth="1"/>
    <col min="4362" max="4362" width="16.28515625" style="211" bestFit="1" customWidth="1"/>
    <col min="4363" max="4363" width="15.5703125" style="211" customWidth="1"/>
    <col min="4364" max="4364" width="13" style="211" bestFit="1" customWidth="1"/>
    <col min="4365" max="4365" width="15.85546875" style="211" customWidth="1"/>
    <col min="4366" max="4366" width="15" style="211" bestFit="1" customWidth="1"/>
    <col min="4367" max="4367" width="9.140625" style="211"/>
    <col min="4368" max="4368" width="14.28515625" style="211" bestFit="1" customWidth="1"/>
    <col min="4369" max="4369" width="11.85546875" style="211" bestFit="1" customWidth="1"/>
    <col min="4370" max="4371" width="11.85546875" style="211" customWidth="1"/>
    <col min="4372" max="4372" width="7" style="211" bestFit="1" customWidth="1"/>
    <col min="4373" max="4374" width="12.5703125" style="211" bestFit="1" customWidth="1"/>
    <col min="4375" max="4375" width="7.7109375" style="211" bestFit="1" customWidth="1"/>
    <col min="4376" max="4376" width="14.140625" style="211" bestFit="1" customWidth="1"/>
    <col min="4377" max="4377" width="18" style="211" customWidth="1"/>
    <col min="4378" max="4378" width="21.42578125" style="211" bestFit="1" customWidth="1"/>
    <col min="4379" max="4379" width="13.28515625" style="211" bestFit="1" customWidth="1"/>
    <col min="4380" max="4380" width="15" style="211" bestFit="1" customWidth="1"/>
    <col min="4381" max="4381" width="9.140625" style="211"/>
    <col min="4382" max="4382" width="14.28515625" style="211" bestFit="1" customWidth="1"/>
    <col min="4383" max="4383" width="9.5703125" style="211" bestFit="1" customWidth="1"/>
    <col min="4384" max="4385" width="9.5703125" style="211" customWidth="1"/>
    <col min="4386" max="4386" width="7" style="211" bestFit="1" customWidth="1"/>
    <col min="4387" max="4387" width="9.28515625" style="211" bestFit="1" customWidth="1"/>
    <col min="4388" max="4388" width="10.140625" style="211" bestFit="1" customWidth="1"/>
    <col min="4389" max="4389" width="9.140625" style="211"/>
    <col min="4390" max="4390" width="14.140625" style="211" bestFit="1" customWidth="1"/>
    <col min="4391" max="4391" width="15.5703125" style="211" bestFit="1" customWidth="1"/>
    <col min="4392" max="4392" width="21.42578125" style="211" bestFit="1" customWidth="1"/>
    <col min="4393" max="4393" width="13.28515625" style="211" bestFit="1" customWidth="1"/>
    <col min="4394" max="4394" width="15" style="211" bestFit="1" customWidth="1"/>
    <col min="4395" max="4395" width="9.140625" style="211"/>
    <col min="4396" max="4396" width="14.7109375" style="211" bestFit="1" customWidth="1"/>
    <col min="4397" max="4397" width="10.85546875" style="211" bestFit="1" customWidth="1"/>
    <col min="4398" max="4402" width="9.140625" style="211"/>
    <col min="4403" max="4403" width="11.85546875" style="211" customWidth="1"/>
    <col min="4404" max="4404" width="7.85546875" style="211" bestFit="1" customWidth="1"/>
    <col min="4405" max="4405" width="14.42578125" style="211" bestFit="1" customWidth="1"/>
    <col min="4406" max="4406" width="16.85546875" style="211" bestFit="1" customWidth="1"/>
    <col min="4407" max="4407" width="21.42578125" style="211" bestFit="1" customWidth="1"/>
    <col min="4408" max="4408" width="9.7109375" style="211" bestFit="1" customWidth="1"/>
    <col min="4409" max="4409" width="15" style="211" bestFit="1" customWidth="1"/>
    <col min="4410" max="4410" width="9.140625" style="211"/>
    <col min="4411" max="4411" width="14.7109375" style="211" bestFit="1" customWidth="1"/>
    <col min="4412" max="4412" width="10.85546875" style="211" bestFit="1" customWidth="1"/>
    <col min="4413" max="4415" width="9.28515625" style="211" customWidth="1"/>
    <col min="4416" max="4416" width="9.140625" style="211"/>
    <col min="4417" max="4417" width="7.85546875" style="211" bestFit="1" customWidth="1"/>
    <col min="4418" max="4418" width="8.5703125" style="211" bestFit="1" customWidth="1"/>
    <col min="4419" max="4419" width="9.140625" style="211"/>
    <col min="4420" max="4420" width="14.42578125" style="211" bestFit="1" customWidth="1"/>
    <col min="4421" max="4421" width="16.85546875" style="211" bestFit="1" customWidth="1"/>
    <col min="4422" max="4422" width="21.42578125" style="211" bestFit="1" customWidth="1"/>
    <col min="4423" max="4423" width="9.7109375" style="211" bestFit="1" customWidth="1"/>
    <col min="4424" max="4424" width="15" style="211" bestFit="1" customWidth="1"/>
    <col min="4425" max="4608" width="9.140625" style="211"/>
    <col min="4609" max="4609" width="51.28515625" style="211" bestFit="1" customWidth="1"/>
    <col min="4610" max="4610" width="12.28515625" style="211" customWidth="1"/>
    <col min="4611" max="4611" width="14.28515625" style="211" customWidth="1"/>
    <col min="4612" max="4612" width="13.42578125" style="211" bestFit="1" customWidth="1"/>
    <col min="4613" max="4613" width="12.5703125" style="211" bestFit="1" customWidth="1"/>
    <col min="4614" max="4614" width="13" style="211" bestFit="1" customWidth="1"/>
    <col min="4615" max="4615" width="14" style="211" bestFit="1" customWidth="1"/>
    <col min="4616" max="4616" width="13" style="211" bestFit="1" customWidth="1"/>
    <col min="4617" max="4617" width="12.5703125" style="211" customWidth="1"/>
    <col min="4618" max="4618" width="16.28515625" style="211" bestFit="1" customWidth="1"/>
    <col min="4619" max="4619" width="15.5703125" style="211" customWidth="1"/>
    <col min="4620" max="4620" width="13" style="211" bestFit="1" customWidth="1"/>
    <col min="4621" max="4621" width="15.85546875" style="211" customWidth="1"/>
    <col min="4622" max="4622" width="15" style="211" bestFit="1" customWidth="1"/>
    <col min="4623" max="4623" width="9.140625" style="211"/>
    <col min="4624" max="4624" width="14.28515625" style="211" bestFit="1" customWidth="1"/>
    <col min="4625" max="4625" width="11.85546875" style="211" bestFit="1" customWidth="1"/>
    <col min="4626" max="4627" width="11.85546875" style="211" customWidth="1"/>
    <col min="4628" max="4628" width="7" style="211" bestFit="1" customWidth="1"/>
    <col min="4629" max="4630" width="12.5703125" style="211" bestFit="1" customWidth="1"/>
    <col min="4631" max="4631" width="7.7109375" style="211" bestFit="1" customWidth="1"/>
    <col min="4632" max="4632" width="14.140625" style="211" bestFit="1" customWidth="1"/>
    <col min="4633" max="4633" width="18" style="211" customWidth="1"/>
    <col min="4634" max="4634" width="21.42578125" style="211" bestFit="1" customWidth="1"/>
    <col min="4635" max="4635" width="13.28515625" style="211" bestFit="1" customWidth="1"/>
    <col min="4636" max="4636" width="15" style="211" bestFit="1" customWidth="1"/>
    <col min="4637" max="4637" width="9.140625" style="211"/>
    <col min="4638" max="4638" width="14.28515625" style="211" bestFit="1" customWidth="1"/>
    <col min="4639" max="4639" width="9.5703125" style="211" bestFit="1" customWidth="1"/>
    <col min="4640" max="4641" width="9.5703125" style="211" customWidth="1"/>
    <col min="4642" max="4642" width="7" style="211" bestFit="1" customWidth="1"/>
    <col min="4643" max="4643" width="9.28515625" style="211" bestFit="1" customWidth="1"/>
    <col min="4644" max="4644" width="10.140625" style="211" bestFit="1" customWidth="1"/>
    <col min="4645" max="4645" width="9.140625" style="211"/>
    <col min="4646" max="4646" width="14.140625" style="211" bestFit="1" customWidth="1"/>
    <col min="4647" max="4647" width="15.5703125" style="211" bestFit="1" customWidth="1"/>
    <col min="4648" max="4648" width="21.42578125" style="211" bestFit="1" customWidth="1"/>
    <col min="4649" max="4649" width="13.28515625" style="211" bestFit="1" customWidth="1"/>
    <col min="4650" max="4650" width="15" style="211" bestFit="1" customWidth="1"/>
    <col min="4651" max="4651" width="9.140625" style="211"/>
    <col min="4652" max="4652" width="14.7109375" style="211" bestFit="1" customWidth="1"/>
    <col min="4653" max="4653" width="10.85546875" style="211" bestFit="1" customWidth="1"/>
    <col min="4654" max="4658" width="9.140625" style="211"/>
    <col min="4659" max="4659" width="11.85546875" style="211" customWidth="1"/>
    <col min="4660" max="4660" width="7.85546875" style="211" bestFit="1" customWidth="1"/>
    <col min="4661" max="4661" width="14.42578125" style="211" bestFit="1" customWidth="1"/>
    <col min="4662" max="4662" width="16.85546875" style="211" bestFit="1" customWidth="1"/>
    <col min="4663" max="4663" width="21.42578125" style="211" bestFit="1" customWidth="1"/>
    <col min="4664" max="4664" width="9.7109375" style="211" bestFit="1" customWidth="1"/>
    <col min="4665" max="4665" width="15" style="211" bestFit="1" customWidth="1"/>
    <col min="4666" max="4666" width="9.140625" style="211"/>
    <col min="4667" max="4667" width="14.7109375" style="211" bestFit="1" customWidth="1"/>
    <col min="4668" max="4668" width="10.85546875" style="211" bestFit="1" customWidth="1"/>
    <col min="4669" max="4671" width="9.28515625" style="211" customWidth="1"/>
    <col min="4672" max="4672" width="9.140625" style="211"/>
    <col min="4673" max="4673" width="7.85546875" style="211" bestFit="1" customWidth="1"/>
    <col min="4674" max="4674" width="8.5703125" style="211" bestFit="1" customWidth="1"/>
    <col min="4675" max="4675" width="9.140625" style="211"/>
    <col min="4676" max="4676" width="14.42578125" style="211" bestFit="1" customWidth="1"/>
    <col min="4677" max="4677" width="16.85546875" style="211" bestFit="1" customWidth="1"/>
    <col min="4678" max="4678" width="21.42578125" style="211" bestFit="1" customWidth="1"/>
    <col min="4679" max="4679" width="9.7109375" style="211" bestFit="1" customWidth="1"/>
    <col min="4680" max="4680" width="15" style="211" bestFit="1" customWidth="1"/>
    <col min="4681" max="4864" width="9.140625" style="211"/>
    <col min="4865" max="4865" width="51.28515625" style="211" bestFit="1" customWidth="1"/>
    <col min="4866" max="4866" width="12.28515625" style="211" customWidth="1"/>
    <col min="4867" max="4867" width="14.28515625" style="211" customWidth="1"/>
    <col min="4868" max="4868" width="13.42578125" style="211" bestFit="1" customWidth="1"/>
    <col min="4869" max="4869" width="12.5703125" style="211" bestFit="1" customWidth="1"/>
    <col min="4870" max="4870" width="13" style="211" bestFit="1" customWidth="1"/>
    <col min="4871" max="4871" width="14" style="211" bestFit="1" customWidth="1"/>
    <col min="4872" max="4872" width="13" style="211" bestFit="1" customWidth="1"/>
    <col min="4873" max="4873" width="12.5703125" style="211" customWidth="1"/>
    <col min="4874" max="4874" width="16.28515625" style="211" bestFit="1" customWidth="1"/>
    <col min="4875" max="4875" width="15.5703125" style="211" customWidth="1"/>
    <col min="4876" max="4876" width="13" style="211" bestFit="1" customWidth="1"/>
    <col min="4877" max="4877" width="15.85546875" style="211" customWidth="1"/>
    <col min="4878" max="4878" width="15" style="211" bestFit="1" customWidth="1"/>
    <col min="4879" max="4879" width="9.140625" style="211"/>
    <col min="4880" max="4880" width="14.28515625" style="211" bestFit="1" customWidth="1"/>
    <col min="4881" max="4881" width="11.85546875" style="211" bestFit="1" customWidth="1"/>
    <col min="4882" max="4883" width="11.85546875" style="211" customWidth="1"/>
    <col min="4884" max="4884" width="7" style="211" bestFit="1" customWidth="1"/>
    <col min="4885" max="4886" width="12.5703125" style="211" bestFit="1" customWidth="1"/>
    <col min="4887" max="4887" width="7.7109375" style="211" bestFit="1" customWidth="1"/>
    <col min="4888" max="4888" width="14.140625" style="211" bestFit="1" customWidth="1"/>
    <col min="4889" max="4889" width="18" style="211" customWidth="1"/>
    <col min="4890" max="4890" width="21.42578125" style="211" bestFit="1" customWidth="1"/>
    <col min="4891" max="4891" width="13.28515625" style="211" bestFit="1" customWidth="1"/>
    <col min="4892" max="4892" width="15" style="211" bestFit="1" customWidth="1"/>
    <col min="4893" max="4893" width="9.140625" style="211"/>
    <col min="4894" max="4894" width="14.28515625" style="211" bestFit="1" customWidth="1"/>
    <col min="4895" max="4895" width="9.5703125" style="211" bestFit="1" customWidth="1"/>
    <col min="4896" max="4897" width="9.5703125" style="211" customWidth="1"/>
    <col min="4898" max="4898" width="7" style="211" bestFit="1" customWidth="1"/>
    <col min="4899" max="4899" width="9.28515625" style="211" bestFit="1" customWidth="1"/>
    <col min="4900" max="4900" width="10.140625" style="211" bestFit="1" customWidth="1"/>
    <col min="4901" max="4901" width="9.140625" style="211"/>
    <col min="4902" max="4902" width="14.140625" style="211" bestFit="1" customWidth="1"/>
    <col min="4903" max="4903" width="15.5703125" style="211" bestFit="1" customWidth="1"/>
    <col min="4904" max="4904" width="21.42578125" style="211" bestFit="1" customWidth="1"/>
    <col min="4905" max="4905" width="13.28515625" style="211" bestFit="1" customWidth="1"/>
    <col min="4906" max="4906" width="15" style="211" bestFit="1" customWidth="1"/>
    <col min="4907" max="4907" width="9.140625" style="211"/>
    <col min="4908" max="4908" width="14.7109375" style="211" bestFit="1" customWidth="1"/>
    <col min="4909" max="4909" width="10.85546875" style="211" bestFit="1" customWidth="1"/>
    <col min="4910" max="4914" width="9.140625" style="211"/>
    <col min="4915" max="4915" width="11.85546875" style="211" customWidth="1"/>
    <col min="4916" max="4916" width="7.85546875" style="211" bestFit="1" customWidth="1"/>
    <col min="4917" max="4917" width="14.42578125" style="211" bestFit="1" customWidth="1"/>
    <col min="4918" max="4918" width="16.85546875" style="211" bestFit="1" customWidth="1"/>
    <col min="4919" max="4919" width="21.42578125" style="211" bestFit="1" customWidth="1"/>
    <col min="4920" max="4920" width="9.7109375" style="211" bestFit="1" customWidth="1"/>
    <col min="4921" max="4921" width="15" style="211" bestFit="1" customWidth="1"/>
    <col min="4922" max="4922" width="9.140625" style="211"/>
    <col min="4923" max="4923" width="14.7109375" style="211" bestFit="1" customWidth="1"/>
    <col min="4924" max="4924" width="10.85546875" style="211" bestFit="1" customWidth="1"/>
    <col min="4925" max="4927" width="9.28515625" style="211" customWidth="1"/>
    <col min="4928" max="4928" width="9.140625" style="211"/>
    <col min="4929" max="4929" width="7.85546875" style="211" bestFit="1" customWidth="1"/>
    <col min="4930" max="4930" width="8.5703125" style="211" bestFit="1" customWidth="1"/>
    <col min="4931" max="4931" width="9.140625" style="211"/>
    <col min="4932" max="4932" width="14.42578125" style="211" bestFit="1" customWidth="1"/>
    <col min="4933" max="4933" width="16.85546875" style="211" bestFit="1" customWidth="1"/>
    <col min="4934" max="4934" width="21.42578125" style="211" bestFit="1" customWidth="1"/>
    <col min="4935" max="4935" width="9.7109375" style="211" bestFit="1" customWidth="1"/>
    <col min="4936" max="4936" width="15" style="211" bestFit="1" customWidth="1"/>
    <col min="4937" max="5120" width="9.140625" style="211"/>
    <col min="5121" max="5121" width="51.28515625" style="211" bestFit="1" customWidth="1"/>
    <col min="5122" max="5122" width="12.28515625" style="211" customWidth="1"/>
    <col min="5123" max="5123" width="14.28515625" style="211" customWidth="1"/>
    <col min="5124" max="5124" width="13.42578125" style="211" bestFit="1" customWidth="1"/>
    <col min="5125" max="5125" width="12.5703125" style="211" bestFit="1" customWidth="1"/>
    <col min="5126" max="5126" width="13" style="211" bestFit="1" customWidth="1"/>
    <col min="5127" max="5127" width="14" style="211" bestFit="1" customWidth="1"/>
    <col min="5128" max="5128" width="13" style="211" bestFit="1" customWidth="1"/>
    <col min="5129" max="5129" width="12.5703125" style="211" customWidth="1"/>
    <col min="5130" max="5130" width="16.28515625" style="211" bestFit="1" customWidth="1"/>
    <col min="5131" max="5131" width="15.5703125" style="211" customWidth="1"/>
    <col min="5132" max="5132" width="13" style="211" bestFit="1" customWidth="1"/>
    <col min="5133" max="5133" width="15.85546875" style="211" customWidth="1"/>
    <col min="5134" max="5134" width="15" style="211" bestFit="1" customWidth="1"/>
    <col min="5135" max="5135" width="9.140625" style="211"/>
    <col min="5136" max="5136" width="14.28515625" style="211" bestFit="1" customWidth="1"/>
    <col min="5137" max="5137" width="11.85546875" style="211" bestFit="1" customWidth="1"/>
    <col min="5138" max="5139" width="11.85546875" style="211" customWidth="1"/>
    <col min="5140" max="5140" width="7" style="211" bestFit="1" customWidth="1"/>
    <col min="5141" max="5142" width="12.5703125" style="211" bestFit="1" customWidth="1"/>
    <col min="5143" max="5143" width="7.7109375" style="211" bestFit="1" customWidth="1"/>
    <col min="5144" max="5144" width="14.140625" style="211" bestFit="1" customWidth="1"/>
    <col min="5145" max="5145" width="18" style="211" customWidth="1"/>
    <col min="5146" max="5146" width="21.42578125" style="211" bestFit="1" customWidth="1"/>
    <col min="5147" max="5147" width="13.28515625" style="211" bestFit="1" customWidth="1"/>
    <col min="5148" max="5148" width="15" style="211" bestFit="1" customWidth="1"/>
    <col min="5149" max="5149" width="9.140625" style="211"/>
    <col min="5150" max="5150" width="14.28515625" style="211" bestFit="1" customWidth="1"/>
    <col min="5151" max="5151" width="9.5703125" style="211" bestFit="1" customWidth="1"/>
    <col min="5152" max="5153" width="9.5703125" style="211" customWidth="1"/>
    <col min="5154" max="5154" width="7" style="211" bestFit="1" customWidth="1"/>
    <col min="5155" max="5155" width="9.28515625" style="211" bestFit="1" customWidth="1"/>
    <col min="5156" max="5156" width="10.140625" style="211" bestFit="1" customWidth="1"/>
    <col min="5157" max="5157" width="9.140625" style="211"/>
    <col min="5158" max="5158" width="14.140625" style="211" bestFit="1" customWidth="1"/>
    <col min="5159" max="5159" width="15.5703125" style="211" bestFit="1" customWidth="1"/>
    <col min="5160" max="5160" width="21.42578125" style="211" bestFit="1" customWidth="1"/>
    <col min="5161" max="5161" width="13.28515625" style="211" bestFit="1" customWidth="1"/>
    <col min="5162" max="5162" width="15" style="211" bestFit="1" customWidth="1"/>
    <col min="5163" max="5163" width="9.140625" style="211"/>
    <col min="5164" max="5164" width="14.7109375" style="211" bestFit="1" customWidth="1"/>
    <col min="5165" max="5165" width="10.85546875" style="211" bestFit="1" customWidth="1"/>
    <col min="5166" max="5170" width="9.140625" style="211"/>
    <col min="5171" max="5171" width="11.85546875" style="211" customWidth="1"/>
    <col min="5172" max="5172" width="7.85546875" style="211" bestFit="1" customWidth="1"/>
    <col min="5173" max="5173" width="14.42578125" style="211" bestFit="1" customWidth="1"/>
    <col min="5174" max="5174" width="16.85546875" style="211" bestFit="1" customWidth="1"/>
    <col min="5175" max="5175" width="21.42578125" style="211" bestFit="1" customWidth="1"/>
    <col min="5176" max="5176" width="9.7109375" style="211" bestFit="1" customWidth="1"/>
    <col min="5177" max="5177" width="15" style="211" bestFit="1" customWidth="1"/>
    <col min="5178" max="5178" width="9.140625" style="211"/>
    <col min="5179" max="5179" width="14.7109375" style="211" bestFit="1" customWidth="1"/>
    <col min="5180" max="5180" width="10.85546875" style="211" bestFit="1" customWidth="1"/>
    <col min="5181" max="5183" width="9.28515625" style="211" customWidth="1"/>
    <col min="5184" max="5184" width="9.140625" style="211"/>
    <col min="5185" max="5185" width="7.85546875" style="211" bestFit="1" customWidth="1"/>
    <col min="5186" max="5186" width="8.5703125" style="211" bestFit="1" customWidth="1"/>
    <col min="5187" max="5187" width="9.140625" style="211"/>
    <col min="5188" max="5188" width="14.42578125" style="211" bestFit="1" customWidth="1"/>
    <col min="5189" max="5189" width="16.85546875" style="211" bestFit="1" customWidth="1"/>
    <col min="5190" max="5190" width="21.42578125" style="211" bestFit="1" customWidth="1"/>
    <col min="5191" max="5191" width="9.7109375" style="211" bestFit="1" customWidth="1"/>
    <col min="5192" max="5192" width="15" style="211" bestFit="1" customWidth="1"/>
    <col min="5193" max="5376" width="9.140625" style="211"/>
    <col min="5377" max="5377" width="51.28515625" style="211" bestFit="1" customWidth="1"/>
    <col min="5378" max="5378" width="12.28515625" style="211" customWidth="1"/>
    <col min="5379" max="5379" width="14.28515625" style="211" customWidth="1"/>
    <col min="5380" max="5380" width="13.42578125" style="211" bestFit="1" customWidth="1"/>
    <col min="5381" max="5381" width="12.5703125" style="211" bestFit="1" customWidth="1"/>
    <col min="5382" max="5382" width="13" style="211" bestFit="1" customWidth="1"/>
    <col min="5383" max="5383" width="14" style="211" bestFit="1" customWidth="1"/>
    <col min="5384" max="5384" width="13" style="211" bestFit="1" customWidth="1"/>
    <col min="5385" max="5385" width="12.5703125" style="211" customWidth="1"/>
    <col min="5386" max="5386" width="16.28515625" style="211" bestFit="1" customWidth="1"/>
    <col min="5387" max="5387" width="15.5703125" style="211" customWidth="1"/>
    <col min="5388" max="5388" width="13" style="211" bestFit="1" customWidth="1"/>
    <col min="5389" max="5389" width="15.85546875" style="211" customWidth="1"/>
    <col min="5390" max="5390" width="15" style="211" bestFit="1" customWidth="1"/>
    <col min="5391" max="5391" width="9.140625" style="211"/>
    <col min="5392" max="5392" width="14.28515625" style="211" bestFit="1" customWidth="1"/>
    <col min="5393" max="5393" width="11.85546875" style="211" bestFit="1" customWidth="1"/>
    <col min="5394" max="5395" width="11.85546875" style="211" customWidth="1"/>
    <col min="5396" max="5396" width="7" style="211" bestFit="1" customWidth="1"/>
    <col min="5397" max="5398" width="12.5703125" style="211" bestFit="1" customWidth="1"/>
    <col min="5399" max="5399" width="7.7109375" style="211" bestFit="1" customWidth="1"/>
    <col min="5400" max="5400" width="14.140625" style="211" bestFit="1" customWidth="1"/>
    <col min="5401" max="5401" width="18" style="211" customWidth="1"/>
    <col min="5402" max="5402" width="21.42578125" style="211" bestFit="1" customWidth="1"/>
    <col min="5403" max="5403" width="13.28515625" style="211" bestFit="1" customWidth="1"/>
    <col min="5404" max="5404" width="15" style="211" bestFit="1" customWidth="1"/>
    <col min="5405" max="5405" width="9.140625" style="211"/>
    <col min="5406" max="5406" width="14.28515625" style="211" bestFit="1" customWidth="1"/>
    <col min="5407" max="5407" width="9.5703125" style="211" bestFit="1" customWidth="1"/>
    <col min="5408" max="5409" width="9.5703125" style="211" customWidth="1"/>
    <col min="5410" max="5410" width="7" style="211" bestFit="1" customWidth="1"/>
    <col min="5411" max="5411" width="9.28515625" style="211" bestFit="1" customWidth="1"/>
    <col min="5412" max="5412" width="10.140625" style="211" bestFit="1" customWidth="1"/>
    <col min="5413" max="5413" width="9.140625" style="211"/>
    <col min="5414" max="5414" width="14.140625" style="211" bestFit="1" customWidth="1"/>
    <col min="5415" max="5415" width="15.5703125" style="211" bestFit="1" customWidth="1"/>
    <col min="5416" max="5416" width="21.42578125" style="211" bestFit="1" customWidth="1"/>
    <col min="5417" max="5417" width="13.28515625" style="211" bestFit="1" customWidth="1"/>
    <col min="5418" max="5418" width="15" style="211" bestFit="1" customWidth="1"/>
    <col min="5419" max="5419" width="9.140625" style="211"/>
    <col min="5420" max="5420" width="14.7109375" style="211" bestFit="1" customWidth="1"/>
    <col min="5421" max="5421" width="10.85546875" style="211" bestFit="1" customWidth="1"/>
    <col min="5422" max="5426" width="9.140625" style="211"/>
    <col min="5427" max="5427" width="11.85546875" style="211" customWidth="1"/>
    <col min="5428" max="5428" width="7.85546875" style="211" bestFit="1" customWidth="1"/>
    <col min="5429" max="5429" width="14.42578125" style="211" bestFit="1" customWidth="1"/>
    <col min="5430" max="5430" width="16.85546875" style="211" bestFit="1" customWidth="1"/>
    <col min="5431" max="5431" width="21.42578125" style="211" bestFit="1" customWidth="1"/>
    <col min="5432" max="5432" width="9.7109375" style="211" bestFit="1" customWidth="1"/>
    <col min="5433" max="5433" width="15" style="211" bestFit="1" customWidth="1"/>
    <col min="5434" max="5434" width="9.140625" style="211"/>
    <col min="5435" max="5435" width="14.7109375" style="211" bestFit="1" customWidth="1"/>
    <col min="5436" max="5436" width="10.85546875" style="211" bestFit="1" customWidth="1"/>
    <col min="5437" max="5439" width="9.28515625" style="211" customWidth="1"/>
    <col min="5440" max="5440" width="9.140625" style="211"/>
    <col min="5441" max="5441" width="7.85546875" style="211" bestFit="1" customWidth="1"/>
    <col min="5442" max="5442" width="8.5703125" style="211" bestFit="1" customWidth="1"/>
    <col min="5443" max="5443" width="9.140625" style="211"/>
    <col min="5444" max="5444" width="14.42578125" style="211" bestFit="1" customWidth="1"/>
    <col min="5445" max="5445" width="16.85546875" style="211" bestFit="1" customWidth="1"/>
    <col min="5446" max="5446" width="21.42578125" style="211" bestFit="1" customWidth="1"/>
    <col min="5447" max="5447" width="9.7109375" style="211" bestFit="1" customWidth="1"/>
    <col min="5448" max="5448" width="15" style="211" bestFit="1" customWidth="1"/>
    <col min="5449" max="5632" width="9.140625" style="211"/>
    <col min="5633" max="5633" width="51.28515625" style="211" bestFit="1" customWidth="1"/>
    <col min="5634" max="5634" width="12.28515625" style="211" customWidth="1"/>
    <col min="5635" max="5635" width="14.28515625" style="211" customWidth="1"/>
    <col min="5636" max="5636" width="13.42578125" style="211" bestFit="1" customWidth="1"/>
    <col min="5637" max="5637" width="12.5703125" style="211" bestFit="1" customWidth="1"/>
    <col min="5638" max="5638" width="13" style="211" bestFit="1" customWidth="1"/>
    <col min="5639" max="5639" width="14" style="211" bestFit="1" customWidth="1"/>
    <col min="5640" max="5640" width="13" style="211" bestFit="1" customWidth="1"/>
    <col min="5641" max="5641" width="12.5703125" style="211" customWidth="1"/>
    <col min="5642" max="5642" width="16.28515625" style="211" bestFit="1" customWidth="1"/>
    <col min="5643" max="5643" width="15.5703125" style="211" customWidth="1"/>
    <col min="5644" max="5644" width="13" style="211" bestFit="1" customWidth="1"/>
    <col min="5645" max="5645" width="15.85546875" style="211" customWidth="1"/>
    <col min="5646" max="5646" width="15" style="211" bestFit="1" customWidth="1"/>
    <col min="5647" max="5647" width="9.140625" style="211"/>
    <col min="5648" max="5648" width="14.28515625" style="211" bestFit="1" customWidth="1"/>
    <col min="5649" max="5649" width="11.85546875" style="211" bestFit="1" customWidth="1"/>
    <col min="5650" max="5651" width="11.85546875" style="211" customWidth="1"/>
    <col min="5652" max="5652" width="7" style="211" bestFit="1" customWidth="1"/>
    <col min="5653" max="5654" width="12.5703125" style="211" bestFit="1" customWidth="1"/>
    <col min="5655" max="5655" width="7.7109375" style="211" bestFit="1" customWidth="1"/>
    <col min="5656" max="5656" width="14.140625" style="211" bestFit="1" customWidth="1"/>
    <col min="5657" max="5657" width="18" style="211" customWidth="1"/>
    <col min="5658" max="5658" width="21.42578125" style="211" bestFit="1" customWidth="1"/>
    <col min="5659" max="5659" width="13.28515625" style="211" bestFit="1" customWidth="1"/>
    <col min="5660" max="5660" width="15" style="211" bestFit="1" customWidth="1"/>
    <col min="5661" max="5661" width="9.140625" style="211"/>
    <col min="5662" max="5662" width="14.28515625" style="211" bestFit="1" customWidth="1"/>
    <col min="5663" max="5663" width="9.5703125" style="211" bestFit="1" customWidth="1"/>
    <col min="5664" max="5665" width="9.5703125" style="211" customWidth="1"/>
    <col min="5666" max="5666" width="7" style="211" bestFit="1" customWidth="1"/>
    <col min="5667" max="5667" width="9.28515625" style="211" bestFit="1" customWidth="1"/>
    <col min="5668" max="5668" width="10.140625" style="211" bestFit="1" customWidth="1"/>
    <col min="5669" max="5669" width="9.140625" style="211"/>
    <col min="5670" max="5670" width="14.140625" style="211" bestFit="1" customWidth="1"/>
    <col min="5671" max="5671" width="15.5703125" style="211" bestFit="1" customWidth="1"/>
    <col min="5672" max="5672" width="21.42578125" style="211" bestFit="1" customWidth="1"/>
    <col min="5673" max="5673" width="13.28515625" style="211" bestFit="1" customWidth="1"/>
    <col min="5674" max="5674" width="15" style="211" bestFit="1" customWidth="1"/>
    <col min="5675" max="5675" width="9.140625" style="211"/>
    <col min="5676" max="5676" width="14.7109375" style="211" bestFit="1" customWidth="1"/>
    <col min="5677" max="5677" width="10.85546875" style="211" bestFit="1" customWidth="1"/>
    <col min="5678" max="5682" width="9.140625" style="211"/>
    <col min="5683" max="5683" width="11.85546875" style="211" customWidth="1"/>
    <col min="5684" max="5684" width="7.85546875" style="211" bestFit="1" customWidth="1"/>
    <col min="5685" max="5685" width="14.42578125" style="211" bestFit="1" customWidth="1"/>
    <col min="5686" max="5686" width="16.85546875" style="211" bestFit="1" customWidth="1"/>
    <col min="5687" max="5687" width="21.42578125" style="211" bestFit="1" customWidth="1"/>
    <col min="5688" max="5688" width="9.7109375" style="211" bestFit="1" customWidth="1"/>
    <col min="5689" max="5689" width="15" style="211" bestFit="1" customWidth="1"/>
    <col min="5690" max="5690" width="9.140625" style="211"/>
    <col min="5691" max="5691" width="14.7109375" style="211" bestFit="1" customWidth="1"/>
    <col min="5692" max="5692" width="10.85546875" style="211" bestFit="1" customWidth="1"/>
    <col min="5693" max="5695" width="9.28515625" style="211" customWidth="1"/>
    <col min="5696" max="5696" width="9.140625" style="211"/>
    <col min="5697" max="5697" width="7.85546875" style="211" bestFit="1" customWidth="1"/>
    <col min="5698" max="5698" width="8.5703125" style="211" bestFit="1" customWidth="1"/>
    <col min="5699" max="5699" width="9.140625" style="211"/>
    <col min="5700" max="5700" width="14.42578125" style="211" bestFit="1" customWidth="1"/>
    <col min="5701" max="5701" width="16.85546875" style="211" bestFit="1" customWidth="1"/>
    <col min="5702" max="5702" width="21.42578125" style="211" bestFit="1" customWidth="1"/>
    <col min="5703" max="5703" width="9.7109375" style="211" bestFit="1" customWidth="1"/>
    <col min="5704" max="5704" width="15" style="211" bestFit="1" customWidth="1"/>
    <col min="5705" max="5888" width="9.140625" style="211"/>
    <col min="5889" max="5889" width="51.28515625" style="211" bestFit="1" customWidth="1"/>
    <col min="5890" max="5890" width="12.28515625" style="211" customWidth="1"/>
    <col min="5891" max="5891" width="14.28515625" style="211" customWidth="1"/>
    <col min="5892" max="5892" width="13.42578125" style="211" bestFit="1" customWidth="1"/>
    <col min="5893" max="5893" width="12.5703125" style="211" bestFit="1" customWidth="1"/>
    <col min="5894" max="5894" width="13" style="211" bestFit="1" customWidth="1"/>
    <col min="5895" max="5895" width="14" style="211" bestFit="1" customWidth="1"/>
    <col min="5896" max="5896" width="13" style="211" bestFit="1" customWidth="1"/>
    <col min="5897" max="5897" width="12.5703125" style="211" customWidth="1"/>
    <col min="5898" max="5898" width="16.28515625" style="211" bestFit="1" customWidth="1"/>
    <col min="5899" max="5899" width="15.5703125" style="211" customWidth="1"/>
    <col min="5900" max="5900" width="13" style="211" bestFit="1" customWidth="1"/>
    <col min="5901" max="5901" width="15.85546875" style="211" customWidth="1"/>
    <col min="5902" max="5902" width="15" style="211" bestFit="1" customWidth="1"/>
    <col min="5903" max="5903" width="9.140625" style="211"/>
    <col min="5904" max="5904" width="14.28515625" style="211" bestFit="1" customWidth="1"/>
    <col min="5905" max="5905" width="11.85546875" style="211" bestFit="1" customWidth="1"/>
    <col min="5906" max="5907" width="11.85546875" style="211" customWidth="1"/>
    <col min="5908" max="5908" width="7" style="211" bestFit="1" customWidth="1"/>
    <col min="5909" max="5910" width="12.5703125" style="211" bestFit="1" customWidth="1"/>
    <col min="5911" max="5911" width="7.7109375" style="211" bestFit="1" customWidth="1"/>
    <col min="5912" max="5912" width="14.140625" style="211" bestFit="1" customWidth="1"/>
    <col min="5913" max="5913" width="18" style="211" customWidth="1"/>
    <col min="5914" max="5914" width="21.42578125" style="211" bestFit="1" customWidth="1"/>
    <col min="5915" max="5915" width="13.28515625" style="211" bestFit="1" customWidth="1"/>
    <col min="5916" max="5916" width="15" style="211" bestFit="1" customWidth="1"/>
    <col min="5917" max="5917" width="9.140625" style="211"/>
    <col min="5918" max="5918" width="14.28515625" style="211" bestFit="1" customWidth="1"/>
    <col min="5919" max="5919" width="9.5703125" style="211" bestFit="1" customWidth="1"/>
    <col min="5920" max="5921" width="9.5703125" style="211" customWidth="1"/>
    <col min="5922" max="5922" width="7" style="211" bestFit="1" customWidth="1"/>
    <col min="5923" max="5923" width="9.28515625" style="211" bestFit="1" customWidth="1"/>
    <col min="5924" max="5924" width="10.140625" style="211" bestFit="1" customWidth="1"/>
    <col min="5925" max="5925" width="9.140625" style="211"/>
    <col min="5926" max="5926" width="14.140625" style="211" bestFit="1" customWidth="1"/>
    <col min="5927" max="5927" width="15.5703125" style="211" bestFit="1" customWidth="1"/>
    <col min="5928" max="5928" width="21.42578125" style="211" bestFit="1" customWidth="1"/>
    <col min="5929" max="5929" width="13.28515625" style="211" bestFit="1" customWidth="1"/>
    <col min="5930" max="5930" width="15" style="211" bestFit="1" customWidth="1"/>
    <col min="5931" max="5931" width="9.140625" style="211"/>
    <col min="5932" max="5932" width="14.7109375" style="211" bestFit="1" customWidth="1"/>
    <col min="5933" max="5933" width="10.85546875" style="211" bestFit="1" customWidth="1"/>
    <col min="5934" max="5938" width="9.140625" style="211"/>
    <col min="5939" max="5939" width="11.85546875" style="211" customWidth="1"/>
    <col min="5940" max="5940" width="7.85546875" style="211" bestFit="1" customWidth="1"/>
    <col min="5941" max="5941" width="14.42578125" style="211" bestFit="1" customWidth="1"/>
    <col min="5942" max="5942" width="16.85546875" style="211" bestFit="1" customWidth="1"/>
    <col min="5943" max="5943" width="21.42578125" style="211" bestFit="1" customWidth="1"/>
    <col min="5944" max="5944" width="9.7109375" style="211" bestFit="1" customWidth="1"/>
    <col min="5945" max="5945" width="15" style="211" bestFit="1" customWidth="1"/>
    <col min="5946" max="5946" width="9.140625" style="211"/>
    <col min="5947" max="5947" width="14.7109375" style="211" bestFit="1" customWidth="1"/>
    <col min="5948" max="5948" width="10.85546875" style="211" bestFit="1" customWidth="1"/>
    <col min="5949" max="5951" width="9.28515625" style="211" customWidth="1"/>
    <col min="5952" max="5952" width="9.140625" style="211"/>
    <col min="5953" max="5953" width="7.85546875" style="211" bestFit="1" customWidth="1"/>
    <col min="5954" max="5954" width="8.5703125" style="211" bestFit="1" customWidth="1"/>
    <col min="5955" max="5955" width="9.140625" style="211"/>
    <col min="5956" max="5956" width="14.42578125" style="211" bestFit="1" customWidth="1"/>
    <col min="5957" max="5957" width="16.85546875" style="211" bestFit="1" customWidth="1"/>
    <col min="5958" max="5958" width="21.42578125" style="211" bestFit="1" customWidth="1"/>
    <col min="5959" max="5959" width="9.7109375" style="211" bestFit="1" customWidth="1"/>
    <col min="5960" max="5960" width="15" style="211" bestFit="1" customWidth="1"/>
    <col min="5961" max="6144" width="9.140625" style="211"/>
    <col min="6145" max="6145" width="51.28515625" style="211" bestFit="1" customWidth="1"/>
    <col min="6146" max="6146" width="12.28515625" style="211" customWidth="1"/>
    <col min="6147" max="6147" width="14.28515625" style="211" customWidth="1"/>
    <col min="6148" max="6148" width="13.42578125" style="211" bestFit="1" customWidth="1"/>
    <col min="6149" max="6149" width="12.5703125" style="211" bestFit="1" customWidth="1"/>
    <col min="6150" max="6150" width="13" style="211" bestFit="1" customWidth="1"/>
    <col min="6151" max="6151" width="14" style="211" bestFit="1" customWidth="1"/>
    <col min="6152" max="6152" width="13" style="211" bestFit="1" customWidth="1"/>
    <col min="6153" max="6153" width="12.5703125" style="211" customWidth="1"/>
    <col min="6154" max="6154" width="16.28515625" style="211" bestFit="1" customWidth="1"/>
    <col min="6155" max="6155" width="15.5703125" style="211" customWidth="1"/>
    <col min="6156" max="6156" width="13" style="211" bestFit="1" customWidth="1"/>
    <col min="6157" max="6157" width="15.85546875" style="211" customWidth="1"/>
    <col min="6158" max="6158" width="15" style="211" bestFit="1" customWidth="1"/>
    <col min="6159" max="6159" width="9.140625" style="211"/>
    <col min="6160" max="6160" width="14.28515625" style="211" bestFit="1" customWidth="1"/>
    <col min="6161" max="6161" width="11.85546875" style="211" bestFit="1" customWidth="1"/>
    <col min="6162" max="6163" width="11.85546875" style="211" customWidth="1"/>
    <col min="6164" max="6164" width="7" style="211" bestFit="1" customWidth="1"/>
    <col min="6165" max="6166" width="12.5703125" style="211" bestFit="1" customWidth="1"/>
    <col min="6167" max="6167" width="7.7109375" style="211" bestFit="1" customWidth="1"/>
    <col min="6168" max="6168" width="14.140625" style="211" bestFit="1" customWidth="1"/>
    <col min="6169" max="6169" width="18" style="211" customWidth="1"/>
    <col min="6170" max="6170" width="21.42578125" style="211" bestFit="1" customWidth="1"/>
    <col min="6171" max="6171" width="13.28515625" style="211" bestFit="1" customWidth="1"/>
    <col min="6172" max="6172" width="15" style="211" bestFit="1" customWidth="1"/>
    <col min="6173" max="6173" width="9.140625" style="211"/>
    <col min="6174" max="6174" width="14.28515625" style="211" bestFit="1" customWidth="1"/>
    <col min="6175" max="6175" width="9.5703125" style="211" bestFit="1" customWidth="1"/>
    <col min="6176" max="6177" width="9.5703125" style="211" customWidth="1"/>
    <col min="6178" max="6178" width="7" style="211" bestFit="1" customWidth="1"/>
    <col min="6179" max="6179" width="9.28515625" style="211" bestFit="1" customWidth="1"/>
    <col min="6180" max="6180" width="10.140625" style="211" bestFit="1" customWidth="1"/>
    <col min="6181" max="6181" width="9.140625" style="211"/>
    <col min="6182" max="6182" width="14.140625" style="211" bestFit="1" customWidth="1"/>
    <col min="6183" max="6183" width="15.5703125" style="211" bestFit="1" customWidth="1"/>
    <col min="6184" max="6184" width="21.42578125" style="211" bestFit="1" customWidth="1"/>
    <col min="6185" max="6185" width="13.28515625" style="211" bestFit="1" customWidth="1"/>
    <col min="6186" max="6186" width="15" style="211" bestFit="1" customWidth="1"/>
    <col min="6187" max="6187" width="9.140625" style="211"/>
    <col min="6188" max="6188" width="14.7109375" style="211" bestFit="1" customWidth="1"/>
    <col min="6189" max="6189" width="10.85546875" style="211" bestFit="1" customWidth="1"/>
    <col min="6190" max="6194" width="9.140625" style="211"/>
    <col min="6195" max="6195" width="11.85546875" style="211" customWidth="1"/>
    <col min="6196" max="6196" width="7.85546875" style="211" bestFit="1" customWidth="1"/>
    <col min="6197" max="6197" width="14.42578125" style="211" bestFit="1" customWidth="1"/>
    <col min="6198" max="6198" width="16.85546875" style="211" bestFit="1" customWidth="1"/>
    <col min="6199" max="6199" width="21.42578125" style="211" bestFit="1" customWidth="1"/>
    <col min="6200" max="6200" width="9.7109375" style="211" bestFit="1" customWidth="1"/>
    <col min="6201" max="6201" width="15" style="211" bestFit="1" customWidth="1"/>
    <col min="6202" max="6202" width="9.140625" style="211"/>
    <col min="6203" max="6203" width="14.7109375" style="211" bestFit="1" customWidth="1"/>
    <col min="6204" max="6204" width="10.85546875" style="211" bestFit="1" customWidth="1"/>
    <col min="6205" max="6207" width="9.28515625" style="211" customWidth="1"/>
    <col min="6208" max="6208" width="9.140625" style="211"/>
    <col min="6209" max="6209" width="7.85546875" style="211" bestFit="1" customWidth="1"/>
    <col min="6210" max="6210" width="8.5703125" style="211" bestFit="1" customWidth="1"/>
    <col min="6211" max="6211" width="9.140625" style="211"/>
    <col min="6212" max="6212" width="14.42578125" style="211" bestFit="1" customWidth="1"/>
    <col min="6213" max="6213" width="16.85546875" style="211" bestFit="1" customWidth="1"/>
    <col min="6214" max="6214" width="21.42578125" style="211" bestFit="1" customWidth="1"/>
    <col min="6215" max="6215" width="9.7109375" style="211" bestFit="1" customWidth="1"/>
    <col min="6216" max="6216" width="15" style="211" bestFit="1" customWidth="1"/>
    <col min="6217" max="6400" width="9.140625" style="211"/>
    <col min="6401" max="6401" width="51.28515625" style="211" bestFit="1" customWidth="1"/>
    <col min="6402" max="6402" width="12.28515625" style="211" customWidth="1"/>
    <col min="6403" max="6403" width="14.28515625" style="211" customWidth="1"/>
    <col min="6404" max="6404" width="13.42578125" style="211" bestFit="1" customWidth="1"/>
    <col min="6405" max="6405" width="12.5703125" style="211" bestFit="1" customWidth="1"/>
    <col min="6406" max="6406" width="13" style="211" bestFit="1" customWidth="1"/>
    <col min="6407" max="6407" width="14" style="211" bestFit="1" customWidth="1"/>
    <col min="6408" max="6408" width="13" style="211" bestFit="1" customWidth="1"/>
    <col min="6409" max="6409" width="12.5703125" style="211" customWidth="1"/>
    <col min="6410" max="6410" width="16.28515625" style="211" bestFit="1" customWidth="1"/>
    <col min="6411" max="6411" width="15.5703125" style="211" customWidth="1"/>
    <col min="6412" max="6412" width="13" style="211" bestFit="1" customWidth="1"/>
    <col min="6413" max="6413" width="15.85546875" style="211" customWidth="1"/>
    <col min="6414" max="6414" width="15" style="211" bestFit="1" customWidth="1"/>
    <col min="6415" max="6415" width="9.140625" style="211"/>
    <col min="6416" max="6416" width="14.28515625" style="211" bestFit="1" customWidth="1"/>
    <col min="6417" max="6417" width="11.85546875" style="211" bestFit="1" customWidth="1"/>
    <col min="6418" max="6419" width="11.85546875" style="211" customWidth="1"/>
    <col min="6420" max="6420" width="7" style="211" bestFit="1" customWidth="1"/>
    <col min="6421" max="6422" width="12.5703125" style="211" bestFit="1" customWidth="1"/>
    <col min="6423" max="6423" width="7.7109375" style="211" bestFit="1" customWidth="1"/>
    <col min="6424" max="6424" width="14.140625" style="211" bestFit="1" customWidth="1"/>
    <col min="6425" max="6425" width="18" style="211" customWidth="1"/>
    <col min="6426" max="6426" width="21.42578125" style="211" bestFit="1" customWidth="1"/>
    <col min="6427" max="6427" width="13.28515625" style="211" bestFit="1" customWidth="1"/>
    <col min="6428" max="6428" width="15" style="211" bestFit="1" customWidth="1"/>
    <col min="6429" max="6429" width="9.140625" style="211"/>
    <col min="6430" max="6430" width="14.28515625" style="211" bestFit="1" customWidth="1"/>
    <col min="6431" max="6431" width="9.5703125" style="211" bestFit="1" customWidth="1"/>
    <col min="6432" max="6433" width="9.5703125" style="211" customWidth="1"/>
    <col min="6434" max="6434" width="7" style="211" bestFit="1" customWidth="1"/>
    <col min="6435" max="6435" width="9.28515625" style="211" bestFit="1" customWidth="1"/>
    <col min="6436" max="6436" width="10.140625" style="211" bestFit="1" customWidth="1"/>
    <col min="6437" max="6437" width="9.140625" style="211"/>
    <col min="6438" max="6438" width="14.140625" style="211" bestFit="1" customWidth="1"/>
    <col min="6439" max="6439" width="15.5703125" style="211" bestFit="1" customWidth="1"/>
    <col min="6440" max="6440" width="21.42578125" style="211" bestFit="1" customWidth="1"/>
    <col min="6441" max="6441" width="13.28515625" style="211" bestFit="1" customWidth="1"/>
    <col min="6442" max="6442" width="15" style="211" bestFit="1" customWidth="1"/>
    <col min="6443" max="6443" width="9.140625" style="211"/>
    <col min="6444" max="6444" width="14.7109375" style="211" bestFit="1" customWidth="1"/>
    <col min="6445" max="6445" width="10.85546875" style="211" bestFit="1" customWidth="1"/>
    <col min="6446" max="6450" width="9.140625" style="211"/>
    <col min="6451" max="6451" width="11.85546875" style="211" customWidth="1"/>
    <col min="6452" max="6452" width="7.85546875" style="211" bestFit="1" customWidth="1"/>
    <col min="6453" max="6453" width="14.42578125" style="211" bestFit="1" customWidth="1"/>
    <col min="6454" max="6454" width="16.85546875" style="211" bestFit="1" customWidth="1"/>
    <col min="6455" max="6455" width="21.42578125" style="211" bestFit="1" customWidth="1"/>
    <col min="6456" max="6456" width="9.7109375" style="211" bestFit="1" customWidth="1"/>
    <col min="6457" max="6457" width="15" style="211" bestFit="1" customWidth="1"/>
    <col min="6458" max="6458" width="9.140625" style="211"/>
    <col min="6459" max="6459" width="14.7109375" style="211" bestFit="1" customWidth="1"/>
    <col min="6460" max="6460" width="10.85546875" style="211" bestFit="1" customWidth="1"/>
    <col min="6461" max="6463" width="9.28515625" style="211" customWidth="1"/>
    <col min="6464" max="6464" width="9.140625" style="211"/>
    <col min="6465" max="6465" width="7.85546875" style="211" bestFit="1" customWidth="1"/>
    <col min="6466" max="6466" width="8.5703125" style="211" bestFit="1" customWidth="1"/>
    <col min="6467" max="6467" width="9.140625" style="211"/>
    <col min="6468" max="6468" width="14.42578125" style="211" bestFit="1" customWidth="1"/>
    <col min="6469" max="6469" width="16.85546875" style="211" bestFit="1" customWidth="1"/>
    <col min="6470" max="6470" width="21.42578125" style="211" bestFit="1" customWidth="1"/>
    <col min="6471" max="6471" width="9.7109375" style="211" bestFit="1" customWidth="1"/>
    <col min="6472" max="6472" width="15" style="211" bestFit="1" customWidth="1"/>
    <col min="6473" max="6656" width="9.140625" style="211"/>
    <col min="6657" max="6657" width="51.28515625" style="211" bestFit="1" customWidth="1"/>
    <col min="6658" max="6658" width="12.28515625" style="211" customWidth="1"/>
    <col min="6659" max="6659" width="14.28515625" style="211" customWidth="1"/>
    <col min="6660" max="6660" width="13.42578125" style="211" bestFit="1" customWidth="1"/>
    <col min="6661" max="6661" width="12.5703125" style="211" bestFit="1" customWidth="1"/>
    <col min="6662" max="6662" width="13" style="211" bestFit="1" customWidth="1"/>
    <col min="6663" max="6663" width="14" style="211" bestFit="1" customWidth="1"/>
    <col min="6664" max="6664" width="13" style="211" bestFit="1" customWidth="1"/>
    <col min="6665" max="6665" width="12.5703125" style="211" customWidth="1"/>
    <col min="6666" max="6666" width="16.28515625" style="211" bestFit="1" customWidth="1"/>
    <col min="6667" max="6667" width="15.5703125" style="211" customWidth="1"/>
    <col min="6668" max="6668" width="13" style="211" bestFit="1" customWidth="1"/>
    <col min="6669" max="6669" width="15.85546875" style="211" customWidth="1"/>
    <col min="6670" max="6670" width="15" style="211" bestFit="1" customWidth="1"/>
    <col min="6671" max="6671" width="9.140625" style="211"/>
    <col min="6672" max="6672" width="14.28515625" style="211" bestFit="1" customWidth="1"/>
    <col min="6673" max="6673" width="11.85546875" style="211" bestFit="1" customWidth="1"/>
    <col min="6674" max="6675" width="11.85546875" style="211" customWidth="1"/>
    <col min="6676" max="6676" width="7" style="211" bestFit="1" customWidth="1"/>
    <col min="6677" max="6678" width="12.5703125" style="211" bestFit="1" customWidth="1"/>
    <col min="6679" max="6679" width="7.7109375" style="211" bestFit="1" customWidth="1"/>
    <col min="6680" max="6680" width="14.140625" style="211" bestFit="1" customWidth="1"/>
    <col min="6681" max="6681" width="18" style="211" customWidth="1"/>
    <col min="6682" max="6682" width="21.42578125" style="211" bestFit="1" customWidth="1"/>
    <col min="6683" max="6683" width="13.28515625" style="211" bestFit="1" customWidth="1"/>
    <col min="6684" max="6684" width="15" style="211" bestFit="1" customWidth="1"/>
    <col min="6685" max="6685" width="9.140625" style="211"/>
    <col min="6686" max="6686" width="14.28515625" style="211" bestFit="1" customWidth="1"/>
    <col min="6687" max="6687" width="9.5703125" style="211" bestFit="1" customWidth="1"/>
    <col min="6688" max="6689" width="9.5703125" style="211" customWidth="1"/>
    <col min="6690" max="6690" width="7" style="211" bestFit="1" customWidth="1"/>
    <col min="6691" max="6691" width="9.28515625" style="211" bestFit="1" customWidth="1"/>
    <col min="6692" max="6692" width="10.140625" style="211" bestFit="1" customWidth="1"/>
    <col min="6693" max="6693" width="9.140625" style="211"/>
    <col min="6694" max="6694" width="14.140625" style="211" bestFit="1" customWidth="1"/>
    <col min="6695" max="6695" width="15.5703125" style="211" bestFit="1" customWidth="1"/>
    <col min="6696" max="6696" width="21.42578125" style="211" bestFit="1" customWidth="1"/>
    <col min="6697" max="6697" width="13.28515625" style="211" bestFit="1" customWidth="1"/>
    <col min="6698" max="6698" width="15" style="211" bestFit="1" customWidth="1"/>
    <col min="6699" max="6699" width="9.140625" style="211"/>
    <col min="6700" max="6700" width="14.7109375" style="211" bestFit="1" customWidth="1"/>
    <col min="6701" max="6701" width="10.85546875" style="211" bestFit="1" customWidth="1"/>
    <col min="6702" max="6706" width="9.140625" style="211"/>
    <col min="6707" max="6707" width="11.85546875" style="211" customWidth="1"/>
    <col min="6708" max="6708" width="7.85546875" style="211" bestFit="1" customWidth="1"/>
    <col min="6709" max="6709" width="14.42578125" style="211" bestFit="1" customWidth="1"/>
    <col min="6710" max="6710" width="16.85546875" style="211" bestFit="1" customWidth="1"/>
    <col min="6711" max="6711" width="21.42578125" style="211" bestFit="1" customWidth="1"/>
    <col min="6712" max="6712" width="9.7109375" style="211" bestFit="1" customWidth="1"/>
    <col min="6713" max="6713" width="15" style="211" bestFit="1" customWidth="1"/>
    <col min="6714" max="6714" width="9.140625" style="211"/>
    <col min="6715" max="6715" width="14.7109375" style="211" bestFit="1" customWidth="1"/>
    <col min="6716" max="6716" width="10.85546875" style="211" bestFit="1" customWidth="1"/>
    <col min="6717" max="6719" width="9.28515625" style="211" customWidth="1"/>
    <col min="6720" max="6720" width="9.140625" style="211"/>
    <col min="6721" max="6721" width="7.85546875" style="211" bestFit="1" customWidth="1"/>
    <col min="6722" max="6722" width="8.5703125" style="211" bestFit="1" customWidth="1"/>
    <col min="6723" max="6723" width="9.140625" style="211"/>
    <col min="6724" max="6724" width="14.42578125" style="211" bestFit="1" customWidth="1"/>
    <col min="6725" max="6725" width="16.85546875" style="211" bestFit="1" customWidth="1"/>
    <col min="6726" max="6726" width="21.42578125" style="211" bestFit="1" customWidth="1"/>
    <col min="6727" max="6727" width="9.7109375" style="211" bestFit="1" customWidth="1"/>
    <col min="6728" max="6728" width="15" style="211" bestFit="1" customWidth="1"/>
    <col min="6729" max="6912" width="9.140625" style="211"/>
    <col min="6913" max="6913" width="51.28515625" style="211" bestFit="1" customWidth="1"/>
    <col min="6914" max="6914" width="12.28515625" style="211" customWidth="1"/>
    <col min="6915" max="6915" width="14.28515625" style="211" customWidth="1"/>
    <col min="6916" max="6916" width="13.42578125" style="211" bestFit="1" customWidth="1"/>
    <col min="6917" max="6917" width="12.5703125" style="211" bestFit="1" customWidth="1"/>
    <col min="6918" max="6918" width="13" style="211" bestFit="1" customWidth="1"/>
    <col min="6919" max="6919" width="14" style="211" bestFit="1" customWidth="1"/>
    <col min="6920" max="6920" width="13" style="211" bestFit="1" customWidth="1"/>
    <col min="6921" max="6921" width="12.5703125" style="211" customWidth="1"/>
    <col min="6922" max="6922" width="16.28515625" style="211" bestFit="1" customWidth="1"/>
    <col min="6923" max="6923" width="15.5703125" style="211" customWidth="1"/>
    <col min="6924" max="6924" width="13" style="211" bestFit="1" customWidth="1"/>
    <col min="6925" max="6925" width="15.85546875" style="211" customWidth="1"/>
    <col min="6926" max="6926" width="15" style="211" bestFit="1" customWidth="1"/>
    <col min="6927" max="6927" width="9.140625" style="211"/>
    <col min="6928" max="6928" width="14.28515625" style="211" bestFit="1" customWidth="1"/>
    <col min="6929" max="6929" width="11.85546875" style="211" bestFit="1" customWidth="1"/>
    <col min="6930" max="6931" width="11.85546875" style="211" customWidth="1"/>
    <col min="6932" max="6932" width="7" style="211" bestFit="1" customWidth="1"/>
    <col min="6933" max="6934" width="12.5703125" style="211" bestFit="1" customWidth="1"/>
    <col min="6935" max="6935" width="7.7109375" style="211" bestFit="1" customWidth="1"/>
    <col min="6936" max="6936" width="14.140625" style="211" bestFit="1" customWidth="1"/>
    <col min="6937" max="6937" width="18" style="211" customWidth="1"/>
    <col min="6938" max="6938" width="21.42578125" style="211" bestFit="1" customWidth="1"/>
    <col min="6939" max="6939" width="13.28515625" style="211" bestFit="1" customWidth="1"/>
    <col min="6940" max="6940" width="15" style="211" bestFit="1" customWidth="1"/>
    <col min="6941" max="6941" width="9.140625" style="211"/>
    <col min="6942" max="6942" width="14.28515625" style="211" bestFit="1" customWidth="1"/>
    <col min="6943" max="6943" width="9.5703125" style="211" bestFit="1" customWidth="1"/>
    <col min="6944" max="6945" width="9.5703125" style="211" customWidth="1"/>
    <col min="6946" max="6946" width="7" style="211" bestFit="1" customWidth="1"/>
    <col min="6947" max="6947" width="9.28515625" style="211" bestFit="1" customWidth="1"/>
    <col min="6948" max="6948" width="10.140625" style="211" bestFit="1" customWidth="1"/>
    <col min="6949" max="6949" width="9.140625" style="211"/>
    <col min="6950" max="6950" width="14.140625" style="211" bestFit="1" customWidth="1"/>
    <col min="6951" max="6951" width="15.5703125" style="211" bestFit="1" customWidth="1"/>
    <col min="6952" max="6952" width="21.42578125" style="211" bestFit="1" customWidth="1"/>
    <col min="6953" max="6953" width="13.28515625" style="211" bestFit="1" customWidth="1"/>
    <col min="6954" max="6954" width="15" style="211" bestFit="1" customWidth="1"/>
    <col min="6955" max="6955" width="9.140625" style="211"/>
    <col min="6956" max="6956" width="14.7109375" style="211" bestFit="1" customWidth="1"/>
    <col min="6957" max="6957" width="10.85546875" style="211" bestFit="1" customWidth="1"/>
    <col min="6958" max="6962" width="9.140625" style="211"/>
    <col min="6963" max="6963" width="11.85546875" style="211" customWidth="1"/>
    <col min="6964" max="6964" width="7.85546875" style="211" bestFit="1" customWidth="1"/>
    <col min="6965" max="6965" width="14.42578125" style="211" bestFit="1" customWidth="1"/>
    <col min="6966" max="6966" width="16.85546875" style="211" bestFit="1" customWidth="1"/>
    <col min="6967" max="6967" width="21.42578125" style="211" bestFit="1" customWidth="1"/>
    <col min="6968" max="6968" width="9.7109375" style="211" bestFit="1" customWidth="1"/>
    <col min="6969" max="6969" width="15" style="211" bestFit="1" customWidth="1"/>
    <col min="6970" max="6970" width="9.140625" style="211"/>
    <col min="6971" max="6971" width="14.7109375" style="211" bestFit="1" customWidth="1"/>
    <col min="6972" max="6972" width="10.85546875" style="211" bestFit="1" customWidth="1"/>
    <col min="6973" max="6975" width="9.28515625" style="211" customWidth="1"/>
    <col min="6976" max="6976" width="9.140625" style="211"/>
    <col min="6977" max="6977" width="7.85546875" style="211" bestFit="1" customWidth="1"/>
    <col min="6978" max="6978" width="8.5703125" style="211" bestFit="1" customWidth="1"/>
    <col min="6979" max="6979" width="9.140625" style="211"/>
    <col min="6980" max="6980" width="14.42578125" style="211" bestFit="1" customWidth="1"/>
    <col min="6981" max="6981" width="16.85546875" style="211" bestFit="1" customWidth="1"/>
    <col min="6982" max="6982" width="21.42578125" style="211" bestFit="1" customWidth="1"/>
    <col min="6983" max="6983" width="9.7109375" style="211" bestFit="1" customWidth="1"/>
    <col min="6984" max="6984" width="15" style="211" bestFit="1" customWidth="1"/>
    <col min="6985" max="7168" width="9.140625" style="211"/>
    <col min="7169" max="7169" width="51.28515625" style="211" bestFit="1" customWidth="1"/>
    <col min="7170" max="7170" width="12.28515625" style="211" customWidth="1"/>
    <col min="7171" max="7171" width="14.28515625" style="211" customWidth="1"/>
    <col min="7172" max="7172" width="13.42578125" style="211" bestFit="1" customWidth="1"/>
    <col min="7173" max="7173" width="12.5703125" style="211" bestFit="1" customWidth="1"/>
    <col min="7174" max="7174" width="13" style="211" bestFit="1" customWidth="1"/>
    <col min="7175" max="7175" width="14" style="211" bestFit="1" customWidth="1"/>
    <col min="7176" max="7176" width="13" style="211" bestFit="1" customWidth="1"/>
    <col min="7177" max="7177" width="12.5703125" style="211" customWidth="1"/>
    <col min="7178" max="7178" width="16.28515625" style="211" bestFit="1" customWidth="1"/>
    <col min="7179" max="7179" width="15.5703125" style="211" customWidth="1"/>
    <col min="7180" max="7180" width="13" style="211" bestFit="1" customWidth="1"/>
    <col min="7181" max="7181" width="15.85546875" style="211" customWidth="1"/>
    <col min="7182" max="7182" width="15" style="211" bestFit="1" customWidth="1"/>
    <col min="7183" max="7183" width="9.140625" style="211"/>
    <col min="7184" max="7184" width="14.28515625" style="211" bestFit="1" customWidth="1"/>
    <col min="7185" max="7185" width="11.85546875" style="211" bestFit="1" customWidth="1"/>
    <col min="7186" max="7187" width="11.85546875" style="211" customWidth="1"/>
    <col min="7188" max="7188" width="7" style="211" bestFit="1" customWidth="1"/>
    <col min="7189" max="7190" width="12.5703125" style="211" bestFit="1" customWidth="1"/>
    <col min="7191" max="7191" width="7.7109375" style="211" bestFit="1" customWidth="1"/>
    <col min="7192" max="7192" width="14.140625" style="211" bestFit="1" customWidth="1"/>
    <col min="7193" max="7193" width="18" style="211" customWidth="1"/>
    <col min="7194" max="7194" width="21.42578125" style="211" bestFit="1" customWidth="1"/>
    <col min="7195" max="7195" width="13.28515625" style="211" bestFit="1" customWidth="1"/>
    <col min="7196" max="7196" width="15" style="211" bestFit="1" customWidth="1"/>
    <col min="7197" max="7197" width="9.140625" style="211"/>
    <col min="7198" max="7198" width="14.28515625" style="211" bestFit="1" customWidth="1"/>
    <col min="7199" max="7199" width="9.5703125" style="211" bestFit="1" customWidth="1"/>
    <col min="7200" max="7201" width="9.5703125" style="211" customWidth="1"/>
    <col min="7202" max="7202" width="7" style="211" bestFit="1" customWidth="1"/>
    <col min="7203" max="7203" width="9.28515625" style="211" bestFit="1" customWidth="1"/>
    <col min="7204" max="7204" width="10.140625" style="211" bestFit="1" customWidth="1"/>
    <col min="7205" max="7205" width="9.140625" style="211"/>
    <col min="7206" max="7206" width="14.140625" style="211" bestFit="1" customWidth="1"/>
    <col min="7207" max="7207" width="15.5703125" style="211" bestFit="1" customWidth="1"/>
    <col min="7208" max="7208" width="21.42578125" style="211" bestFit="1" customWidth="1"/>
    <col min="7209" max="7209" width="13.28515625" style="211" bestFit="1" customWidth="1"/>
    <col min="7210" max="7210" width="15" style="211" bestFit="1" customWidth="1"/>
    <col min="7211" max="7211" width="9.140625" style="211"/>
    <col min="7212" max="7212" width="14.7109375" style="211" bestFit="1" customWidth="1"/>
    <col min="7213" max="7213" width="10.85546875" style="211" bestFit="1" customWidth="1"/>
    <col min="7214" max="7218" width="9.140625" style="211"/>
    <col min="7219" max="7219" width="11.85546875" style="211" customWidth="1"/>
    <col min="7220" max="7220" width="7.85546875" style="211" bestFit="1" customWidth="1"/>
    <col min="7221" max="7221" width="14.42578125" style="211" bestFit="1" customWidth="1"/>
    <col min="7222" max="7222" width="16.85546875" style="211" bestFit="1" customWidth="1"/>
    <col min="7223" max="7223" width="21.42578125" style="211" bestFit="1" customWidth="1"/>
    <col min="7224" max="7224" width="9.7109375" style="211" bestFit="1" customWidth="1"/>
    <col min="7225" max="7225" width="15" style="211" bestFit="1" customWidth="1"/>
    <col min="7226" max="7226" width="9.140625" style="211"/>
    <col min="7227" max="7227" width="14.7109375" style="211" bestFit="1" customWidth="1"/>
    <col min="7228" max="7228" width="10.85546875" style="211" bestFit="1" customWidth="1"/>
    <col min="7229" max="7231" width="9.28515625" style="211" customWidth="1"/>
    <col min="7232" max="7232" width="9.140625" style="211"/>
    <col min="7233" max="7233" width="7.85546875" style="211" bestFit="1" customWidth="1"/>
    <col min="7234" max="7234" width="8.5703125" style="211" bestFit="1" customWidth="1"/>
    <col min="7235" max="7235" width="9.140625" style="211"/>
    <col min="7236" max="7236" width="14.42578125" style="211" bestFit="1" customWidth="1"/>
    <col min="7237" max="7237" width="16.85546875" style="211" bestFit="1" customWidth="1"/>
    <col min="7238" max="7238" width="21.42578125" style="211" bestFit="1" customWidth="1"/>
    <col min="7239" max="7239" width="9.7109375" style="211" bestFit="1" customWidth="1"/>
    <col min="7240" max="7240" width="15" style="211" bestFit="1" customWidth="1"/>
    <col min="7241" max="7424" width="9.140625" style="211"/>
    <col min="7425" max="7425" width="51.28515625" style="211" bestFit="1" customWidth="1"/>
    <col min="7426" max="7426" width="12.28515625" style="211" customWidth="1"/>
    <col min="7427" max="7427" width="14.28515625" style="211" customWidth="1"/>
    <col min="7428" max="7428" width="13.42578125" style="211" bestFit="1" customWidth="1"/>
    <col min="7429" max="7429" width="12.5703125" style="211" bestFit="1" customWidth="1"/>
    <col min="7430" max="7430" width="13" style="211" bestFit="1" customWidth="1"/>
    <col min="7431" max="7431" width="14" style="211" bestFit="1" customWidth="1"/>
    <col min="7432" max="7432" width="13" style="211" bestFit="1" customWidth="1"/>
    <col min="7433" max="7433" width="12.5703125" style="211" customWidth="1"/>
    <col min="7434" max="7434" width="16.28515625" style="211" bestFit="1" customWidth="1"/>
    <col min="7435" max="7435" width="15.5703125" style="211" customWidth="1"/>
    <col min="7436" max="7436" width="13" style="211" bestFit="1" customWidth="1"/>
    <col min="7437" max="7437" width="15.85546875" style="211" customWidth="1"/>
    <col min="7438" max="7438" width="15" style="211" bestFit="1" customWidth="1"/>
    <col min="7439" max="7439" width="9.140625" style="211"/>
    <col min="7440" max="7440" width="14.28515625" style="211" bestFit="1" customWidth="1"/>
    <col min="7441" max="7441" width="11.85546875" style="211" bestFit="1" customWidth="1"/>
    <col min="7442" max="7443" width="11.85546875" style="211" customWidth="1"/>
    <col min="7444" max="7444" width="7" style="211" bestFit="1" customWidth="1"/>
    <col min="7445" max="7446" width="12.5703125" style="211" bestFit="1" customWidth="1"/>
    <col min="7447" max="7447" width="7.7109375" style="211" bestFit="1" customWidth="1"/>
    <col min="7448" max="7448" width="14.140625" style="211" bestFit="1" customWidth="1"/>
    <col min="7449" max="7449" width="18" style="211" customWidth="1"/>
    <col min="7450" max="7450" width="21.42578125" style="211" bestFit="1" customWidth="1"/>
    <col min="7451" max="7451" width="13.28515625" style="211" bestFit="1" customWidth="1"/>
    <col min="7452" max="7452" width="15" style="211" bestFit="1" customWidth="1"/>
    <col min="7453" max="7453" width="9.140625" style="211"/>
    <col min="7454" max="7454" width="14.28515625" style="211" bestFit="1" customWidth="1"/>
    <col min="7455" max="7455" width="9.5703125" style="211" bestFit="1" customWidth="1"/>
    <col min="7456" max="7457" width="9.5703125" style="211" customWidth="1"/>
    <col min="7458" max="7458" width="7" style="211" bestFit="1" customWidth="1"/>
    <col min="7459" max="7459" width="9.28515625" style="211" bestFit="1" customWidth="1"/>
    <col min="7460" max="7460" width="10.140625" style="211" bestFit="1" customWidth="1"/>
    <col min="7461" max="7461" width="9.140625" style="211"/>
    <col min="7462" max="7462" width="14.140625" style="211" bestFit="1" customWidth="1"/>
    <col min="7463" max="7463" width="15.5703125" style="211" bestFit="1" customWidth="1"/>
    <col min="7464" max="7464" width="21.42578125" style="211" bestFit="1" customWidth="1"/>
    <col min="7465" max="7465" width="13.28515625" style="211" bestFit="1" customWidth="1"/>
    <col min="7466" max="7466" width="15" style="211" bestFit="1" customWidth="1"/>
    <col min="7467" max="7467" width="9.140625" style="211"/>
    <col min="7468" max="7468" width="14.7109375" style="211" bestFit="1" customWidth="1"/>
    <col min="7469" max="7469" width="10.85546875" style="211" bestFit="1" customWidth="1"/>
    <col min="7470" max="7474" width="9.140625" style="211"/>
    <col min="7475" max="7475" width="11.85546875" style="211" customWidth="1"/>
    <col min="7476" max="7476" width="7.85546875" style="211" bestFit="1" customWidth="1"/>
    <col min="7477" max="7477" width="14.42578125" style="211" bestFit="1" customWidth="1"/>
    <col min="7478" max="7478" width="16.85546875" style="211" bestFit="1" customWidth="1"/>
    <col min="7479" max="7479" width="21.42578125" style="211" bestFit="1" customWidth="1"/>
    <col min="7480" max="7480" width="9.7109375" style="211" bestFit="1" customWidth="1"/>
    <col min="7481" max="7481" width="15" style="211" bestFit="1" customWidth="1"/>
    <col min="7482" max="7482" width="9.140625" style="211"/>
    <col min="7483" max="7483" width="14.7109375" style="211" bestFit="1" customWidth="1"/>
    <col min="7484" max="7484" width="10.85546875" style="211" bestFit="1" customWidth="1"/>
    <col min="7485" max="7487" width="9.28515625" style="211" customWidth="1"/>
    <col min="7488" max="7488" width="9.140625" style="211"/>
    <col min="7489" max="7489" width="7.85546875" style="211" bestFit="1" customWidth="1"/>
    <col min="7490" max="7490" width="8.5703125" style="211" bestFit="1" customWidth="1"/>
    <col min="7491" max="7491" width="9.140625" style="211"/>
    <col min="7492" max="7492" width="14.42578125" style="211" bestFit="1" customWidth="1"/>
    <col min="7493" max="7493" width="16.85546875" style="211" bestFit="1" customWidth="1"/>
    <col min="7494" max="7494" width="21.42578125" style="211" bestFit="1" customWidth="1"/>
    <col min="7495" max="7495" width="9.7109375" style="211" bestFit="1" customWidth="1"/>
    <col min="7496" max="7496" width="15" style="211" bestFit="1" customWidth="1"/>
    <col min="7497" max="7680" width="9.140625" style="211"/>
    <col min="7681" max="7681" width="51.28515625" style="211" bestFit="1" customWidth="1"/>
    <col min="7682" max="7682" width="12.28515625" style="211" customWidth="1"/>
    <col min="7683" max="7683" width="14.28515625" style="211" customWidth="1"/>
    <col min="7684" max="7684" width="13.42578125" style="211" bestFit="1" customWidth="1"/>
    <col min="7685" max="7685" width="12.5703125" style="211" bestFit="1" customWidth="1"/>
    <col min="7686" max="7686" width="13" style="211" bestFit="1" customWidth="1"/>
    <col min="7687" max="7687" width="14" style="211" bestFit="1" customWidth="1"/>
    <col min="7688" max="7688" width="13" style="211" bestFit="1" customWidth="1"/>
    <col min="7689" max="7689" width="12.5703125" style="211" customWidth="1"/>
    <col min="7690" max="7690" width="16.28515625" style="211" bestFit="1" customWidth="1"/>
    <col min="7691" max="7691" width="15.5703125" style="211" customWidth="1"/>
    <col min="7692" max="7692" width="13" style="211" bestFit="1" customWidth="1"/>
    <col min="7693" max="7693" width="15.85546875" style="211" customWidth="1"/>
    <col min="7694" max="7694" width="15" style="211" bestFit="1" customWidth="1"/>
    <col min="7695" max="7695" width="9.140625" style="211"/>
    <col min="7696" max="7696" width="14.28515625" style="211" bestFit="1" customWidth="1"/>
    <col min="7697" max="7697" width="11.85546875" style="211" bestFit="1" customWidth="1"/>
    <col min="7698" max="7699" width="11.85546875" style="211" customWidth="1"/>
    <col min="7700" max="7700" width="7" style="211" bestFit="1" customWidth="1"/>
    <col min="7701" max="7702" width="12.5703125" style="211" bestFit="1" customWidth="1"/>
    <col min="7703" max="7703" width="7.7109375" style="211" bestFit="1" customWidth="1"/>
    <col min="7704" max="7704" width="14.140625" style="211" bestFit="1" customWidth="1"/>
    <col min="7705" max="7705" width="18" style="211" customWidth="1"/>
    <col min="7706" max="7706" width="21.42578125" style="211" bestFit="1" customWidth="1"/>
    <col min="7707" max="7707" width="13.28515625" style="211" bestFit="1" customWidth="1"/>
    <col min="7708" max="7708" width="15" style="211" bestFit="1" customWidth="1"/>
    <col min="7709" max="7709" width="9.140625" style="211"/>
    <col min="7710" max="7710" width="14.28515625" style="211" bestFit="1" customWidth="1"/>
    <col min="7711" max="7711" width="9.5703125" style="211" bestFit="1" customWidth="1"/>
    <col min="7712" max="7713" width="9.5703125" style="211" customWidth="1"/>
    <col min="7714" max="7714" width="7" style="211" bestFit="1" customWidth="1"/>
    <col min="7715" max="7715" width="9.28515625" style="211" bestFit="1" customWidth="1"/>
    <col min="7716" max="7716" width="10.140625" style="211" bestFit="1" customWidth="1"/>
    <col min="7717" max="7717" width="9.140625" style="211"/>
    <col min="7718" max="7718" width="14.140625" style="211" bestFit="1" customWidth="1"/>
    <col min="7719" max="7719" width="15.5703125" style="211" bestFit="1" customWidth="1"/>
    <col min="7720" max="7720" width="21.42578125" style="211" bestFit="1" customWidth="1"/>
    <col min="7721" max="7721" width="13.28515625" style="211" bestFit="1" customWidth="1"/>
    <col min="7722" max="7722" width="15" style="211" bestFit="1" customWidth="1"/>
    <col min="7723" max="7723" width="9.140625" style="211"/>
    <col min="7724" max="7724" width="14.7109375" style="211" bestFit="1" customWidth="1"/>
    <col min="7725" max="7725" width="10.85546875" style="211" bestFit="1" customWidth="1"/>
    <col min="7726" max="7730" width="9.140625" style="211"/>
    <col min="7731" max="7731" width="11.85546875" style="211" customWidth="1"/>
    <col min="7732" max="7732" width="7.85546875" style="211" bestFit="1" customWidth="1"/>
    <col min="7733" max="7733" width="14.42578125" style="211" bestFit="1" customWidth="1"/>
    <col min="7734" max="7734" width="16.85546875" style="211" bestFit="1" customWidth="1"/>
    <col min="7735" max="7735" width="21.42578125" style="211" bestFit="1" customWidth="1"/>
    <col min="7736" max="7736" width="9.7109375" style="211" bestFit="1" customWidth="1"/>
    <col min="7737" max="7737" width="15" style="211" bestFit="1" customWidth="1"/>
    <col min="7738" max="7738" width="9.140625" style="211"/>
    <col min="7739" max="7739" width="14.7109375" style="211" bestFit="1" customWidth="1"/>
    <col min="7740" max="7740" width="10.85546875" style="211" bestFit="1" customWidth="1"/>
    <col min="7741" max="7743" width="9.28515625" style="211" customWidth="1"/>
    <col min="7744" max="7744" width="9.140625" style="211"/>
    <col min="7745" max="7745" width="7.85546875" style="211" bestFit="1" customWidth="1"/>
    <col min="7746" max="7746" width="8.5703125" style="211" bestFit="1" customWidth="1"/>
    <col min="7747" max="7747" width="9.140625" style="211"/>
    <col min="7748" max="7748" width="14.42578125" style="211" bestFit="1" customWidth="1"/>
    <col min="7749" max="7749" width="16.85546875" style="211" bestFit="1" customWidth="1"/>
    <col min="7750" max="7750" width="21.42578125" style="211" bestFit="1" customWidth="1"/>
    <col min="7751" max="7751" width="9.7109375" style="211" bestFit="1" customWidth="1"/>
    <col min="7752" max="7752" width="15" style="211" bestFit="1" customWidth="1"/>
    <col min="7753" max="7936" width="9.140625" style="211"/>
    <col min="7937" max="7937" width="51.28515625" style="211" bestFit="1" customWidth="1"/>
    <col min="7938" max="7938" width="12.28515625" style="211" customWidth="1"/>
    <col min="7939" max="7939" width="14.28515625" style="211" customWidth="1"/>
    <col min="7940" max="7940" width="13.42578125" style="211" bestFit="1" customWidth="1"/>
    <col min="7941" max="7941" width="12.5703125" style="211" bestFit="1" customWidth="1"/>
    <col min="7942" max="7942" width="13" style="211" bestFit="1" customWidth="1"/>
    <col min="7943" max="7943" width="14" style="211" bestFit="1" customWidth="1"/>
    <col min="7944" max="7944" width="13" style="211" bestFit="1" customWidth="1"/>
    <col min="7945" max="7945" width="12.5703125" style="211" customWidth="1"/>
    <col min="7946" max="7946" width="16.28515625" style="211" bestFit="1" customWidth="1"/>
    <col min="7947" max="7947" width="15.5703125" style="211" customWidth="1"/>
    <col min="7948" max="7948" width="13" style="211" bestFit="1" customWidth="1"/>
    <col min="7949" max="7949" width="15.85546875" style="211" customWidth="1"/>
    <col min="7950" max="7950" width="15" style="211" bestFit="1" customWidth="1"/>
    <col min="7951" max="7951" width="9.140625" style="211"/>
    <col min="7952" max="7952" width="14.28515625" style="211" bestFit="1" customWidth="1"/>
    <col min="7953" max="7953" width="11.85546875" style="211" bestFit="1" customWidth="1"/>
    <col min="7954" max="7955" width="11.85546875" style="211" customWidth="1"/>
    <col min="7956" max="7956" width="7" style="211" bestFit="1" customWidth="1"/>
    <col min="7957" max="7958" width="12.5703125" style="211" bestFit="1" customWidth="1"/>
    <col min="7959" max="7959" width="7.7109375" style="211" bestFit="1" customWidth="1"/>
    <col min="7960" max="7960" width="14.140625" style="211" bestFit="1" customWidth="1"/>
    <col min="7961" max="7961" width="18" style="211" customWidth="1"/>
    <col min="7962" max="7962" width="21.42578125" style="211" bestFit="1" customWidth="1"/>
    <col min="7963" max="7963" width="13.28515625" style="211" bestFit="1" customWidth="1"/>
    <col min="7964" max="7964" width="15" style="211" bestFit="1" customWidth="1"/>
    <col min="7965" max="7965" width="9.140625" style="211"/>
    <col min="7966" max="7966" width="14.28515625" style="211" bestFit="1" customWidth="1"/>
    <col min="7967" max="7967" width="9.5703125" style="211" bestFit="1" customWidth="1"/>
    <col min="7968" max="7969" width="9.5703125" style="211" customWidth="1"/>
    <col min="7970" max="7970" width="7" style="211" bestFit="1" customWidth="1"/>
    <col min="7971" max="7971" width="9.28515625" style="211" bestFit="1" customWidth="1"/>
    <col min="7972" max="7972" width="10.140625" style="211" bestFit="1" customWidth="1"/>
    <col min="7973" max="7973" width="9.140625" style="211"/>
    <col min="7974" max="7974" width="14.140625" style="211" bestFit="1" customWidth="1"/>
    <col min="7975" max="7975" width="15.5703125" style="211" bestFit="1" customWidth="1"/>
    <col min="7976" max="7976" width="21.42578125" style="211" bestFit="1" customWidth="1"/>
    <col min="7977" max="7977" width="13.28515625" style="211" bestFit="1" customWidth="1"/>
    <col min="7978" max="7978" width="15" style="211" bestFit="1" customWidth="1"/>
    <col min="7979" max="7979" width="9.140625" style="211"/>
    <col min="7980" max="7980" width="14.7109375" style="211" bestFit="1" customWidth="1"/>
    <col min="7981" max="7981" width="10.85546875" style="211" bestFit="1" customWidth="1"/>
    <col min="7982" max="7986" width="9.140625" style="211"/>
    <col min="7987" max="7987" width="11.85546875" style="211" customWidth="1"/>
    <col min="7988" max="7988" width="7.85546875" style="211" bestFit="1" customWidth="1"/>
    <col min="7989" max="7989" width="14.42578125" style="211" bestFit="1" customWidth="1"/>
    <col min="7990" max="7990" width="16.85546875" style="211" bestFit="1" customWidth="1"/>
    <col min="7991" max="7991" width="21.42578125" style="211" bestFit="1" customWidth="1"/>
    <col min="7992" max="7992" width="9.7109375" style="211" bestFit="1" customWidth="1"/>
    <col min="7993" max="7993" width="15" style="211" bestFit="1" customWidth="1"/>
    <col min="7994" max="7994" width="9.140625" style="211"/>
    <col min="7995" max="7995" width="14.7109375" style="211" bestFit="1" customWidth="1"/>
    <col min="7996" max="7996" width="10.85546875" style="211" bestFit="1" customWidth="1"/>
    <col min="7997" max="7999" width="9.28515625" style="211" customWidth="1"/>
    <col min="8000" max="8000" width="9.140625" style="211"/>
    <col min="8001" max="8001" width="7.85546875" style="211" bestFit="1" customWidth="1"/>
    <col min="8002" max="8002" width="8.5703125" style="211" bestFit="1" customWidth="1"/>
    <col min="8003" max="8003" width="9.140625" style="211"/>
    <col min="8004" max="8004" width="14.42578125" style="211" bestFit="1" customWidth="1"/>
    <col min="8005" max="8005" width="16.85546875" style="211" bestFit="1" customWidth="1"/>
    <col min="8006" max="8006" width="21.42578125" style="211" bestFit="1" customWidth="1"/>
    <col min="8007" max="8007" width="9.7109375" style="211" bestFit="1" customWidth="1"/>
    <col min="8008" max="8008" width="15" style="211" bestFit="1" customWidth="1"/>
    <col min="8009" max="8192" width="9.140625" style="211"/>
    <col min="8193" max="8193" width="51.28515625" style="211" bestFit="1" customWidth="1"/>
    <col min="8194" max="8194" width="12.28515625" style="211" customWidth="1"/>
    <col min="8195" max="8195" width="14.28515625" style="211" customWidth="1"/>
    <col min="8196" max="8196" width="13.42578125" style="211" bestFit="1" customWidth="1"/>
    <col min="8197" max="8197" width="12.5703125" style="211" bestFit="1" customWidth="1"/>
    <col min="8198" max="8198" width="13" style="211" bestFit="1" customWidth="1"/>
    <col min="8199" max="8199" width="14" style="211" bestFit="1" customWidth="1"/>
    <col min="8200" max="8200" width="13" style="211" bestFit="1" customWidth="1"/>
    <col min="8201" max="8201" width="12.5703125" style="211" customWidth="1"/>
    <col min="8202" max="8202" width="16.28515625" style="211" bestFit="1" customWidth="1"/>
    <col min="8203" max="8203" width="15.5703125" style="211" customWidth="1"/>
    <col min="8204" max="8204" width="13" style="211" bestFit="1" customWidth="1"/>
    <col min="8205" max="8205" width="15.85546875" style="211" customWidth="1"/>
    <col min="8206" max="8206" width="15" style="211" bestFit="1" customWidth="1"/>
    <col min="8207" max="8207" width="9.140625" style="211"/>
    <col min="8208" max="8208" width="14.28515625" style="211" bestFit="1" customWidth="1"/>
    <col min="8209" max="8209" width="11.85546875" style="211" bestFit="1" customWidth="1"/>
    <col min="8210" max="8211" width="11.85546875" style="211" customWidth="1"/>
    <col min="8212" max="8212" width="7" style="211" bestFit="1" customWidth="1"/>
    <col min="8213" max="8214" width="12.5703125" style="211" bestFit="1" customWidth="1"/>
    <col min="8215" max="8215" width="7.7109375" style="211" bestFit="1" customWidth="1"/>
    <col min="8216" max="8216" width="14.140625" style="211" bestFit="1" customWidth="1"/>
    <col min="8217" max="8217" width="18" style="211" customWidth="1"/>
    <col min="8218" max="8218" width="21.42578125" style="211" bestFit="1" customWidth="1"/>
    <col min="8219" max="8219" width="13.28515625" style="211" bestFit="1" customWidth="1"/>
    <col min="8220" max="8220" width="15" style="211" bestFit="1" customWidth="1"/>
    <col min="8221" max="8221" width="9.140625" style="211"/>
    <col min="8222" max="8222" width="14.28515625" style="211" bestFit="1" customWidth="1"/>
    <col min="8223" max="8223" width="9.5703125" style="211" bestFit="1" customWidth="1"/>
    <col min="8224" max="8225" width="9.5703125" style="211" customWidth="1"/>
    <col min="8226" max="8226" width="7" style="211" bestFit="1" customWidth="1"/>
    <col min="8227" max="8227" width="9.28515625" style="211" bestFit="1" customWidth="1"/>
    <col min="8228" max="8228" width="10.140625" style="211" bestFit="1" customWidth="1"/>
    <col min="8229" max="8229" width="9.140625" style="211"/>
    <col min="8230" max="8230" width="14.140625" style="211" bestFit="1" customWidth="1"/>
    <col min="8231" max="8231" width="15.5703125" style="211" bestFit="1" customWidth="1"/>
    <col min="8232" max="8232" width="21.42578125" style="211" bestFit="1" customWidth="1"/>
    <col min="8233" max="8233" width="13.28515625" style="211" bestFit="1" customWidth="1"/>
    <col min="8234" max="8234" width="15" style="211" bestFit="1" customWidth="1"/>
    <col min="8235" max="8235" width="9.140625" style="211"/>
    <col min="8236" max="8236" width="14.7109375" style="211" bestFit="1" customWidth="1"/>
    <col min="8237" max="8237" width="10.85546875" style="211" bestFit="1" customWidth="1"/>
    <col min="8238" max="8242" width="9.140625" style="211"/>
    <col min="8243" max="8243" width="11.85546875" style="211" customWidth="1"/>
    <col min="8244" max="8244" width="7.85546875" style="211" bestFit="1" customWidth="1"/>
    <col min="8245" max="8245" width="14.42578125" style="211" bestFit="1" customWidth="1"/>
    <col min="8246" max="8246" width="16.85546875" style="211" bestFit="1" customWidth="1"/>
    <col min="8247" max="8247" width="21.42578125" style="211" bestFit="1" customWidth="1"/>
    <col min="8248" max="8248" width="9.7109375" style="211" bestFit="1" customWidth="1"/>
    <col min="8249" max="8249" width="15" style="211" bestFit="1" customWidth="1"/>
    <col min="8250" max="8250" width="9.140625" style="211"/>
    <col min="8251" max="8251" width="14.7109375" style="211" bestFit="1" customWidth="1"/>
    <col min="8252" max="8252" width="10.85546875" style="211" bestFit="1" customWidth="1"/>
    <col min="8253" max="8255" width="9.28515625" style="211" customWidth="1"/>
    <col min="8256" max="8256" width="9.140625" style="211"/>
    <col min="8257" max="8257" width="7.85546875" style="211" bestFit="1" customWidth="1"/>
    <col min="8258" max="8258" width="8.5703125" style="211" bestFit="1" customWidth="1"/>
    <col min="8259" max="8259" width="9.140625" style="211"/>
    <col min="8260" max="8260" width="14.42578125" style="211" bestFit="1" customWidth="1"/>
    <col min="8261" max="8261" width="16.85546875" style="211" bestFit="1" customWidth="1"/>
    <col min="8262" max="8262" width="21.42578125" style="211" bestFit="1" customWidth="1"/>
    <col min="8263" max="8263" width="9.7109375" style="211" bestFit="1" customWidth="1"/>
    <col min="8264" max="8264" width="15" style="211" bestFit="1" customWidth="1"/>
    <col min="8265" max="8448" width="9.140625" style="211"/>
    <col min="8449" max="8449" width="51.28515625" style="211" bestFit="1" customWidth="1"/>
    <col min="8450" max="8450" width="12.28515625" style="211" customWidth="1"/>
    <col min="8451" max="8451" width="14.28515625" style="211" customWidth="1"/>
    <col min="8452" max="8452" width="13.42578125" style="211" bestFit="1" customWidth="1"/>
    <col min="8453" max="8453" width="12.5703125" style="211" bestFit="1" customWidth="1"/>
    <col min="8454" max="8454" width="13" style="211" bestFit="1" customWidth="1"/>
    <col min="8455" max="8455" width="14" style="211" bestFit="1" customWidth="1"/>
    <col min="8456" max="8456" width="13" style="211" bestFit="1" customWidth="1"/>
    <col min="8457" max="8457" width="12.5703125" style="211" customWidth="1"/>
    <col min="8458" max="8458" width="16.28515625" style="211" bestFit="1" customWidth="1"/>
    <col min="8459" max="8459" width="15.5703125" style="211" customWidth="1"/>
    <col min="8460" max="8460" width="13" style="211" bestFit="1" customWidth="1"/>
    <col min="8461" max="8461" width="15.85546875" style="211" customWidth="1"/>
    <col min="8462" max="8462" width="15" style="211" bestFit="1" customWidth="1"/>
    <col min="8463" max="8463" width="9.140625" style="211"/>
    <col min="8464" max="8464" width="14.28515625" style="211" bestFit="1" customWidth="1"/>
    <col min="8465" max="8465" width="11.85546875" style="211" bestFit="1" customWidth="1"/>
    <col min="8466" max="8467" width="11.85546875" style="211" customWidth="1"/>
    <col min="8468" max="8468" width="7" style="211" bestFit="1" customWidth="1"/>
    <col min="8469" max="8470" width="12.5703125" style="211" bestFit="1" customWidth="1"/>
    <col min="8471" max="8471" width="7.7109375" style="211" bestFit="1" customWidth="1"/>
    <col min="8472" max="8472" width="14.140625" style="211" bestFit="1" customWidth="1"/>
    <col min="8473" max="8473" width="18" style="211" customWidth="1"/>
    <col min="8474" max="8474" width="21.42578125" style="211" bestFit="1" customWidth="1"/>
    <col min="8475" max="8475" width="13.28515625" style="211" bestFit="1" customWidth="1"/>
    <col min="8476" max="8476" width="15" style="211" bestFit="1" customWidth="1"/>
    <col min="8477" max="8477" width="9.140625" style="211"/>
    <col min="8478" max="8478" width="14.28515625" style="211" bestFit="1" customWidth="1"/>
    <col min="8479" max="8479" width="9.5703125" style="211" bestFit="1" customWidth="1"/>
    <col min="8480" max="8481" width="9.5703125" style="211" customWidth="1"/>
    <col min="8482" max="8482" width="7" style="211" bestFit="1" customWidth="1"/>
    <col min="8483" max="8483" width="9.28515625" style="211" bestFit="1" customWidth="1"/>
    <col min="8484" max="8484" width="10.140625" style="211" bestFit="1" customWidth="1"/>
    <col min="8485" max="8485" width="9.140625" style="211"/>
    <col min="8486" max="8486" width="14.140625" style="211" bestFit="1" customWidth="1"/>
    <col min="8487" max="8487" width="15.5703125" style="211" bestFit="1" customWidth="1"/>
    <col min="8488" max="8488" width="21.42578125" style="211" bestFit="1" customWidth="1"/>
    <col min="8489" max="8489" width="13.28515625" style="211" bestFit="1" customWidth="1"/>
    <col min="8490" max="8490" width="15" style="211" bestFit="1" customWidth="1"/>
    <col min="8491" max="8491" width="9.140625" style="211"/>
    <col min="8492" max="8492" width="14.7109375" style="211" bestFit="1" customWidth="1"/>
    <col min="8493" max="8493" width="10.85546875" style="211" bestFit="1" customWidth="1"/>
    <col min="8494" max="8498" width="9.140625" style="211"/>
    <col min="8499" max="8499" width="11.85546875" style="211" customWidth="1"/>
    <col min="8500" max="8500" width="7.85546875" style="211" bestFit="1" customWidth="1"/>
    <col min="8501" max="8501" width="14.42578125" style="211" bestFit="1" customWidth="1"/>
    <col min="8502" max="8502" width="16.85546875" style="211" bestFit="1" customWidth="1"/>
    <col min="8503" max="8503" width="21.42578125" style="211" bestFit="1" customWidth="1"/>
    <col min="8504" max="8504" width="9.7109375" style="211" bestFit="1" customWidth="1"/>
    <col min="8505" max="8505" width="15" style="211" bestFit="1" customWidth="1"/>
    <col min="8506" max="8506" width="9.140625" style="211"/>
    <col min="8507" max="8507" width="14.7109375" style="211" bestFit="1" customWidth="1"/>
    <col min="8508" max="8508" width="10.85546875" style="211" bestFit="1" customWidth="1"/>
    <col min="8509" max="8511" width="9.28515625" style="211" customWidth="1"/>
    <col min="8512" max="8512" width="9.140625" style="211"/>
    <col min="8513" max="8513" width="7.85546875" style="211" bestFit="1" customWidth="1"/>
    <col min="8514" max="8514" width="8.5703125" style="211" bestFit="1" customWidth="1"/>
    <col min="8515" max="8515" width="9.140625" style="211"/>
    <col min="8516" max="8516" width="14.42578125" style="211" bestFit="1" customWidth="1"/>
    <col min="8517" max="8517" width="16.85546875" style="211" bestFit="1" customWidth="1"/>
    <col min="8518" max="8518" width="21.42578125" style="211" bestFit="1" customWidth="1"/>
    <col min="8519" max="8519" width="9.7109375" style="211" bestFit="1" customWidth="1"/>
    <col min="8520" max="8520" width="15" style="211" bestFit="1" customWidth="1"/>
    <col min="8521" max="8704" width="9.140625" style="211"/>
    <col min="8705" max="8705" width="51.28515625" style="211" bestFit="1" customWidth="1"/>
    <col min="8706" max="8706" width="12.28515625" style="211" customWidth="1"/>
    <col min="8707" max="8707" width="14.28515625" style="211" customWidth="1"/>
    <col min="8708" max="8708" width="13.42578125" style="211" bestFit="1" customWidth="1"/>
    <col min="8709" max="8709" width="12.5703125" style="211" bestFit="1" customWidth="1"/>
    <col min="8710" max="8710" width="13" style="211" bestFit="1" customWidth="1"/>
    <col min="8711" max="8711" width="14" style="211" bestFit="1" customWidth="1"/>
    <col min="8712" max="8712" width="13" style="211" bestFit="1" customWidth="1"/>
    <col min="8713" max="8713" width="12.5703125" style="211" customWidth="1"/>
    <col min="8714" max="8714" width="16.28515625" style="211" bestFit="1" customWidth="1"/>
    <col min="8715" max="8715" width="15.5703125" style="211" customWidth="1"/>
    <col min="8716" max="8716" width="13" style="211" bestFit="1" customWidth="1"/>
    <col min="8717" max="8717" width="15.85546875" style="211" customWidth="1"/>
    <col min="8718" max="8718" width="15" style="211" bestFit="1" customWidth="1"/>
    <col min="8719" max="8719" width="9.140625" style="211"/>
    <col min="8720" max="8720" width="14.28515625" style="211" bestFit="1" customWidth="1"/>
    <col min="8721" max="8721" width="11.85546875" style="211" bestFit="1" customWidth="1"/>
    <col min="8722" max="8723" width="11.85546875" style="211" customWidth="1"/>
    <col min="8724" max="8724" width="7" style="211" bestFit="1" customWidth="1"/>
    <col min="8725" max="8726" width="12.5703125" style="211" bestFit="1" customWidth="1"/>
    <col min="8727" max="8727" width="7.7109375" style="211" bestFit="1" customWidth="1"/>
    <col min="8728" max="8728" width="14.140625" style="211" bestFit="1" customWidth="1"/>
    <col min="8729" max="8729" width="18" style="211" customWidth="1"/>
    <col min="8730" max="8730" width="21.42578125" style="211" bestFit="1" customWidth="1"/>
    <col min="8731" max="8731" width="13.28515625" style="211" bestFit="1" customWidth="1"/>
    <col min="8732" max="8732" width="15" style="211" bestFit="1" customWidth="1"/>
    <col min="8733" max="8733" width="9.140625" style="211"/>
    <col min="8734" max="8734" width="14.28515625" style="211" bestFit="1" customWidth="1"/>
    <col min="8735" max="8735" width="9.5703125" style="211" bestFit="1" customWidth="1"/>
    <col min="8736" max="8737" width="9.5703125" style="211" customWidth="1"/>
    <col min="8738" max="8738" width="7" style="211" bestFit="1" customWidth="1"/>
    <col min="8739" max="8739" width="9.28515625" style="211" bestFit="1" customWidth="1"/>
    <col min="8740" max="8740" width="10.140625" style="211" bestFit="1" customWidth="1"/>
    <col min="8741" max="8741" width="9.140625" style="211"/>
    <col min="8742" max="8742" width="14.140625" style="211" bestFit="1" customWidth="1"/>
    <col min="8743" max="8743" width="15.5703125" style="211" bestFit="1" customWidth="1"/>
    <col min="8744" max="8744" width="21.42578125" style="211" bestFit="1" customWidth="1"/>
    <col min="8745" max="8745" width="13.28515625" style="211" bestFit="1" customWidth="1"/>
    <col min="8746" max="8746" width="15" style="211" bestFit="1" customWidth="1"/>
    <col min="8747" max="8747" width="9.140625" style="211"/>
    <col min="8748" max="8748" width="14.7109375" style="211" bestFit="1" customWidth="1"/>
    <col min="8749" max="8749" width="10.85546875" style="211" bestFit="1" customWidth="1"/>
    <col min="8750" max="8754" width="9.140625" style="211"/>
    <col min="8755" max="8755" width="11.85546875" style="211" customWidth="1"/>
    <col min="8756" max="8756" width="7.85546875" style="211" bestFit="1" customWidth="1"/>
    <col min="8757" max="8757" width="14.42578125" style="211" bestFit="1" customWidth="1"/>
    <col min="8758" max="8758" width="16.85546875" style="211" bestFit="1" customWidth="1"/>
    <col min="8759" max="8759" width="21.42578125" style="211" bestFit="1" customWidth="1"/>
    <col min="8760" max="8760" width="9.7109375" style="211" bestFit="1" customWidth="1"/>
    <col min="8761" max="8761" width="15" style="211" bestFit="1" customWidth="1"/>
    <col min="8762" max="8762" width="9.140625" style="211"/>
    <col min="8763" max="8763" width="14.7109375" style="211" bestFit="1" customWidth="1"/>
    <col min="8764" max="8764" width="10.85546875" style="211" bestFit="1" customWidth="1"/>
    <col min="8765" max="8767" width="9.28515625" style="211" customWidth="1"/>
    <col min="8768" max="8768" width="9.140625" style="211"/>
    <col min="8769" max="8769" width="7.85546875" style="211" bestFit="1" customWidth="1"/>
    <col min="8770" max="8770" width="8.5703125" style="211" bestFit="1" customWidth="1"/>
    <col min="8771" max="8771" width="9.140625" style="211"/>
    <col min="8772" max="8772" width="14.42578125" style="211" bestFit="1" customWidth="1"/>
    <col min="8773" max="8773" width="16.85546875" style="211" bestFit="1" customWidth="1"/>
    <col min="8774" max="8774" width="21.42578125" style="211" bestFit="1" customWidth="1"/>
    <col min="8775" max="8775" width="9.7109375" style="211" bestFit="1" customWidth="1"/>
    <col min="8776" max="8776" width="15" style="211" bestFit="1" customWidth="1"/>
    <col min="8777" max="8960" width="9.140625" style="211"/>
    <col min="8961" max="8961" width="51.28515625" style="211" bestFit="1" customWidth="1"/>
    <col min="8962" max="8962" width="12.28515625" style="211" customWidth="1"/>
    <col min="8963" max="8963" width="14.28515625" style="211" customWidth="1"/>
    <col min="8964" max="8964" width="13.42578125" style="211" bestFit="1" customWidth="1"/>
    <col min="8965" max="8965" width="12.5703125" style="211" bestFit="1" customWidth="1"/>
    <col min="8966" max="8966" width="13" style="211" bestFit="1" customWidth="1"/>
    <col min="8967" max="8967" width="14" style="211" bestFit="1" customWidth="1"/>
    <col min="8968" max="8968" width="13" style="211" bestFit="1" customWidth="1"/>
    <col min="8969" max="8969" width="12.5703125" style="211" customWidth="1"/>
    <col min="8970" max="8970" width="16.28515625" style="211" bestFit="1" customWidth="1"/>
    <col min="8971" max="8971" width="15.5703125" style="211" customWidth="1"/>
    <col min="8972" max="8972" width="13" style="211" bestFit="1" customWidth="1"/>
    <col min="8973" max="8973" width="15.85546875" style="211" customWidth="1"/>
    <col min="8974" max="8974" width="15" style="211" bestFit="1" customWidth="1"/>
    <col min="8975" max="8975" width="9.140625" style="211"/>
    <col min="8976" max="8976" width="14.28515625" style="211" bestFit="1" customWidth="1"/>
    <col min="8977" max="8977" width="11.85546875" style="211" bestFit="1" customWidth="1"/>
    <col min="8978" max="8979" width="11.85546875" style="211" customWidth="1"/>
    <col min="8980" max="8980" width="7" style="211" bestFit="1" customWidth="1"/>
    <col min="8981" max="8982" width="12.5703125" style="211" bestFit="1" customWidth="1"/>
    <col min="8983" max="8983" width="7.7109375" style="211" bestFit="1" customWidth="1"/>
    <col min="8984" max="8984" width="14.140625" style="211" bestFit="1" customWidth="1"/>
    <col min="8985" max="8985" width="18" style="211" customWidth="1"/>
    <col min="8986" max="8986" width="21.42578125" style="211" bestFit="1" customWidth="1"/>
    <col min="8987" max="8987" width="13.28515625" style="211" bestFit="1" customWidth="1"/>
    <col min="8988" max="8988" width="15" style="211" bestFit="1" customWidth="1"/>
    <col min="8989" max="8989" width="9.140625" style="211"/>
    <col min="8990" max="8990" width="14.28515625" style="211" bestFit="1" customWidth="1"/>
    <col min="8991" max="8991" width="9.5703125" style="211" bestFit="1" customWidth="1"/>
    <col min="8992" max="8993" width="9.5703125" style="211" customWidth="1"/>
    <col min="8994" max="8994" width="7" style="211" bestFit="1" customWidth="1"/>
    <col min="8995" max="8995" width="9.28515625" style="211" bestFit="1" customWidth="1"/>
    <col min="8996" max="8996" width="10.140625" style="211" bestFit="1" customWidth="1"/>
    <col min="8997" max="8997" width="9.140625" style="211"/>
    <col min="8998" max="8998" width="14.140625" style="211" bestFit="1" customWidth="1"/>
    <col min="8999" max="8999" width="15.5703125" style="211" bestFit="1" customWidth="1"/>
    <col min="9000" max="9000" width="21.42578125" style="211" bestFit="1" customWidth="1"/>
    <col min="9001" max="9001" width="13.28515625" style="211" bestFit="1" customWidth="1"/>
    <col min="9002" max="9002" width="15" style="211" bestFit="1" customWidth="1"/>
    <col min="9003" max="9003" width="9.140625" style="211"/>
    <col min="9004" max="9004" width="14.7109375" style="211" bestFit="1" customWidth="1"/>
    <col min="9005" max="9005" width="10.85546875" style="211" bestFit="1" customWidth="1"/>
    <col min="9006" max="9010" width="9.140625" style="211"/>
    <col min="9011" max="9011" width="11.85546875" style="211" customWidth="1"/>
    <col min="9012" max="9012" width="7.85546875" style="211" bestFit="1" customWidth="1"/>
    <col min="9013" max="9013" width="14.42578125" style="211" bestFit="1" customWidth="1"/>
    <col min="9014" max="9014" width="16.85546875" style="211" bestFit="1" customWidth="1"/>
    <col min="9015" max="9015" width="21.42578125" style="211" bestFit="1" customWidth="1"/>
    <col min="9016" max="9016" width="9.7109375" style="211" bestFit="1" customWidth="1"/>
    <col min="9017" max="9017" width="15" style="211" bestFit="1" customWidth="1"/>
    <col min="9018" max="9018" width="9.140625" style="211"/>
    <col min="9019" max="9019" width="14.7109375" style="211" bestFit="1" customWidth="1"/>
    <col min="9020" max="9020" width="10.85546875" style="211" bestFit="1" customWidth="1"/>
    <col min="9021" max="9023" width="9.28515625" style="211" customWidth="1"/>
    <col min="9024" max="9024" width="9.140625" style="211"/>
    <col min="9025" max="9025" width="7.85546875" style="211" bestFit="1" customWidth="1"/>
    <col min="9026" max="9026" width="8.5703125" style="211" bestFit="1" customWidth="1"/>
    <col min="9027" max="9027" width="9.140625" style="211"/>
    <col min="9028" max="9028" width="14.42578125" style="211" bestFit="1" customWidth="1"/>
    <col min="9029" max="9029" width="16.85546875" style="211" bestFit="1" customWidth="1"/>
    <col min="9030" max="9030" width="21.42578125" style="211" bestFit="1" customWidth="1"/>
    <col min="9031" max="9031" width="9.7109375" style="211" bestFit="1" customWidth="1"/>
    <col min="9032" max="9032" width="15" style="211" bestFit="1" customWidth="1"/>
    <col min="9033" max="9216" width="9.140625" style="211"/>
    <col min="9217" max="9217" width="51.28515625" style="211" bestFit="1" customWidth="1"/>
    <col min="9218" max="9218" width="12.28515625" style="211" customWidth="1"/>
    <col min="9219" max="9219" width="14.28515625" style="211" customWidth="1"/>
    <col min="9220" max="9220" width="13.42578125" style="211" bestFit="1" customWidth="1"/>
    <col min="9221" max="9221" width="12.5703125" style="211" bestFit="1" customWidth="1"/>
    <col min="9222" max="9222" width="13" style="211" bestFit="1" customWidth="1"/>
    <col min="9223" max="9223" width="14" style="211" bestFit="1" customWidth="1"/>
    <col min="9224" max="9224" width="13" style="211" bestFit="1" customWidth="1"/>
    <col min="9225" max="9225" width="12.5703125" style="211" customWidth="1"/>
    <col min="9226" max="9226" width="16.28515625" style="211" bestFit="1" customWidth="1"/>
    <col min="9227" max="9227" width="15.5703125" style="211" customWidth="1"/>
    <col min="9228" max="9228" width="13" style="211" bestFit="1" customWidth="1"/>
    <col min="9229" max="9229" width="15.85546875" style="211" customWidth="1"/>
    <col min="9230" max="9230" width="15" style="211" bestFit="1" customWidth="1"/>
    <col min="9231" max="9231" width="9.140625" style="211"/>
    <col min="9232" max="9232" width="14.28515625" style="211" bestFit="1" customWidth="1"/>
    <col min="9233" max="9233" width="11.85546875" style="211" bestFit="1" customWidth="1"/>
    <col min="9234" max="9235" width="11.85546875" style="211" customWidth="1"/>
    <col min="9236" max="9236" width="7" style="211" bestFit="1" customWidth="1"/>
    <col min="9237" max="9238" width="12.5703125" style="211" bestFit="1" customWidth="1"/>
    <col min="9239" max="9239" width="7.7109375" style="211" bestFit="1" customWidth="1"/>
    <col min="9240" max="9240" width="14.140625" style="211" bestFit="1" customWidth="1"/>
    <col min="9241" max="9241" width="18" style="211" customWidth="1"/>
    <col min="9242" max="9242" width="21.42578125" style="211" bestFit="1" customWidth="1"/>
    <col min="9243" max="9243" width="13.28515625" style="211" bestFit="1" customWidth="1"/>
    <col min="9244" max="9244" width="15" style="211" bestFit="1" customWidth="1"/>
    <col min="9245" max="9245" width="9.140625" style="211"/>
    <col min="9246" max="9246" width="14.28515625" style="211" bestFit="1" customWidth="1"/>
    <col min="9247" max="9247" width="9.5703125" style="211" bestFit="1" customWidth="1"/>
    <col min="9248" max="9249" width="9.5703125" style="211" customWidth="1"/>
    <col min="9250" max="9250" width="7" style="211" bestFit="1" customWidth="1"/>
    <col min="9251" max="9251" width="9.28515625" style="211" bestFit="1" customWidth="1"/>
    <col min="9252" max="9252" width="10.140625" style="211" bestFit="1" customWidth="1"/>
    <col min="9253" max="9253" width="9.140625" style="211"/>
    <col min="9254" max="9254" width="14.140625" style="211" bestFit="1" customWidth="1"/>
    <col min="9255" max="9255" width="15.5703125" style="211" bestFit="1" customWidth="1"/>
    <col min="9256" max="9256" width="21.42578125" style="211" bestFit="1" customWidth="1"/>
    <col min="9257" max="9257" width="13.28515625" style="211" bestFit="1" customWidth="1"/>
    <col min="9258" max="9258" width="15" style="211" bestFit="1" customWidth="1"/>
    <col min="9259" max="9259" width="9.140625" style="211"/>
    <col min="9260" max="9260" width="14.7109375" style="211" bestFit="1" customWidth="1"/>
    <col min="9261" max="9261" width="10.85546875" style="211" bestFit="1" customWidth="1"/>
    <col min="9262" max="9266" width="9.140625" style="211"/>
    <col min="9267" max="9267" width="11.85546875" style="211" customWidth="1"/>
    <col min="9268" max="9268" width="7.85546875" style="211" bestFit="1" customWidth="1"/>
    <col min="9269" max="9269" width="14.42578125" style="211" bestFit="1" customWidth="1"/>
    <col min="9270" max="9270" width="16.85546875" style="211" bestFit="1" customWidth="1"/>
    <col min="9271" max="9271" width="21.42578125" style="211" bestFit="1" customWidth="1"/>
    <col min="9272" max="9272" width="9.7109375" style="211" bestFit="1" customWidth="1"/>
    <col min="9273" max="9273" width="15" style="211" bestFit="1" customWidth="1"/>
    <col min="9274" max="9274" width="9.140625" style="211"/>
    <col min="9275" max="9275" width="14.7109375" style="211" bestFit="1" customWidth="1"/>
    <col min="9276" max="9276" width="10.85546875" style="211" bestFit="1" customWidth="1"/>
    <col min="9277" max="9279" width="9.28515625" style="211" customWidth="1"/>
    <col min="9280" max="9280" width="9.140625" style="211"/>
    <col min="9281" max="9281" width="7.85546875" style="211" bestFit="1" customWidth="1"/>
    <col min="9282" max="9282" width="8.5703125" style="211" bestFit="1" customWidth="1"/>
    <col min="9283" max="9283" width="9.140625" style="211"/>
    <col min="9284" max="9284" width="14.42578125" style="211" bestFit="1" customWidth="1"/>
    <col min="9285" max="9285" width="16.85546875" style="211" bestFit="1" customWidth="1"/>
    <col min="9286" max="9286" width="21.42578125" style="211" bestFit="1" customWidth="1"/>
    <col min="9287" max="9287" width="9.7109375" style="211" bestFit="1" customWidth="1"/>
    <col min="9288" max="9288" width="15" style="211" bestFit="1" customWidth="1"/>
    <col min="9289" max="9472" width="9.140625" style="211"/>
    <col min="9473" max="9473" width="51.28515625" style="211" bestFit="1" customWidth="1"/>
    <col min="9474" max="9474" width="12.28515625" style="211" customWidth="1"/>
    <col min="9475" max="9475" width="14.28515625" style="211" customWidth="1"/>
    <col min="9476" max="9476" width="13.42578125" style="211" bestFit="1" customWidth="1"/>
    <col min="9477" max="9477" width="12.5703125" style="211" bestFit="1" customWidth="1"/>
    <col min="9478" max="9478" width="13" style="211" bestFit="1" customWidth="1"/>
    <col min="9479" max="9479" width="14" style="211" bestFit="1" customWidth="1"/>
    <col min="9480" max="9480" width="13" style="211" bestFit="1" customWidth="1"/>
    <col min="9481" max="9481" width="12.5703125" style="211" customWidth="1"/>
    <col min="9482" max="9482" width="16.28515625" style="211" bestFit="1" customWidth="1"/>
    <col min="9483" max="9483" width="15.5703125" style="211" customWidth="1"/>
    <col min="9484" max="9484" width="13" style="211" bestFit="1" customWidth="1"/>
    <col min="9485" max="9485" width="15.85546875" style="211" customWidth="1"/>
    <col min="9486" max="9486" width="15" style="211" bestFit="1" customWidth="1"/>
    <col min="9487" max="9487" width="9.140625" style="211"/>
    <col min="9488" max="9488" width="14.28515625" style="211" bestFit="1" customWidth="1"/>
    <col min="9489" max="9489" width="11.85546875" style="211" bestFit="1" customWidth="1"/>
    <col min="9490" max="9491" width="11.85546875" style="211" customWidth="1"/>
    <col min="9492" max="9492" width="7" style="211" bestFit="1" customWidth="1"/>
    <col min="9493" max="9494" width="12.5703125" style="211" bestFit="1" customWidth="1"/>
    <col min="9495" max="9495" width="7.7109375" style="211" bestFit="1" customWidth="1"/>
    <col min="9496" max="9496" width="14.140625" style="211" bestFit="1" customWidth="1"/>
    <col min="9497" max="9497" width="18" style="211" customWidth="1"/>
    <col min="9498" max="9498" width="21.42578125" style="211" bestFit="1" customWidth="1"/>
    <col min="9499" max="9499" width="13.28515625" style="211" bestFit="1" customWidth="1"/>
    <col min="9500" max="9500" width="15" style="211" bestFit="1" customWidth="1"/>
    <col min="9501" max="9501" width="9.140625" style="211"/>
    <col min="9502" max="9502" width="14.28515625" style="211" bestFit="1" customWidth="1"/>
    <col min="9503" max="9503" width="9.5703125" style="211" bestFit="1" customWidth="1"/>
    <col min="9504" max="9505" width="9.5703125" style="211" customWidth="1"/>
    <col min="9506" max="9506" width="7" style="211" bestFit="1" customWidth="1"/>
    <col min="9507" max="9507" width="9.28515625" style="211" bestFit="1" customWidth="1"/>
    <col min="9508" max="9508" width="10.140625" style="211" bestFit="1" customWidth="1"/>
    <col min="9509" max="9509" width="9.140625" style="211"/>
    <col min="9510" max="9510" width="14.140625" style="211" bestFit="1" customWidth="1"/>
    <col min="9511" max="9511" width="15.5703125" style="211" bestFit="1" customWidth="1"/>
    <col min="9512" max="9512" width="21.42578125" style="211" bestFit="1" customWidth="1"/>
    <col min="9513" max="9513" width="13.28515625" style="211" bestFit="1" customWidth="1"/>
    <col min="9514" max="9514" width="15" style="211" bestFit="1" customWidth="1"/>
    <col min="9515" max="9515" width="9.140625" style="211"/>
    <col min="9516" max="9516" width="14.7109375" style="211" bestFit="1" customWidth="1"/>
    <col min="9517" max="9517" width="10.85546875" style="211" bestFit="1" customWidth="1"/>
    <col min="9518" max="9522" width="9.140625" style="211"/>
    <col min="9523" max="9523" width="11.85546875" style="211" customWidth="1"/>
    <col min="9524" max="9524" width="7.85546875" style="211" bestFit="1" customWidth="1"/>
    <col min="9525" max="9525" width="14.42578125" style="211" bestFit="1" customWidth="1"/>
    <col min="9526" max="9526" width="16.85546875" style="211" bestFit="1" customWidth="1"/>
    <col min="9527" max="9527" width="21.42578125" style="211" bestFit="1" customWidth="1"/>
    <col min="9528" max="9528" width="9.7109375" style="211" bestFit="1" customWidth="1"/>
    <col min="9529" max="9529" width="15" style="211" bestFit="1" customWidth="1"/>
    <col min="9530" max="9530" width="9.140625" style="211"/>
    <col min="9531" max="9531" width="14.7109375" style="211" bestFit="1" customWidth="1"/>
    <col min="9532" max="9532" width="10.85546875" style="211" bestFit="1" customWidth="1"/>
    <col min="9533" max="9535" width="9.28515625" style="211" customWidth="1"/>
    <col min="9536" max="9536" width="9.140625" style="211"/>
    <col min="9537" max="9537" width="7.85546875" style="211" bestFit="1" customWidth="1"/>
    <col min="9538" max="9538" width="8.5703125" style="211" bestFit="1" customWidth="1"/>
    <col min="9539" max="9539" width="9.140625" style="211"/>
    <col min="9540" max="9540" width="14.42578125" style="211" bestFit="1" customWidth="1"/>
    <col min="9541" max="9541" width="16.85546875" style="211" bestFit="1" customWidth="1"/>
    <col min="9542" max="9542" width="21.42578125" style="211" bestFit="1" customWidth="1"/>
    <col min="9543" max="9543" width="9.7109375" style="211" bestFit="1" customWidth="1"/>
    <col min="9544" max="9544" width="15" style="211" bestFit="1" customWidth="1"/>
    <col min="9545" max="9728" width="9.140625" style="211"/>
    <col min="9729" max="9729" width="51.28515625" style="211" bestFit="1" customWidth="1"/>
    <col min="9730" max="9730" width="12.28515625" style="211" customWidth="1"/>
    <col min="9731" max="9731" width="14.28515625" style="211" customWidth="1"/>
    <col min="9732" max="9732" width="13.42578125" style="211" bestFit="1" customWidth="1"/>
    <col min="9733" max="9733" width="12.5703125" style="211" bestFit="1" customWidth="1"/>
    <col min="9734" max="9734" width="13" style="211" bestFit="1" customWidth="1"/>
    <col min="9735" max="9735" width="14" style="211" bestFit="1" customWidth="1"/>
    <col min="9736" max="9736" width="13" style="211" bestFit="1" customWidth="1"/>
    <col min="9737" max="9737" width="12.5703125" style="211" customWidth="1"/>
    <col min="9738" max="9738" width="16.28515625" style="211" bestFit="1" customWidth="1"/>
    <col min="9739" max="9739" width="15.5703125" style="211" customWidth="1"/>
    <col min="9740" max="9740" width="13" style="211" bestFit="1" customWidth="1"/>
    <col min="9741" max="9741" width="15.85546875" style="211" customWidth="1"/>
    <col min="9742" max="9742" width="15" style="211" bestFit="1" customWidth="1"/>
    <col min="9743" max="9743" width="9.140625" style="211"/>
    <col min="9744" max="9744" width="14.28515625" style="211" bestFit="1" customWidth="1"/>
    <col min="9745" max="9745" width="11.85546875" style="211" bestFit="1" customWidth="1"/>
    <col min="9746" max="9747" width="11.85546875" style="211" customWidth="1"/>
    <col min="9748" max="9748" width="7" style="211" bestFit="1" customWidth="1"/>
    <col min="9749" max="9750" width="12.5703125" style="211" bestFit="1" customWidth="1"/>
    <col min="9751" max="9751" width="7.7109375" style="211" bestFit="1" customWidth="1"/>
    <col min="9752" max="9752" width="14.140625" style="211" bestFit="1" customWidth="1"/>
    <col min="9753" max="9753" width="18" style="211" customWidth="1"/>
    <col min="9754" max="9754" width="21.42578125" style="211" bestFit="1" customWidth="1"/>
    <col min="9755" max="9755" width="13.28515625" style="211" bestFit="1" customWidth="1"/>
    <col min="9756" max="9756" width="15" style="211" bestFit="1" customWidth="1"/>
    <col min="9757" max="9757" width="9.140625" style="211"/>
    <col min="9758" max="9758" width="14.28515625" style="211" bestFit="1" customWidth="1"/>
    <col min="9759" max="9759" width="9.5703125" style="211" bestFit="1" customWidth="1"/>
    <col min="9760" max="9761" width="9.5703125" style="211" customWidth="1"/>
    <col min="9762" max="9762" width="7" style="211" bestFit="1" customWidth="1"/>
    <col min="9763" max="9763" width="9.28515625" style="211" bestFit="1" customWidth="1"/>
    <col min="9764" max="9764" width="10.140625" style="211" bestFit="1" customWidth="1"/>
    <col min="9765" max="9765" width="9.140625" style="211"/>
    <col min="9766" max="9766" width="14.140625" style="211" bestFit="1" customWidth="1"/>
    <col min="9767" max="9767" width="15.5703125" style="211" bestFit="1" customWidth="1"/>
    <col min="9768" max="9768" width="21.42578125" style="211" bestFit="1" customWidth="1"/>
    <col min="9769" max="9769" width="13.28515625" style="211" bestFit="1" customWidth="1"/>
    <col min="9770" max="9770" width="15" style="211" bestFit="1" customWidth="1"/>
    <col min="9771" max="9771" width="9.140625" style="211"/>
    <col min="9772" max="9772" width="14.7109375" style="211" bestFit="1" customWidth="1"/>
    <col min="9773" max="9773" width="10.85546875" style="211" bestFit="1" customWidth="1"/>
    <col min="9774" max="9778" width="9.140625" style="211"/>
    <col min="9779" max="9779" width="11.85546875" style="211" customWidth="1"/>
    <col min="9780" max="9780" width="7.85546875" style="211" bestFit="1" customWidth="1"/>
    <col min="9781" max="9781" width="14.42578125" style="211" bestFit="1" customWidth="1"/>
    <col min="9782" max="9782" width="16.85546875" style="211" bestFit="1" customWidth="1"/>
    <col min="9783" max="9783" width="21.42578125" style="211" bestFit="1" customWidth="1"/>
    <col min="9784" max="9784" width="9.7109375" style="211" bestFit="1" customWidth="1"/>
    <col min="9785" max="9785" width="15" style="211" bestFit="1" customWidth="1"/>
    <col min="9786" max="9786" width="9.140625" style="211"/>
    <col min="9787" max="9787" width="14.7109375" style="211" bestFit="1" customWidth="1"/>
    <col min="9788" max="9788" width="10.85546875" style="211" bestFit="1" customWidth="1"/>
    <col min="9789" max="9791" width="9.28515625" style="211" customWidth="1"/>
    <col min="9792" max="9792" width="9.140625" style="211"/>
    <col min="9793" max="9793" width="7.85546875" style="211" bestFit="1" customWidth="1"/>
    <col min="9794" max="9794" width="8.5703125" style="211" bestFit="1" customWidth="1"/>
    <col min="9795" max="9795" width="9.140625" style="211"/>
    <col min="9796" max="9796" width="14.42578125" style="211" bestFit="1" customWidth="1"/>
    <col min="9797" max="9797" width="16.85546875" style="211" bestFit="1" customWidth="1"/>
    <col min="9798" max="9798" width="21.42578125" style="211" bestFit="1" customWidth="1"/>
    <col min="9799" max="9799" width="9.7109375" style="211" bestFit="1" customWidth="1"/>
    <col min="9800" max="9800" width="15" style="211" bestFit="1" customWidth="1"/>
    <col min="9801" max="9984" width="9.140625" style="211"/>
    <col min="9985" max="9985" width="51.28515625" style="211" bestFit="1" customWidth="1"/>
    <col min="9986" max="9986" width="12.28515625" style="211" customWidth="1"/>
    <col min="9987" max="9987" width="14.28515625" style="211" customWidth="1"/>
    <col min="9988" max="9988" width="13.42578125" style="211" bestFit="1" customWidth="1"/>
    <col min="9989" max="9989" width="12.5703125" style="211" bestFit="1" customWidth="1"/>
    <col min="9990" max="9990" width="13" style="211" bestFit="1" customWidth="1"/>
    <col min="9991" max="9991" width="14" style="211" bestFit="1" customWidth="1"/>
    <col min="9992" max="9992" width="13" style="211" bestFit="1" customWidth="1"/>
    <col min="9993" max="9993" width="12.5703125" style="211" customWidth="1"/>
    <col min="9994" max="9994" width="16.28515625" style="211" bestFit="1" customWidth="1"/>
    <col min="9995" max="9995" width="15.5703125" style="211" customWidth="1"/>
    <col min="9996" max="9996" width="13" style="211" bestFit="1" customWidth="1"/>
    <col min="9997" max="9997" width="15.85546875" style="211" customWidth="1"/>
    <col min="9998" max="9998" width="15" style="211" bestFit="1" customWidth="1"/>
    <col min="9999" max="9999" width="9.140625" style="211"/>
    <col min="10000" max="10000" width="14.28515625" style="211" bestFit="1" customWidth="1"/>
    <col min="10001" max="10001" width="11.85546875" style="211" bestFit="1" customWidth="1"/>
    <col min="10002" max="10003" width="11.85546875" style="211" customWidth="1"/>
    <col min="10004" max="10004" width="7" style="211" bestFit="1" customWidth="1"/>
    <col min="10005" max="10006" width="12.5703125" style="211" bestFit="1" customWidth="1"/>
    <col min="10007" max="10007" width="7.7109375" style="211" bestFit="1" customWidth="1"/>
    <col min="10008" max="10008" width="14.140625" style="211" bestFit="1" customWidth="1"/>
    <col min="10009" max="10009" width="18" style="211" customWidth="1"/>
    <col min="10010" max="10010" width="21.42578125" style="211" bestFit="1" customWidth="1"/>
    <col min="10011" max="10011" width="13.28515625" style="211" bestFit="1" customWidth="1"/>
    <col min="10012" max="10012" width="15" style="211" bestFit="1" customWidth="1"/>
    <col min="10013" max="10013" width="9.140625" style="211"/>
    <col min="10014" max="10014" width="14.28515625" style="211" bestFit="1" customWidth="1"/>
    <col min="10015" max="10015" width="9.5703125" style="211" bestFit="1" customWidth="1"/>
    <col min="10016" max="10017" width="9.5703125" style="211" customWidth="1"/>
    <col min="10018" max="10018" width="7" style="211" bestFit="1" customWidth="1"/>
    <col min="10019" max="10019" width="9.28515625" style="211" bestFit="1" customWidth="1"/>
    <col min="10020" max="10020" width="10.140625" style="211" bestFit="1" customWidth="1"/>
    <col min="10021" max="10021" width="9.140625" style="211"/>
    <col min="10022" max="10022" width="14.140625" style="211" bestFit="1" customWidth="1"/>
    <col min="10023" max="10023" width="15.5703125" style="211" bestFit="1" customWidth="1"/>
    <col min="10024" max="10024" width="21.42578125" style="211" bestFit="1" customWidth="1"/>
    <col min="10025" max="10025" width="13.28515625" style="211" bestFit="1" customWidth="1"/>
    <col min="10026" max="10026" width="15" style="211" bestFit="1" customWidth="1"/>
    <col min="10027" max="10027" width="9.140625" style="211"/>
    <col min="10028" max="10028" width="14.7109375" style="211" bestFit="1" customWidth="1"/>
    <col min="10029" max="10029" width="10.85546875" style="211" bestFit="1" customWidth="1"/>
    <col min="10030" max="10034" width="9.140625" style="211"/>
    <col min="10035" max="10035" width="11.85546875" style="211" customWidth="1"/>
    <col min="10036" max="10036" width="7.85546875" style="211" bestFit="1" customWidth="1"/>
    <col min="10037" max="10037" width="14.42578125" style="211" bestFit="1" customWidth="1"/>
    <col min="10038" max="10038" width="16.85546875" style="211" bestFit="1" customWidth="1"/>
    <col min="10039" max="10039" width="21.42578125" style="211" bestFit="1" customWidth="1"/>
    <col min="10040" max="10040" width="9.7109375" style="211" bestFit="1" customWidth="1"/>
    <col min="10041" max="10041" width="15" style="211" bestFit="1" customWidth="1"/>
    <col min="10042" max="10042" width="9.140625" style="211"/>
    <col min="10043" max="10043" width="14.7109375" style="211" bestFit="1" customWidth="1"/>
    <col min="10044" max="10044" width="10.85546875" style="211" bestFit="1" customWidth="1"/>
    <col min="10045" max="10047" width="9.28515625" style="211" customWidth="1"/>
    <col min="10048" max="10048" width="9.140625" style="211"/>
    <col min="10049" max="10049" width="7.85546875" style="211" bestFit="1" customWidth="1"/>
    <col min="10050" max="10050" width="8.5703125" style="211" bestFit="1" customWidth="1"/>
    <col min="10051" max="10051" width="9.140625" style="211"/>
    <col min="10052" max="10052" width="14.42578125" style="211" bestFit="1" customWidth="1"/>
    <col min="10053" max="10053" width="16.85546875" style="211" bestFit="1" customWidth="1"/>
    <col min="10054" max="10054" width="21.42578125" style="211" bestFit="1" customWidth="1"/>
    <col min="10055" max="10055" width="9.7109375" style="211" bestFit="1" customWidth="1"/>
    <col min="10056" max="10056" width="15" style="211" bestFit="1" customWidth="1"/>
    <col min="10057" max="10240" width="9.140625" style="211"/>
    <col min="10241" max="10241" width="51.28515625" style="211" bestFit="1" customWidth="1"/>
    <col min="10242" max="10242" width="12.28515625" style="211" customWidth="1"/>
    <col min="10243" max="10243" width="14.28515625" style="211" customWidth="1"/>
    <col min="10244" max="10244" width="13.42578125" style="211" bestFit="1" customWidth="1"/>
    <col min="10245" max="10245" width="12.5703125" style="211" bestFit="1" customWidth="1"/>
    <col min="10246" max="10246" width="13" style="211" bestFit="1" customWidth="1"/>
    <col min="10247" max="10247" width="14" style="211" bestFit="1" customWidth="1"/>
    <col min="10248" max="10248" width="13" style="211" bestFit="1" customWidth="1"/>
    <col min="10249" max="10249" width="12.5703125" style="211" customWidth="1"/>
    <col min="10250" max="10250" width="16.28515625" style="211" bestFit="1" customWidth="1"/>
    <col min="10251" max="10251" width="15.5703125" style="211" customWidth="1"/>
    <col min="10252" max="10252" width="13" style="211" bestFit="1" customWidth="1"/>
    <col min="10253" max="10253" width="15.85546875" style="211" customWidth="1"/>
    <col min="10254" max="10254" width="15" style="211" bestFit="1" customWidth="1"/>
    <col min="10255" max="10255" width="9.140625" style="211"/>
    <col min="10256" max="10256" width="14.28515625" style="211" bestFit="1" customWidth="1"/>
    <col min="10257" max="10257" width="11.85546875" style="211" bestFit="1" customWidth="1"/>
    <col min="10258" max="10259" width="11.85546875" style="211" customWidth="1"/>
    <col min="10260" max="10260" width="7" style="211" bestFit="1" customWidth="1"/>
    <col min="10261" max="10262" width="12.5703125" style="211" bestFit="1" customWidth="1"/>
    <col min="10263" max="10263" width="7.7109375" style="211" bestFit="1" customWidth="1"/>
    <col min="10264" max="10264" width="14.140625" style="211" bestFit="1" customWidth="1"/>
    <col min="10265" max="10265" width="18" style="211" customWidth="1"/>
    <col min="10266" max="10266" width="21.42578125" style="211" bestFit="1" customWidth="1"/>
    <col min="10267" max="10267" width="13.28515625" style="211" bestFit="1" customWidth="1"/>
    <col min="10268" max="10268" width="15" style="211" bestFit="1" customWidth="1"/>
    <col min="10269" max="10269" width="9.140625" style="211"/>
    <col min="10270" max="10270" width="14.28515625" style="211" bestFit="1" customWidth="1"/>
    <col min="10271" max="10271" width="9.5703125" style="211" bestFit="1" customWidth="1"/>
    <col min="10272" max="10273" width="9.5703125" style="211" customWidth="1"/>
    <col min="10274" max="10274" width="7" style="211" bestFit="1" customWidth="1"/>
    <col min="10275" max="10275" width="9.28515625" style="211" bestFit="1" customWidth="1"/>
    <col min="10276" max="10276" width="10.140625" style="211" bestFit="1" customWidth="1"/>
    <col min="10277" max="10277" width="9.140625" style="211"/>
    <col min="10278" max="10278" width="14.140625" style="211" bestFit="1" customWidth="1"/>
    <col min="10279" max="10279" width="15.5703125" style="211" bestFit="1" customWidth="1"/>
    <col min="10280" max="10280" width="21.42578125" style="211" bestFit="1" customWidth="1"/>
    <col min="10281" max="10281" width="13.28515625" style="211" bestFit="1" customWidth="1"/>
    <col min="10282" max="10282" width="15" style="211" bestFit="1" customWidth="1"/>
    <col min="10283" max="10283" width="9.140625" style="211"/>
    <col min="10284" max="10284" width="14.7109375" style="211" bestFit="1" customWidth="1"/>
    <col min="10285" max="10285" width="10.85546875" style="211" bestFit="1" customWidth="1"/>
    <col min="10286" max="10290" width="9.140625" style="211"/>
    <col min="10291" max="10291" width="11.85546875" style="211" customWidth="1"/>
    <col min="10292" max="10292" width="7.85546875" style="211" bestFit="1" customWidth="1"/>
    <col min="10293" max="10293" width="14.42578125" style="211" bestFit="1" customWidth="1"/>
    <col min="10294" max="10294" width="16.85546875" style="211" bestFit="1" customWidth="1"/>
    <col min="10295" max="10295" width="21.42578125" style="211" bestFit="1" customWidth="1"/>
    <col min="10296" max="10296" width="9.7109375" style="211" bestFit="1" customWidth="1"/>
    <col min="10297" max="10297" width="15" style="211" bestFit="1" customWidth="1"/>
    <col min="10298" max="10298" width="9.140625" style="211"/>
    <col min="10299" max="10299" width="14.7109375" style="211" bestFit="1" customWidth="1"/>
    <col min="10300" max="10300" width="10.85546875" style="211" bestFit="1" customWidth="1"/>
    <col min="10301" max="10303" width="9.28515625" style="211" customWidth="1"/>
    <col min="10304" max="10304" width="9.140625" style="211"/>
    <col min="10305" max="10305" width="7.85546875" style="211" bestFit="1" customWidth="1"/>
    <col min="10306" max="10306" width="8.5703125" style="211" bestFit="1" customWidth="1"/>
    <col min="10307" max="10307" width="9.140625" style="211"/>
    <col min="10308" max="10308" width="14.42578125" style="211" bestFit="1" customWidth="1"/>
    <col min="10309" max="10309" width="16.85546875" style="211" bestFit="1" customWidth="1"/>
    <col min="10310" max="10310" width="21.42578125" style="211" bestFit="1" customWidth="1"/>
    <col min="10311" max="10311" width="9.7109375" style="211" bestFit="1" customWidth="1"/>
    <col min="10312" max="10312" width="15" style="211" bestFit="1" customWidth="1"/>
    <col min="10313" max="10496" width="9.140625" style="211"/>
    <col min="10497" max="10497" width="51.28515625" style="211" bestFit="1" customWidth="1"/>
    <col min="10498" max="10498" width="12.28515625" style="211" customWidth="1"/>
    <col min="10499" max="10499" width="14.28515625" style="211" customWidth="1"/>
    <col min="10500" max="10500" width="13.42578125" style="211" bestFit="1" customWidth="1"/>
    <col min="10501" max="10501" width="12.5703125" style="211" bestFit="1" customWidth="1"/>
    <col min="10502" max="10502" width="13" style="211" bestFit="1" customWidth="1"/>
    <col min="10503" max="10503" width="14" style="211" bestFit="1" customWidth="1"/>
    <col min="10504" max="10504" width="13" style="211" bestFit="1" customWidth="1"/>
    <col min="10505" max="10505" width="12.5703125" style="211" customWidth="1"/>
    <col min="10506" max="10506" width="16.28515625" style="211" bestFit="1" customWidth="1"/>
    <col min="10507" max="10507" width="15.5703125" style="211" customWidth="1"/>
    <col min="10508" max="10508" width="13" style="211" bestFit="1" customWidth="1"/>
    <col min="10509" max="10509" width="15.85546875" style="211" customWidth="1"/>
    <col min="10510" max="10510" width="15" style="211" bestFit="1" customWidth="1"/>
    <col min="10511" max="10511" width="9.140625" style="211"/>
    <col min="10512" max="10512" width="14.28515625" style="211" bestFit="1" customWidth="1"/>
    <col min="10513" max="10513" width="11.85546875" style="211" bestFit="1" customWidth="1"/>
    <col min="10514" max="10515" width="11.85546875" style="211" customWidth="1"/>
    <col min="10516" max="10516" width="7" style="211" bestFit="1" customWidth="1"/>
    <col min="10517" max="10518" width="12.5703125" style="211" bestFit="1" customWidth="1"/>
    <col min="10519" max="10519" width="7.7109375" style="211" bestFit="1" customWidth="1"/>
    <col min="10520" max="10520" width="14.140625" style="211" bestFit="1" customWidth="1"/>
    <col min="10521" max="10521" width="18" style="211" customWidth="1"/>
    <col min="10522" max="10522" width="21.42578125" style="211" bestFit="1" customWidth="1"/>
    <col min="10523" max="10523" width="13.28515625" style="211" bestFit="1" customWidth="1"/>
    <col min="10524" max="10524" width="15" style="211" bestFit="1" customWidth="1"/>
    <col min="10525" max="10525" width="9.140625" style="211"/>
    <col min="10526" max="10526" width="14.28515625" style="211" bestFit="1" customWidth="1"/>
    <col min="10527" max="10527" width="9.5703125" style="211" bestFit="1" customWidth="1"/>
    <col min="10528" max="10529" width="9.5703125" style="211" customWidth="1"/>
    <col min="10530" max="10530" width="7" style="211" bestFit="1" customWidth="1"/>
    <col min="10531" max="10531" width="9.28515625" style="211" bestFit="1" customWidth="1"/>
    <col min="10532" max="10532" width="10.140625" style="211" bestFit="1" customWidth="1"/>
    <col min="10533" max="10533" width="9.140625" style="211"/>
    <col min="10534" max="10534" width="14.140625" style="211" bestFit="1" customWidth="1"/>
    <col min="10535" max="10535" width="15.5703125" style="211" bestFit="1" customWidth="1"/>
    <col min="10536" max="10536" width="21.42578125" style="211" bestFit="1" customWidth="1"/>
    <col min="10537" max="10537" width="13.28515625" style="211" bestFit="1" customWidth="1"/>
    <col min="10538" max="10538" width="15" style="211" bestFit="1" customWidth="1"/>
    <col min="10539" max="10539" width="9.140625" style="211"/>
    <col min="10540" max="10540" width="14.7109375" style="211" bestFit="1" customWidth="1"/>
    <col min="10541" max="10541" width="10.85546875" style="211" bestFit="1" customWidth="1"/>
    <col min="10542" max="10546" width="9.140625" style="211"/>
    <col min="10547" max="10547" width="11.85546875" style="211" customWidth="1"/>
    <col min="10548" max="10548" width="7.85546875" style="211" bestFit="1" customWidth="1"/>
    <col min="10549" max="10549" width="14.42578125" style="211" bestFit="1" customWidth="1"/>
    <col min="10550" max="10550" width="16.85546875" style="211" bestFit="1" customWidth="1"/>
    <col min="10551" max="10551" width="21.42578125" style="211" bestFit="1" customWidth="1"/>
    <col min="10552" max="10552" width="9.7109375" style="211" bestFit="1" customWidth="1"/>
    <col min="10553" max="10553" width="15" style="211" bestFit="1" customWidth="1"/>
    <col min="10554" max="10554" width="9.140625" style="211"/>
    <col min="10555" max="10555" width="14.7109375" style="211" bestFit="1" customWidth="1"/>
    <col min="10556" max="10556" width="10.85546875" style="211" bestFit="1" customWidth="1"/>
    <col min="10557" max="10559" width="9.28515625" style="211" customWidth="1"/>
    <col min="10560" max="10560" width="9.140625" style="211"/>
    <col min="10561" max="10561" width="7.85546875" style="211" bestFit="1" customWidth="1"/>
    <col min="10562" max="10562" width="8.5703125" style="211" bestFit="1" customWidth="1"/>
    <col min="10563" max="10563" width="9.140625" style="211"/>
    <col min="10564" max="10564" width="14.42578125" style="211" bestFit="1" customWidth="1"/>
    <col min="10565" max="10565" width="16.85546875" style="211" bestFit="1" customWidth="1"/>
    <col min="10566" max="10566" width="21.42578125" style="211" bestFit="1" customWidth="1"/>
    <col min="10567" max="10567" width="9.7109375" style="211" bestFit="1" customWidth="1"/>
    <col min="10568" max="10568" width="15" style="211" bestFit="1" customWidth="1"/>
    <col min="10569" max="10752" width="9.140625" style="211"/>
    <col min="10753" max="10753" width="51.28515625" style="211" bestFit="1" customWidth="1"/>
    <col min="10754" max="10754" width="12.28515625" style="211" customWidth="1"/>
    <col min="10755" max="10755" width="14.28515625" style="211" customWidth="1"/>
    <col min="10756" max="10756" width="13.42578125" style="211" bestFit="1" customWidth="1"/>
    <col min="10757" max="10757" width="12.5703125" style="211" bestFit="1" customWidth="1"/>
    <col min="10758" max="10758" width="13" style="211" bestFit="1" customWidth="1"/>
    <col min="10759" max="10759" width="14" style="211" bestFit="1" customWidth="1"/>
    <col min="10760" max="10760" width="13" style="211" bestFit="1" customWidth="1"/>
    <col min="10761" max="10761" width="12.5703125" style="211" customWidth="1"/>
    <col min="10762" max="10762" width="16.28515625" style="211" bestFit="1" customWidth="1"/>
    <col min="10763" max="10763" width="15.5703125" style="211" customWidth="1"/>
    <col min="10764" max="10764" width="13" style="211" bestFit="1" customWidth="1"/>
    <col min="10765" max="10765" width="15.85546875" style="211" customWidth="1"/>
    <col min="10766" max="10766" width="15" style="211" bestFit="1" customWidth="1"/>
    <col min="10767" max="10767" width="9.140625" style="211"/>
    <col min="10768" max="10768" width="14.28515625" style="211" bestFit="1" customWidth="1"/>
    <col min="10769" max="10769" width="11.85546875" style="211" bestFit="1" customWidth="1"/>
    <col min="10770" max="10771" width="11.85546875" style="211" customWidth="1"/>
    <col min="10772" max="10772" width="7" style="211" bestFit="1" customWidth="1"/>
    <col min="10773" max="10774" width="12.5703125" style="211" bestFit="1" customWidth="1"/>
    <col min="10775" max="10775" width="7.7109375" style="211" bestFit="1" customWidth="1"/>
    <col min="10776" max="10776" width="14.140625" style="211" bestFit="1" customWidth="1"/>
    <col min="10777" max="10777" width="18" style="211" customWidth="1"/>
    <col min="10778" max="10778" width="21.42578125" style="211" bestFit="1" customWidth="1"/>
    <col min="10779" max="10779" width="13.28515625" style="211" bestFit="1" customWidth="1"/>
    <col min="10780" max="10780" width="15" style="211" bestFit="1" customWidth="1"/>
    <col min="10781" max="10781" width="9.140625" style="211"/>
    <col min="10782" max="10782" width="14.28515625" style="211" bestFit="1" customWidth="1"/>
    <col min="10783" max="10783" width="9.5703125" style="211" bestFit="1" customWidth="1"/>
    <col min="10784" max="10785" width="9.5703125" style="211" customWidth="1"/>
    <col min="10786" max="10786" width="7" style="211" bestFit="1" customWidth="1"/>
    <col min="10787" max="10787" width="9.28515625" style="211" bestFit="1" customWidth="1"/>
    <col min="10788" max="10788" width="10.140625" style="211" bestFit="1" customWidth="1"/>
    <col min="10789" max="10789" width="9.140625" style="211"/>
    <col min="10790" max="10790" width="14.140625" style="211" bestFit="1" customWidth="1"/>
    <col min="10791" max="10791" width="15.5703125" style="211" bestFit="1" customWidth="1"/>
    <col min="10792" max="10792" width="21.42578125" style="211" bestFit="1" customWidth="1"/>
    <col min="10793" max="10793" width="13.28515625" style="211" bestFit="1" customWidth="1"/>
    <col min="10794" max="10794" width="15" style="211" bestFit="1" customWidth="1"/>
    <col min="10795" max="10795" width="9.140625" style="211"/>
    <col min="10796" max="10796" width="14.7109375" style="211" bestFit="1" customWidth="1"/>
    <col min="10797" max="10797" width="10.85546875" style="211" bestFit="1" customWidth="1"/>
    <col min="10798" max="10802" width="9.140625" style="211"/>
    <col min="10803" max="10803" width="11.85546875" style="211" customWidth="1"/>
    <col min="10804" max="10804" width="7.85546875" style="211" bestFit="1" customWidth="1"/>
    <col min="10805" max="10805" width="14.42578125" style="211" bestFit="1" customWidth="1"/>
    <col min="10806" max="10806" width="16.85546875" style="211" bestFit="1" customWidth="1"/>
    <col min="10807" max="10807" width="21.42578125" style="211" bestFit="1" customWidth="1"/>
    <col min="10808" max="10808" width="9.7109375" style="211" bestFit="1" customWidth="1"/>
    <col min="10809" max="10809" width="15" style="211" bestFit="1" customWidth="1"/>
    <col min="10810" max="10810" width="9.140625" style="211"/>
    <col min="10811" max="10811" width="14.7109375" style="211" bestFit="1" customWidth="1"/>
    <col min="10812" max="10812" width="10.85546875" style="211" bestFit="1" customWidth="1"/>
    <col min="10813" max="10815" width="9.28515625" style="211" customWidth="1"/>
    <col min="10816" max="10816" width="9.140625" style="211"/>
    <col min="10817" max="10817" width="7.85546875" style="211" bestFit="1" customWidth="1"/>
    <col min="10818" max="10818" width="8.5703125" style="211" bestFit="1" customWidth="1"/>
    <col min="10819" max="10819" width="9.140625" style="211"/>
    <col min="10820" max="10820" width="14.42578125" style="211" bestFit="1" customWidth="1"/>
    <col min="10821" max="10821" width="16.85546875" style="211" bestFit="1" customWidth="1"/>
    <col min="10822" max="10822" width="21.42578125" style="211" bestFit="1" customWidth="1"/>
    <col min="10823" max="10823" width="9.7109375" style="211" bestFit="1" customWidth="1"/>
    <col min="10824" max="10824" width="15" style="211" bestFit="1" customWidth="1"/>
    <col min="10825" max="11008" width="9.140625" style="211"/>
    <col min="11009" max="11009" width="51.28515625" style="211" bestFit="1" customWidth="1"/>
    <col min="11010" max="11010" width="12.28515625" style="211" customWidth="1"/>
    <col min="11011" max="11011" width="14.28515625" style="211" customWidth="1"/>
    <col min="11012" max="11012" width="13.42578125" style="211" bestFit="1" customWidth="1"/>
    <col min="11013" max="11013" width="12.5703125" style="211" bestFit="1" customWidth="1"/>
    <col min="11014" max="11014" width="13" style="211" bestFit="1" customWidth="1"/>
    <col min="11015" max="11015" width="14" style="211" bestFit="1" customWidth="1"/>
    <col min="11016" max="11016" width="13" style="211" bestFit="1" customWidth="1"/>
    <col min="11017" max="11017" width="12.5703125" style="211" customWidth="1"/>
    <col min="11018" max="11018" width="16.28515625" style="211" bestFit="1" customWidth="1"/>
    <col min="11019" max="11019" width="15.5703125" style="211" customWidth="1"/>
    <col min="11020" max="11020" width="13" style="211" bestFit="1" customWidth="1"/>
    <col min="11021" max="11021" width="15.85546875" style="211" customWidth="1"/>
    <col min="11022" max="11022" width="15" style="211" bestFit="1" customWidth="1"/>
    <col min="11023" max="11023" width="9.140625" style="211"/>
    <col min="11024" max="11024" width="14.28515625" style="211" bestFit="1" customWidth="1"/>
    <col min="11025" max="11025" width="11.85546875" style="211" bestFit="1" customWidth="1"/>
    <col min="11026" max="11027" width="11.85546875" style="211" customWidth="1"/>
    <col min="11028" max="11028" width="7" style="211" bestFit="1" customWidth="1"/>
    <col min="11029" max="11030" width="12.5703125" style="211" bestFit="1" customWidth="1"/>
    <col min="11031" max="11031" width="7.7109375" style="211" bestFit="1" customWidth="1"/>
    <col min="11032" max="11032" width="14.140625" style="211" bestFit="1" customWidth="1"/>
    <col min="11033" max="11033" width="18" style="211" customWidth="1"/>
    <col min="11034" max="11034" width="21.42578125" style="211" bestFit="1" customWidth="1"/>
    <col min="11035" max="11035" width="13.28515625" style="211" bestFit="1" customWidth="1"/>
    <col min="11036" max="11036" width="15" style="211" bestFit="1" customWidth="1"/>
    <col min="11037" max="11037" width="9.140625" style="211"/>
    <col min="11038" max="11038" width="14.28515625" style="211" bestFit="1" customWidth="1"/>
    <col min="11039" max="11039" width="9.5703125" style="211" bestFit="1" customWidth="1"/>
    <col min="11040" max="11041" width="9.5703125" style="211" customWidth="1"/>
    <col min="11042" max="11042" width="7" style="211" bestFit="1" customWidth="1"/>
    <col min="11043" max="11043" width="9.28515625" style="211" bestFit="1" customWidth="1"/>
    <col min="11044" max="11044" width="10.140625" style="211" bestFit="1" customWidth="1"/>
    <col min="11045" max="11045" width="9.140625" style="211"/>
    <col min="11046" max="11046" width="14.140625" style="211" bestFit="1" customWidth="1"/>
    <col min="11047" max="11047" width="15.5703125" style="211" bestFit="1" customWidth="1"/>
    <col min="11048" max="11048" width="21.42578125" style="211" bestFit="1" customWidth="1"/>
    <col min="11049" max="11049" width="13.28515625" style="211" bestFit="1" customWidth="1"/>
    <col min="11050" max="11050" width="15" style="211" bestFit="1" customWidth="1"/>
    <col min="11051" max="11051" width="9.140625" style="211"/>
    <col min="11052" max="11052" width="14.7109375" style="211" bestFit="1" customWidth="1"/>
    <col min="11053" max="11053" width="10.85546875" style="211" bestFit="1" customWidth="1"/>
    <col min="11054" max="11058" width="9.140625" style="211"/>
    <col min="11059" max="11059" width="11.85546875" style="211" customWidth="1"/>
    <col min="11060" max="11060" width="7.85546875" style="211" bestFit="1" customWidth="1"/>
    <col min="11061" max="11061" width="14.42578125" style="211" bestFit="1" customWidth="1"/>
    <col min="11062" max="11062" width="16.85546875" style="211" bestFit="1" customWidth="1"/>
    <col min="11063" max="11063" width="21.42578125" style="211" bestFit="1" customWidth="1"/>
    <col min="11064" max="11064" width="9.7109375" style="211" bestFit="1" customWidth="1"/>
    <col min="11065" max="11065" width="15" style="211" bestFit="1" customWidth="1"/>
    <col min="11066" max="11066" width="9.140625" style="211"/>
    <col min="11067" max="11067" width="14.7109375" style="211" bestFit="1" customWidth="1"/>
    <col min="11068" max="11068" width="10.85546875" style="211" bestFit="1" customWidth="1"/>
    <col min="11069" max="11071" width="9.28515625" style="211" customWidth="1"/>
    <col min="11072" max="11072" width="9.140625" style="211"/>
    <col min="11073" max="11073" width="7.85546875" style="211" bestFit="1" customWidth="1"/>
    <col min="11074" max="11074" width="8.5703125" style="211" bestFit="1" customWidth="1"/>
    <col min="11075" max="11075" width="9.140625" style="211"/>
    <col min="11076" max="11076" width="14.42578125" style="211" bestFit="1" customWidth="1"/>
    <col min="11077" max="11077" width="16.85546875" style="211" bestFit="1" customWidth="1"/>
    <col min="11078" max="11078" width="21.42578125" style="211" bestFit="1" customWidth="1"/>
    <col min="11079" max="11079" width="9.7109375" style="211" bestFit="1" customWidth="1"/>
    <col min="11080" max="11080" width="15" style="211" bestFit="1" customWidth="1"/>
    <col min="11081" max="11264" width="9.140625" style="211"/>
    <col min="11265" max="11265" width="51.28515625" style="211" bestFit="1" customWidth="1"/>
    <col min="11266" max="11266" width="12.28515625" style="211" customWidth="1"/>
    <col min="11267" max="11267" width="14.28515625" style="211" customWidth="1"/>
    <col min="11268" max="11268" width="13.42578125" style="211" bestFit="1" customWidth="1"/>
    <col min="11269" max="11269" width="12.5703125" style="211" bestFit="1" customWidth="1"/>
    <col min="11270" max="11270" width="13" style="211" bestFit="1" customWidth="1"/>
    <col min="11271" max="11271" width="14" style="211" bestFit="1" customWidth="1"/>
    <col min="11272" max="11272" width="13" style="211" bestFit="1" customWidth="1"/>
    <col min="11273" max="11273" width="12.5703125" style="211" customWidth="1"/>
    <col min="11274" max="11274" width="16.28515625" style="211" bestFit="1" customWidth="1"/>
    <col min="11275" max="11275" width="15.5703125" style="211" customWidth="1"/>
    <col min="11276" max="11276" width="13" style="211" bestFit="1" customWidth="1"/>
    <col min="11277" max="11277" width="15.85546875" style="211" customWidth="1"/>
    <col min="11278" max="11278" width="15" style="211" bestFit="1" customWidth="1"/>
    <col min="11279" max="11279" width="9.140625" style="211"/>
    <col min="11280" max="11280" width="14.28515625" style="211" bestFit="1" customWidth="1"/>
    <col min="11281" max="11281" width="11.85546875" style="211" bestFit="1" customWidth="1"/>
    <col min="11282" max="11283" width="11.85546875" style="211" customWidth="1"/>
    <col min="11284" max="11284" width="7" style="211" bestFit="1" customWidth="1"/>
    <col min="11285" max="11286" width="12.5703125" style="211" bestFit="1" customWidth="1"/>
    <col min="11287" max="11287" width="7.7109375" style="211" bestFit="1" customWidth="1"/>
    <col min="11288" max="11288" width="14.140625" style="211" bestFit="1" customWidth="1"/>
    <col min="11289" max="11289" width="18" style="211" customWidth="1"/>
    <col min="11290" max="11290" width="21.42578125" style="211" bestFit="1" customWidth="1"/>
    <col min="11291" max="11291" width="13.28515625" style="211" bestFit="1" customWidth="1"/>
    <col min="11292" max="11292" width="15" style="211" bestFit="1" customWidth="1"/>
    <col min="11293" max="11293" width="9.140625" style="211"/>
    <col min="11294" max="11294" width="14.28515625" style="211" bestFit="1" customWidth="1"/>
    <col min="11295" max="11295" width="9.5703125" style="211" bestFit="1" customWidth="1"/>
    <col min="11296" max="11297" width="9.5703125" style="211" customWidth="1"/>
    <col min="11298" max="11298" width="7" style="211" bestFit="1" customWidth="1"/>
    <col min="11299" max="11299" width="9.28515625" style="211" bestFit="1" customWidth="1"/>
    <col min="11300" max="11300" width="10.140625" style="211" bestFit="1" customWidth="1"/>
    <col min="11301" max="11301" width="9.140625" style="211"/>
    <col min="11302" max="11302" width="14.140625" style="211" bestFit="1" customWidth="1"/>
    <col min="11303" max="11303" width="15.5703125" style="211" bestFit="1" customWidth="1"/>
    <col min="11304" max="11304" width="21.42578125" style="211" bestFit="1" customWidth="1"/>
    <col min="11305" max="11305" width="13.28515625" style="211" bestFit="1" customWidth="1"/>
    <col min="11306" max="11306" width="15" style="211" bestFit="1" customWidth="1"/>
    <col min="11307" max="11307" width="9.140625" style="211"/>
    <col min="11308" max="11308" width="14.7109375" style="211" bestFit="1" customWidth="1"/>
    <col min="11309" max="11309" width="10.85546875" style="211" bestFit="1" customWidth="1"/>
    <col min="11310" max="11314" width="9.140625" style="211"/>
    <col min="11315" max="11315" width="11.85546875" style="211" customWidth="1"/>
    <col min="11316" max="11316" width="7.85546875" style="211" bestFit="1" customWidth="1"/>
    <col min="11317" max="11317" width="14.42578125" style="211" bestFit="1" customWidth="1"/>
    <col min="11318" max="11318" width="16.85546875" style="211" bestFit="1" customWidth="1"/>
    <col min="11319" max="11319" width="21.42578125" style="211" bestFit="1" customWidth="1"/>
    <col min="11320" max="11320" width="9.7109375" style="211" bestFit="1" customWidth="1"/>
    <col min="11321" max="11321" width="15" style="211" bestFit="1" customWidth="1"/>
    <col min="11322" max="11322" width="9.140625" style="211"/>
    <col min="11323" max="11323" width="14.7109375" style="211" bestFit="1" customWidth="1"/>
    <col min="11324" max="11324" width="10.85546875" style="211" bestFit="1" customWidth="1"/>
    <col min="11325" max="11327" width="9.28515625" style="211" customWidth="1"/>
    <col min="11328" max="11328" width="9.140625" style="211"/>
    <col min="11329" max="11329" width="7.85546875" style="211" bestFit="1" customWidth="1"/>
    <col min="11330" max="11330" width="8.5703125" style="211" bestFit="1" customWidth="1"/>
    <col min="11331" max="11331" width="9.140625" style="211"/>
    <col min="11332" max="11332" width="14.42578125" style="211" bestFit="1" customWidth="1"/>
    <col min="11333" max="11333" width="16.85546875" style="211" bestFit="1" customWidth="1"/>
    <col min="11334" max="11334" width="21.42578125" style="211" bestFit="1" customWidth="1"/>
    <col min="11335" max="11335" width="9.7109375" style="211" bestFit="1" customWidth="1"/>
    <col min="11336" max="11336" width="15" style="211" bestFit="1" customWidth="1"/>
    <col min="11337" max="11520" width="9.140625" style="211"/>
    <col min="11521" max="11521" width="51.28515625" style="211" bestFit="1" customWidth="1"/>
    <col min="11522" max="11522" width="12.28515625" style="211" customWidth="1"/>
    <col min="11523" max="11523" width="14.28515625" style="211" customWidth="1"/>
    <col min="11524" max="11524" width="13.42578125" style="211" bestFit="1" customWidth="1"/>
    <col min="11525" max="11525" width="12.5703125" style="211" bestFit="1" customWidth="1"/>
    <col min="11526" max="11526" width="13" style="211" bestFit="1" customWidth="1"/>
    <col min="11527" max="11527" width="14" style="211" bestFit="1" customWidth="1"/>
    <col min="11528" max="11528" width="13" style="211" bestFit="1" customWidth="1"/>
    <col min="11529" max="11529" width="12.5703125" style="211" customWidth="1"/>
    <col min="11530" max="11530" width="16.28515625" style="211" bestFit="1" customWidth="1"/>
    <col min="11531" max="11531" width="15.5703125" style="211" customWidth="1"/>
    <col min="11532" max="11532" width="13" style="211" bestFit="1" customWidth="1"/>
    <col min="11533" max="11533" width="15.85546875" style="211" customWidth="1"/>
    <col min="11534" max="11534" width="15" style="211" bestFit="1" customWidth="1"/>
    <col min="11535" max="11535" width="9.140625" style="211"/>
    <col min="11536" max="11536" width="14.28515625" style="211" bestFit="1" customWidth="1"/>
    <col min="11537" max="11537" width="11.85546875" style="211" bestFit="1" customWidth="1"/>
    <col min="11538" max="11539" width="11.85546875" style="211" customWidth="1"/>
    <col min="11540" max="11540" width="7" style="211" bestFit="1" customWidth="1"/>
    <col min="11541" max="11542" width="12.5703125" style="211" bestFit="1" customWidth="1"/>
    <col min="11543" max="11543" width="7.7109375" style="211" bestFit="1" customWidth="1"/>
    <col min="11544" max="11544" width="14.140625" style="211" bestFit="1" customWidth="1"/>
    <col min="11545" max="11545" width="18" style="211" customWidth="1"/>
    <col min="11546" max="11546" width="21.42578125" style="211" bestFit="1" customWidth="1"/>
    <col min="11547" max="11547" width="13.28515625" style="211" bestFit="1" customWidth="1"/>
    <col min="11548" max="11548" width="15" style="211" bestFit="1" customWidth="1"/>
    <col min="11549" max="11549" width="9.140625" style="211"/>
    <col min="11550" max="11550" width="14.28515625" style="211" bestFit="1" customWidth="1"/>
    <col min="11551" max="11551" width="9.5703125" style="211" bestFit="1" customWidth="1"/>
    <col min="11552" max="11553" width="9.5703125" style="211" customWidth="1"/>
    <col min="11554" max="11554" width="7" style="211" bestFit="1" customWidth="1"/>
    <col min="11555" max="11555" width="9.28515625" style="211" bestFit="1" customWidth="1"/>
    <col min="11556" max="11556" width="10.140625" style="211" bestFit="1" customWidth="1"/>
    <col min="11557" max="11557" width="9.140625" style="211"/>
    <col min="11558" max="11558" width="14.140625" style="211" bestFit="1" customWidth="1"/>
    <col min="11559" max="11559" width="15.5703125" style="211" bestFit="1" customWidth="1"/>
    <col min="11560" max="11560" width="21.42578125" style="211" bestFit="1" customWidth="1"/>
    <col min="11561" max="11561" width="13.28515625" style="211" bestFit="1" customWidth="1"/>
    <col min="11562" max="11562" width="15" style="211" bestFit="1" customWidth="1"/>
    <col min="11563" max="11563" width="9.140625" style="211"/>
    <col min="11564" max="11564" width="14.7109375" style="211" bestFit="1" customWidth="1"/>
    <col min="11565" max="11565" width="10.85546875" style="211" bestFit="1" customWidth="1"/>
    <col min="11566" max="11570" width="9.140625" style="211"/>
    <col min="11571" max="11571" width="11.85546875" style="211" customWidth="1"/>
    <col min="11572" max="11572" width="7.85546875" style="211" bestFit="1" customWidth="1"/>
    <col min="11573" max="11573" width="14.42578125" style="211" bestFit="1" customWidth="1"/>
    <col min="11574" max="11574" width="16.85546875" style="211" bestFit="1" customWidth="1"/>
    <col min="11575" max="11575" width="21.42578125" style="211" bestFit="1" customWidth="1"/>
    <col min="11576" max="11576" width="9.7109375" style="211" bestFit="1" customWidth="1"/>
    <col min="11577" max="11577" width="15" style="211" bestFit="1" customWidth="1"/>
    <col min="11578" max="11578" width="9.140625" style="211"/>
    <col min="11579" max="11579" width="14.7109375" style="211" bestFit="1" customWidth="1"/>
    <col min="11580" max="11580" width="10.85546875" style="211" bestFit="1" customWidth="1"/>
    <col min="11581" max="11583" width="9.28515625" style="211" customWidth="1"/>
    <col min="11584" max="11584" width="9.140625" style="211"/>
    <col min="11585" max="11585" width="7.85546875" style="211" bestFit="1" customWidth="1"/>
    <col min="11586" max="11586" width="8.5703125" style="211" bestFit="1" customWidth="1"/>
    <col min="11587" max="11587" width="9.140625" style="211"/>
    <col min="11588" max="11588" width="14.42578125" style="211" bestFit="1" customWidth="1"/>
    <col min="11589" max="11589" width="16.85546875" style="211" bestFit="1" customWidth="1"/>
    <col min="11590" max="11590" width="21.42578125" style="211" bestFit="1" customWidth="1"/>
    <col min="11591" max="11591" width="9.7109375" style="211" bestFit="1" customWidth="1"/>
    <col min="11592" max="11592" width="15" style="211" bestFit="1" customWidth="1"/>
    <col min="11593" max="11776" width="9.140625" style="211"/>
    <col min="11777" max="11777" width="51.28515625" style="211" bestFit="1" customWidth="1"/>
    <col min="11778" max="11778" width="12.28515625" style="211" customWidth="1"/>
    <col min="11779" max="11779" width="14.28515625" style="211" customWidth="1"/>
    <col min="11780" max="11780" width="13.42578125" style="211" bestFit="1" customWidth="1"/>
    <col min="11781" max="11781" width="12.5703125" style="211" bestFit="1" customWidth="1"/>
    <col min="11782" max="11782" width="13" style="211" bestFit="1" customWidth="1"/>
    <col min="11783" max="11783" width="14" style="211" bestFit="1" customWidth="1"/>
    <col min="11784" max="11784" width="13" style="211" bestFit="1" customWidth="1"/>
    <col min="11785" max="11785" width="12.5703125" style="211" customWidth="1"/>
    <col min="11786" max="11786" width="16.28515625" style="211" bestFit="1" customWidth="1"/>
    <col min="11787" max="11787" width="15.5703125" style="211" customWidth="1"/>
    <col min="11788" max="11788" width="13" style="211" bestFit="1" customWidth="1"/>
    <col min="11789" max="11789" width="15.85546875" style="211" customWidth="1"/>
    <col min="11790" max="11790" width="15" style="211" bestFit="1" customWidth="1"/>
    <col min="11791" max="11791" width="9.140625" style="211"/>
    <col min="11792" max="11792" width="14.28515625" style="211" bestFit="1" customWidth="1"/>
    <col min="11793" max="11793" width="11.85546875" style="211" bestFit="1" customWidth="1"/>
    <col min="11794" max="11795" width="11.85546875" style="211" customWidth="1"/>
    <col min="11796" max="11796" width="7" style="211" bestFit="1" customWidth="1"/>
    <col min="11797" max="11798" width="12.5703125" style="211" bestFit="1" customWidth="1"/>
    <col min="11799" max="11799" width="7.7109375" style="211" bestFit="1" customWidth="1"/>
    <col min="11800" max="11800" width="14.140625" style="211" bestFit="1" customWidth="1"/>
    <col min="11801" max="11801" width="18" style="211" customWidth="1"/>
    <col min="11802" max="11802" width="21.42578125" style="211" bestFit="1" customWidth="1"/>
    <col min="11803" max="11803" width="13.28515625" style="211" bestFit="1" customWidth="1"/>
    <col min="11804" max="11804" width="15" style="211" bestFit="1" customWidth="1"/>
    <col min="11805" max="11805" width="9.140625" style="211"/>
    <col min="11806" max="11806" width="14.28515625" style="211" bestFit="1" customWidth="1"/>
    <col min="11807" max="11807" width="9.5703125" style="211" bestFit="1" customWidth="1"/>
    <col min="11808" max="11809" width="9.5703125" style="211" customWidth="1"/>
    <col min="11810" max="11810" width="7" style="211" bestFit="1" customWidth="1"/>
    <col min="11811" max="11811" width="9.28515625" style="211" bestFit="1" customWidth="1"/>
    <col min="11812" max="11812" width="10.140625" style="211" bestFit="1" customWidth="1"/>
    <col min="11813" max="11813" width="9.140625" style="211"/>
    <col min="11814" max="11814" width="14.140625" style="211" bestFit="1" customWidth="1"/>
    <col min="11815" max="11815" width="15.5703125" style="211" bestFit="1" customWidth="1"/>
    <col min="11816" max="11816" width="21.42578125" style="211" bestFit="1" customWidth="1"/>
    <col min="11817" max="11817" width="13.28515625" style="211" bestFit="1" customWidth="1"/>
    <col min="11818" max="11818" width="15" style="211" bestFit="1" customWidth="1"/>
    <col min="11819" max="11819" width="9.140625" style="211"/>
    <col min="11820" max="11820" width="14.7109375" style="211" bestFit="1" customWidth="1"/>
    <col min="11821" max="11821" width="10.85546875" style="211" bestFit="1" customWidth="1"/>
    <col min="11822" max="11826" width="9.140625" style="211"/>
    <col min="11827" max="11827" width="11.85546875" style="211" customWidth="1"/>
    <col min="11828" max="11828" width="7.85546875" style="211" bestFit="1" customWidth="1"/>
    <col min="11829" max="11829" width="14.42578125" style="211" bestFit="1" customWidth="1"/>
    <col min="11830" max="11830" width="16.85546875" style="211" bestFit="1" customWidth="1"/>
    <col min="11831" max="11831" width="21.42578125" style="211" bestFit="1" customWidth="1"/>
    <col min="11832" max="11832" width="9.7109375" style="211" bestFit="1" customWidth="1"/>
    <col min="11833" max="11833" width="15" style="211" bestFit="1" customWidth="1"/>
    <col min="11834" max="11834" width="9.140625" style="211"/>
    <col min="11835" max="11835" width="14.7109375" style="211" bestFit="1" customWidth="1"/>
    <col min="11836" max="11836" width="10.85546875" style="211" bestFit="1" customWidth="1"/>
    <col min="11837" max="11839" width="9.28515625" style="211" customWidth="1"/>
    <col min="11840" max="11840" width="9.140625" style="211"/>
    <col min="11841" max="11841" width="7.85546875" style="211" bestFit="1" customWidth="1"/>
    <col min="11842" max="11842" width="8.5703125" style="211" bestFit="1" customWidth="1"/>
    <col min="11843" max="11843" width="9.140625" style="211"/>
    <col min="11844" max="11844" width="14.42578125" style="211" bestFit="1" customWidth="1"/>
    <col min="11845" max="11845" width="16.85546875" style="211" bestFit="1" customWidth="1"/>
    <col min="11846" max="11846" width="21.42578125" style="211" bestFit="1" customWidth="1"/>
    <col min="11847" max="11847" width="9.7109375" style="211" bestFit="1" customWidth="1"/>
    <col min="11848" max="11848" width="15" style="211" bestFit="1" customWidth="1"/>
    <col min="11849" max="12032" width="9.140625" style="211"/>
    <col min="12033" max="12033" width="51.28515625" style="211" bestFit="1" customWidth="1"/>
    <col min="12034" max="12034" width="12.28515625" style="211" customWidth="1"/>
    <col min="12035" max="12035" width="14.28515625" style="211" customWidth="1"/>
    <col min="12036" max="12036" width="13.42578125" style="211" bestFit="1" customWidth="1"/>
    <col min="12037" max="12037" width="12.5703125" style="211" bestFit="1" customWidth="1"/>
    <col min="12038" max="12038" width="13" style="211" bestFit="1" customWidth="1"/>
    <col min="12039" max="12039" width="14" style="211" bestFit="1" customWidth="1"/>
    <col min="12040" max="12040" width="13" style="211" bestFit="1" customWidth="1"/>
    <col min="12041" max="12041" width="12.5703125" style="211" customWidth="1"/>
    <col min="12042" max="12042" width="16.28515625" style="211" bestFit="1" customWidth="1"/>
    <col min="12043" max="12043" width="15.5703125" style="211" customWidth="1"/>
    <col min="12044" max="12044" width="13" style="211" bestFit="1" customWidth="1"/>
    <col min="12045" max="12045" width="15.85546875" style="211" customWidth="1"/>
    <col min="12046" max="12046" width="15" style="211" bestFit="1" customWidth="1"/>
    <col min="12047" max="12047" width="9.140625" style="211"/>
    <col min="12048" max="12048" width="14.28515625" style="211" bestFit="1" customWidth="1"/>
    <col min="12049" max="12049" width="11.85546875" style="211" bestFit="1" customWidth="1"/>
    <col min="12050" max="12051" width="11.85546875" style="211" customWidth="1"/>
    <col min="12052" max="12052" width="7" style="211" bestFit="1" customWidth="1"/>
    <col min="12053" max="12054" width="12.5703125" style="211" bestFit="1" customWidth="1"/>
    <col min="12055" max="12055" width="7.7109375" style="211" bestFit="1" customWidth="1"/>
    <col min="12056" max="12056" width="14.140625" style="211" bestFit="1" customWidth="1"/>
    <col min="12057" max="12057" width="18" style="211" customWidth="1"/>
    <col min="12058" max="12058" width="21.42578125" style="211" bestFit="1" customWidth="1"/>
    <col min="12059" max="12059" width="13.28515625" style="211" bestFit="1" customWidth="1"/>
    <col min="12060" max="12060" width="15" style="211" bestFit="1" customWidth="1"/>
    <col min="12061" max="12061" width="9.140625" style="211"/>
    <col min="12062" max="12062" width="14.28515625" style="211" bestFit="1" customWidth="1"/>
    <col min="12063" max="12063" width="9.5703125" style="211" bestFit="1" customWidth="1"/>
    <col min="12064" max="12065" width="9.5703125" style="211" customWidth="1"/>
    <col min="12066" max="12066" width="7" style="211" bestFit="1" customWidth="1"/>
    <col min="12067" max="12067" width="9.28515625" style="211" bestFit="1" customWidth="1"/>
    <col min="12068" max="12068" width="10.140625" style="211" bestFit="1" customWidth="1"/>
    <col min="12069" max="12069" width="9.140625" style="211"/>
    <col min="12070" max="12070" width="14.140625" style="211" bestFit="1" customWidth="1"/>
    <col min="12071" max="12071" width="15.5703125" style="211" bestFit="1" customWidth="1"/>
    <col min="12072" max="12072" width="21.42578125" style="211" bestFit="1" customWidth="1"/>
    <col min="12073" max="12073" width="13.28515625" style="211" bestFit="1" customWidth="1"/>
    <col min="12074" max="12074" width="15" style="211" bestFit="1" customWidth="1"/>
    <col min="12075" max="12075" width="9.140625" style="211"/>
    <col min="12076" max="12076" width="14.7109375" style="211" bestFit="1" customWidth="1"/>
    <col min="12077" max="12077" width="10.85546875" style="211" bestFit="1" customWidth="1"/>
    <col min="12078" max="12082" width="9.140625" style="211"/>
    <col min="12083" max="12083" width="11.85546875" style="211" customWidth="1"/>
    <col min="12084" max="12084" width="7.85546875" style="211" bestFit="1" customWidth="1"/>
    <col min="12085" max="12085" width="14.42578125" style="211" bestFit="1" customWidth="1"/>
    <col min="12086" max="12086" width="16.85546875" style="211" bestFit="1" customWidth="1"/>
    <col min="12087" max="12087" width="21.42578125" style="211" bestFit="1" customWidth="1"/>
    <col min="12088" max="12088" width="9.7109375" style="211" bestFit="1" customWidth="1"/>
    <col min="12089" max="12089" width="15" style="211" bestFit="1" customWidth="1"/>
    <col min="12090" max="12090" width="9.140625" style="211"/>
    <col min="12091" max="12091" width="14.7109375" style="211" bestFit="1" customWidth="1"/>
    <col min="12092" max="12092" width="10.85546875" style="211" bestFit="1" customWidth="1"/>
    <col min="12093" max="12095" width="9.28515625" style="211" customWidth="1"/>
    <col min="12096" max="12096" width="9.140625" style="211"/>
    <col min="12097" max="12097" width="7.85546875" style="211" bestFit="1" customWidth="1"/>
    <col min="12098" max="12098" width="8.5703125" style="211" bestFit="1" customWidth="1"/>
    <col min="12099" max="12099" width="9.140625" style="211"/>
    <col min="12100" max="12100" width="14.42578125" style="211" bestFit="1" customWidth="1"/>
    <col min="12101" max="12101" width="16.85546875" style="211" bestFit="1" customWidth="1"/>
    <col min="12102" max="12102" width="21.42578125" style="211" bestFit="1" customWidth="1"/>
    <col min="12103" max="12103" width="9.7109375" style="211" bestFit="1" customWidth="1"/>
    <col min="12104" max="12104" width="15" style="211" bestFit="1" customWidth="1"/>
    <col min="12105" max="12288" width="9.140625" style="211"/>
    <col min="12289" max="12289" width="51.28515625" style="211" bestFit="1" customWidth="1"/>
    <col min="12290" max="12290" width="12.28515625" style="211" customWidth="1"/>
    <col min="12291" max="12291" width="14.28515625" style="211" customWidth="1"/>
    <col min="12292" max="12292" width="13.42578125" style="211" bestFit="1" customWidth="1"/>
    <col min="12293" max="12293" width="12.5703125" style="211" bestFit="1" customWidth="1"/>
    <col min="12294" max="12294" width="13" style="211" bestFit="1" customWidth="1"/>
    <col min="12295" max="12295" width="14" style="211" bestFit="1" customWidth="1"/>
    <col min="12296" max="12296" width="13" style="211" bestFit="1" customWidth="1"/>
    <col min="12297" max="12297" width="12.5703125" style="211" customWidth="1"/>
    <col min="12298" max="12298" width="16.28515625" style="211" bestFit="1" customWidth="1"/>
    <col min="12299" max="12299" width="15.5703125" style="211" customWidth="1"/>
    <col min="12300" max="12300" width="13" style="211" bestFit="1" customWidth="1"/>
    <col min="12301" max="12301" width="15.85546875" style="211" customWidth="1"/>
    <col min="12302" max="12302" width="15" style="211" bestFit="1" customWidth="1"/>
    <col min="12303" max="12303" width="9.140625" style="211"/>
    <col min="12304" max="12304" width="14.28515625" style="211" bestFit="1" customWidth="1"/>
    <col min="12305" max="12305" width="11.85546875" style="211" bestFit="1" customWidth="1"/>
    <col min="12306" max="12307" width="11.85546875" style="211" customWidth="1"/>
    <col min="12308" max="12308" width="7" style="211" bestFit="1" customWidth="1"/>
    <col min="12309" max="12310" width="12.5703125" style="211" bestFit="1" customWidth="1"/>
    <col min="12311" max="12311" width="7.7109375" style="211" bestFit="1" customWidth="1"/>
    <col min="12312" max="12312" width="14.140625" style="211" bestFit="1" customWidth="1"/>
    <col min="12313" max="12313" width="18" style="211" customWidth="1"/>
    <col min="12314" max="12314" width="21.42578125" style="211" bestFit="1" customWidth="1"/>
    <col min="12315" max="12315" width="13.28515625" style="211" bestFit="1" customWidth="1"/>
    <col min="12316" max="12316" width="15" style="211" bestFit="1" customWidth="1"/>
    <col min="12317" max="12317" width="9.140625" style="211"/>
    <col min="12318" max="12318" width="14.28515625" style="211" bestFit="1" customWidth="1"/>
    <col min="12319" max="12319" width="9.5703125" style="211" bestFit="1" customWidth="1"/>
    <col min="12320" max="12321" width="9.5703125" style="211" customWidth="1"/>
    <col min="12322" max="12322" width="7" style="211" bestFit="1" customWidth="1"/>
    <col min="12323" max="12323" width="9.28515625" style="211" bestFit="1" customWidth="1"/>
    <col min="12324" max="12324" width="10.140625" style="211" bestFit="1" customWidth="1"/>
    <col min="12325" max="12325" width="9.140625" style="211"/>
    <col min="12326" max="12326" width="14.140625" style="211" bestFit="1" customWidth="1"/>
    <col min="12327" max="12327" width="15.5703125" style="211" bestFit="1" customWidth="1"/>
    <col min="12328" max="12328" width="21.42578125" style="211" bestFit="1" customWidth="1"/>
    <col min="12329" max="12329" width="13.28515625" style="211" bestFit="1" customWidth="1"/>
    <col min="12330" max="12330" width="15" style="211" bestFit="1" customWidth="1"/>
    <col min="12331" max="12331" width="9.140625" style="211"/>
    <col min="12332" max="12332" width="14.7109375" style="211" bestFit="1" customWidth="1"/>
    <col min="12333" max="12333" width="10.85546875" style="211" bestFit="1" customWidth="1"/>
    <col min="12334" max="12338" width="9.140625" style="211"/>
    <col min="12339" max="12339" width="11.85546875" style="211" customWidth="1"/>
    <col min="12340" max="12340" width="7.85546875" style="211" bestFit="1" customWidth="1"/>
    <col min="12341" max="12341" width="14.42578125" style="211" bestFit="1" customWidth="1"/>
    <col min="12342" max="12342" width="16.85546875" style="211" bestFit="1" customWidth="1"/>
    <col min="12343" max="12343" width="21.42578125" style="211" bestFit="1" customWidth="1"/>
    <col min="12344" max="12344" width="9.7109375" style="211" bestFit="1" customWidth="1"/>
    <col min="12345" max="12345" width="15" style="211" bestFit="1" customWidth="1"/>
    <col min="12346" max="12346" width="9.140625" style="211"/>
    <col min="12347" max="12347" width="14.7109375" style="211" bestFit="1" customWidth="1"/>
    <col min="12348" max="12348" width="10.85546875" style="211" bestFit="1" customWidth="1"/>
    <col min="12349" max="12351" width="9.28515625" style="211" customWidth="1"/>
    <col min="12352" max="12352" width="9.140625" style="211"/>
    <col min="12353" max="12353" width="7.85546875" style="211" bestFit="1" customWidth="1"/>
    <col min="12354" max="12354" width="8.5703125" style="211" bestFit="1" customWidth="1"/>
    <col min="12355" max="12355" width="9.140625" style="211"/>
    <col min="12356" max="12356" width="14.42578125" style="211" bestFit="1" customWidth="1"/>
    <col min="12357" max="12357" width="16.85546875" style="211" bestFit="1" customWidth="1"/>
    <col min="12358" max="12358" width="21.42578125" style="211" bestFit="1" customWidth="1"/>
    <col min="12359" max="12359" width="9.7109375" style="211" bestFit="1" customWidth="1"/>
    <col min="12360" max="12360" width="15" style="211" bestFit="1" customWidth="1"/>
    <col min="12361" max="12544" width="9.140625" style="211"/>
    <col min="12545" max="12545" width="51.28515625" style="211" bestFit="1" customWidth="1"/>
    <col min="12546" max="12546" width="12.28515625" style="211" customWidth="1"/>
    <col min="12547" max="12547" width="14.28515625" style="211" customWidth="1"/>
    <col min="12548" max="12548" width="13.42578125" style="211" bestFit="1" customWidth="1"/>
    <col min="12549" max="12549" width="12.5703125" style="211" bestFit="1" customWidth="1"/>
    <col min="12550" max="12550" width="13" style="211" bestFit="1" customWidth="1"/>
    <col min="12551" max="12551" width="14" style="211" bestFit="1" customWidth="1"/>
    <col min="12552" max="12552" width="13" style="211" bestFit="1" customWidth="1"/>
    <col min="12553" max="12553" width="12.5703125" style="211" customWidth="1"/>
    <col min="12554" max="12554" width="16.28515625" style="211" bestFit="1" customWidth="1"/>
    <col min="12555" max="12555" width="15.5703125" style="211" customWidth="1"/>
    <col min="12556" max="12556" width="13" style="211" bestFit="1" customWidth="1"/>
    <col min="12557" max="12557" width="15.85546875" style="211" customWidth="1"/>
    <col min="12558" max="12558" width="15" style="211" bestFit="1" customWidth="1"/>
    <col min="12559" max="12559" width="9.140625" style="211"/>
    <col min="12560" max="12560" width="14.28515625" style="211" bestFit="1" customWidth="1"/>
    <col min="12561" max="12561" width="11.85546875" style="211" bestFit="1" customWidth="1"/>
    <col min="12562" max="12563" width="11.85546875" style="211" customWidth="1"/>
    <col min="12564" max="12564" width="7" style="211" bestFit="1" customWidth="1"/>
    <col min="12565" max="12566" width="12.5703125" style="211" bestFit="1" customWidth="1"/>
    <col min="12567" max="12567" width="7.7109375" style="211" bestFit="1" customWidth="1"/>
    <col min="12568" max="12568" width="14.140625" style="211" bestFit="1" customWidth="1"/>
    <col min="12569" max="12569" width="18" style="211" customWidth="1"/>
    <col min="12570" max="12570" width="21.42578125" style="211" bestFit="1" customWidth="1"/>
    <col min="12571" max="12571" width="13.28515625" style="211" bestFit="1" customWidth="1"/>
    <col min="12572" max="12572" width="15" style="211" bestFit="1" customWidth="1"/>
    <col min="12573" max="12573" width="9.140625" style="211"/>
    <col min="12574" max="12574" width="14.28515625" style="211" bestFit="1" customWidth="1"/>
    <col min="12575" max="12575" width="9.5703125" style="211" bestFit="1" customWidth="1"/>
    <col min="12576" max="12577" width="9.5703125" style="211" customWidth="1"/>
    <col min="12578" max="12578" width="7" style="211" bestFit="1" customWidth="1"/>
    <col min="12579" max="12579" width="9.28515625" style="211" bestFit="1" customWidth="1"/>
    <col min="12580" max="12580" width="10.140625" style="211" bestFit="1" customWidth="1"/>
    <col min="12581" max="12581" width="9.140625" style="211"/>
    <col min="12582" max="12582" width="14.140625" style="211" bestFit="1" customWidth="1"/>
    <col min="12583" max="12583" width="15.5703125" style="211" bestFit="1" customWidth="1"/>
    <col min="12584" max="12584" width="21.42578125" style="211" bestFit="1" customWidth="1"/>
    <col min="12585" max="12585" width="13.28515625" style="211" bestFit="1" customWidth="1"/>
    <col min="12586" max="12586" width="15" style="211" bestFit="1" customWidth="1"/>
    <col min="12587" max="12587" width="9.140625" style="211"/>
    <col min="12588" max="12588" width="14.7109375" style="211" bestFit="1" customWidth="1"/>
    <col min="12589" max="12589" width="10.85546875" style="211" bestFit="1" customWidth="1"/>
    <col min="12590" max="12594" width="9.140625" style="211"/>
    <col min="12595" max="12595" width="11.85546875" style="211" customWidth="1"/>
    <col min="12596" max="12596" width="7.85546875" style="211" bestFit="1" customWidth="1"/>
    <col min="12597" max="12597" width="14.42578125" style="211" bestFit="1" customWidth="1"/>
    <col min="12598" max="12598" width="16.85546875" style="211" bestFit="1" customWidth="1"/>
    <col min="12599" max="12599" width="21.42578125" style="211" bestFit="1" customWidth="1"/>
    <col min="12600" max="12600" width="9.7109375" style="211" bestFit="1" customWidth="1"/>
    <col min="12601" max="12601" width="15" style="211" bestFit="1" customWidth="1"/>
    <col min="12602" max="12602" width="9.140625" style="211"/>
    <col min="12603" max="12603" width="14.7109375" style="211" bestFit="1" customWidth="1"/>
    <col min="12604" max="12604" width="10.85546875" style="211" bestFit="1" customWidth="1"/>
    <col min="12605" max="12607" width="9.28515625" style="211" customWidth="1"/>
    <col min="12608" max="12608" width="9.140625" style="211"/>
    <col min="12609" max="12609" width="7.85546875" style="211" bestFit="1" customWidth="1"/>
    <col min="12610" max="12610" width="8.5703125" style="211" bestFit="1" customWidth="1"/>
    <col min="12611" max="12611" width="9.140625" style="211"/>
    <col min="12612" max="12612" width="14.42578125" style="211" bestFit="1" customWidth="1"/>
    <col min="12613" max="12613" width="16.85546875" style="211" bestFit="1" customWidth="1"/>
    <col min="12614" max="12614" width="21.42578125" style="211" bestFit="1" customWidth="1"/>
    <col min="12615" max="12615" width="9.7109375" style="211" bestFit="1" customWidth="1"/>
    <col min="12616" max="12616" width="15" style="211" bestFit="1" customWidth="1"/>
    <col min="12617" max="12800" width="9.140625" style="211"/>
    <col min="12801" max="12801" width="51.28515625" style="211" bestFit="1" customWidth="1"/>
    <col min="12802" max="12802" width="12.28515625" style="211" customWidth="1"/>
    <col min="12803" max="12803" width="14.28515625" style="211" customWidth="1"/>
    <col min="12804" max="12804" width="13.42578125" style="211" bestFit="1" customWidth="1"/>
    <col min="12805" max="12805" width="12.5703125" style="211" bestFit="1" customWidth="1"/>
    <col min="12806" max="12806" width="13" style="211" bestFit="1" customWidth="1"/>
    <col min="12807" max="12807" width="14" style="211" bestFit="1" customWidth="1"/>
    <col min="12808" max="12808" width="13" style="211" bestFit="1" customWidth="1"/>
    <col min="12809" max="12809" width="12.5703125" style="211" customWidth="1"/>
    <col min="12810" max="12810" width="16.28515625" style="211" bestFit="1" customWidth="1"/>
    <col min="12811" max="12811" width="15.5703125" style="211" customWidth="1"/>
    <col min="12812" max="12812" width="13" style="211" bestFit="1" customWidth="1"/>
    <col min="12813" max="12813" width="15.85546875" style="211" customWidth="1"/>
    <col min="12814" max="12814" width="15" style="211" bestFit="1" customWidth="1"/>
    <col min="12815" max="12815" width="9.140625" style="211"/>
    <col min="12816" max="12816" width="14.28515625" style="211" bestFit="1" customWidth="1"/>
    <col min="12817" max="12817" width="11.85546875" style="211" bestFit="1" customWidth="1"/>
    <col min="12818" max="12819" width="11.85546875" style="211" customWidth="1"/>
    <col min="12820" max="12820" width="7" style="211" bestFit="1" customWidth="1"/>
    <col min="12821" max="12822" width="12.5703125" style="211" bestFit="1" customWidth="1"/>
    <col min="12823" max="12823" width="7.7109375" style="211" bestFit="1" customWidth="1"/>
    <col min="12824" max="12824" width="14.140625" style="211" bestFit="1" customWidth="1"/>
    <col min="12825" max="12825" width="18" style="211" customWidth="1"/>
    <col min="12826" max="12826" width="21.42578125" style="211" bestFit="1" customWidth="1"/>
    <col min="12827" max="12827" width="13.28515625" style="211" bestFit="1" customWidth="1"/>
    <col min="12828" max="12828" width="15" style="211" bestFit="1" customWidth="1"/>
    <col min="12829" max="12829" width="9.140625" style="211"/>
    <col min="12830" max="12830" width="14.28515625" style="211" bestFit="1" customWidth="1"/>
    <col min="12831" max="12831" width="9.5703125" style="211" bestFit="1" customWidth="1"/>
    <col min="12832" max="12833" width="9.5703125" style="211" customWidth="1"/>
    <col min="12834" max="12834" width="7" style="211" bestFit="1" customWidth="1"/>
    <col min="12835" max="12835" width="9.28515625" style="211" bestFit="1" customWidth="1"/>
    <col min="12836" max="12836" width="10.140625" style="211" bestFit="1" customWidth="1"/>
    <col min="12837" max="12837" width="9.140625" style="211"/>
    <col min="12838" max="12838" width="14.140625" style="211" bestFit="1" customWidth="1"/>
    <col min="12839" max="12839" width="15.5703125" style="211" bestFit="1" customWidth="1"/>
    <col min="12840" max="12840" width="21.42578125" style="211" bestFit="1" customWidth="1"/>
    <col min="12841" max="12841" width="13.28515625" style="211" bestFit="1" customWidth="1"/>
    <col min="12842" max="12842" width="15" style="211" bestFit="1" customWidth="1"/>
    <col min="12843" max="12843" width="9.140625" style="211"/>
    <col min="12844" max="12844" width="14.7109375" style="211" bestFit="1" customWidth="1"/>
    <col min="12845" max="12845" width="10.85546875" style="211" bestFit="1" customWidth="1"/>
    <col min="12846" max="12850" width="9.140625" style="211"/>
    <col min="12851" max="12851" width="11.85546875" style="211" customWidth="1"/>
    <col min="12852" max="12852" width="7.85546875" style="211" bestFit="1" customWidth="1"/>
    <col min="12853" max="12853" width="14.42578125" style="211" bestFit="1" customWidth="1"/>
    <col min="12854" max="12854" width="16.85546875" style="211" bestFit="1" customWidth="1"/>
    <col min="12855" max="12855" width="21.42578125" style="211" bestFit="1" customWidth="1"/>
    <col min="12856" max="12856" width="9.7109375" style="211" bestFit="1" customWidth="1"/>
    <col min="12857" max="12857" width="15" style="211" bestFit="1" customWidth="1"/>
    <col min="12858" max="12858" width="9.140625" style="211"/>
    <col min="12859" max="12859" width="14.7109375" style="211" bestFit="1" customWidth="1"/>
    <col min="12860" max="12860" width="10.85546875" style="211" bestFit="1" customWidth="1"/>
    <col min="12861" max="12863" width="9.28515625" style="211" customWidth="1"/>
    <col min="12864" max="12864" width="9.140625" style="211"/>
    <col min="12865" max="12865" width="7.85546875" style="211" bestFit="1" customWidth="1"/>
    <col min="12866" max="12866" width="8.5703125" style="211" bestFit="1" customWidth="1"/>
    <col min="12867" max="12867" width="9.140625" style="211"/>
    <col min="12868" max="12868" width="14.42578125" style="211" bestFit="1" customWidth="1"/>
    <col min="12869" max="12869" width="16.85546875" style="211" bestFit="1" customWidth="1"/>
    <col min="12870" max="12870" width="21.42578125" style="211" bestFit="1" customWidth="1"/>
    <col min="12871" max="12871" width="9.7109375" style="211" bestFit="1" customWidth="1"/>
    <col min="12872" max="12872" width="15" style="211" bestFit="1" customWidth="1"/>
    <col min="12873" max="13056" width="9.140625" style="211"/>
    <col min="13057" max="13057" width="51.28515625" style="211" bestFit="1" customWidth="1"/>
    <col min="13058" max="13058" width="12.28515625" style="211" customWidth="1"/>
    <col min="13059" max="13059" width="14.28515625" style="211" customWidth="1"/>
    <col min="13060" max="13060" width="13.42578125" style="211" bestFit="1" customWidth="1"/>
    <col min="13061" max="13061" width="12.5703125" style="211" bestFit="1" customWidth="1"/>
    <col min="13062" max="13062" width="13" style="211" bestFit="1" customWidth="1"/>
    <col min="13063" max="13063" width="14" style="211" bestFit="1" customWidth="1"/>
    <col min="13064" max="13064" width="13" style="211" bestFit="1" customWidth="1"/>
    <col min="13065" max="13065" width="12.5703125" style="211" customWidth="1"/>
    <col min="13066" max="13066" width="16.28515625" style="211" bestFit="1" customWidth="1"/>
    <col min="13067" max="13067" width="15.5703125" style="211" customWidth="1"/>
    <col min="13068" max="13068" width="13" style="211" bestFit="1" customWidth="1"/>
    <col min="13069" max="13069" width="15.85546875" style="211" customWidth="1"/>
    <col min="13070" max="13070" width="15" style="211" bestFit="1" customWidth="1"/>
    <col min="13071" max="13071" width="9.140625" style="211"/>
    <col min="13072" max="13072" width="14.28515625" style="211" bestFit="1" customWidth="1"/>
    <col min="13073" max="13073" width="11.85546875" style="211" bestFit="1" customWidth="1"/>
    <col min="13074" max="13075" width="11.85546875" style="211" customWidth="1"/>
    <col min="13076" max="13076" width="7" style="211" bestFit="1" customWidth="1"/>
    <col min="13077" max="13078" width="12.5703125" style="211" bestFit="1" customWidth="1"/>
    <col min="13079" max="13079" width="7.7109375" style="211" bestFit="1" customWidth="1"/>
    <col min="13080" max="13080" width="14.140625" style="211" bestFit="1" customWidth="1"/>
    <col min="13081" max="13081" width="18" style="211" customWidth="1"/>
    <col min="13082" max="13082" width="21.42578125" style="211" bestFit="1" customWidth="1"/>
    <col min="13083" max="13083" width="13.28515625" style="211" bestFit="1" customWidth="1"/>
    <col min="13084" max="13084" width="15" style="211" bestFit="1" customWidth="1"/>
    <col min="13085" max="13085" width="9.140625" style="211"/>
    <col min="13086" max="13086" width="14.28515625" style="211" bestFit="1" customWidth="1"/>
    <col min="13087" max="13087" width="9.5703125" style="211" bestFit="1" customWidth="1"/>
    <col min="13088" max="13089" width="9.5703125" style="211" customWidth="1"/>
    <col min="13090" max="13090" width="7" style="211" bestFit="1" customWidth="1"/>
    <col min="13091" max="13091" width="9.28515625" style="211" bestFit="1" customWidth="1"/>
    <col min="13092" max="13092" width="10.140625" style="211" bestFit="1" customWidth="1"/>
    <col min="13093" max="13093" width="9.140625" style="211"/>
    <col min="13094" max="13094" width="14.140625" style="211" bestFit="1" customWidth="1"/>
    <col min="13095" max="13095" width="15.5703125" style="211" bestFit="1" customWidth="1"/>
    <col min="13096" max="13096" width="21.42578125" style="211" bestFit="1" customWidth="1"/>
    <col min="13097" max="13097" width="13.28515625" style="211" bestFit="1" customWidth="1"/>
    <col min="13098" max="13098" width="15" style="211" bestFit="1" customWidth="1"/>
    <col min="13099" max="13099" width="9.140625" style="211"/>
    <col min="13100" max="13100" width="14.7109375" style="211" bestFit="1" customWidth="1"/>
    <col min="13101" max="13101" width="10.85546875" style="211" bestFit="1" customWidth="1"/>
    <col min="13102" max="13106" width="9.140625" style="211"/>
    <col min="13107" max="13107" width="11.85546875" style="211" customWidth="1"/>
    <col min="13108" max="13108" width="7.85546875" style="211" bestFit="1" customWidth="1"/>
    <col min="13109" max="13109" width="14.42578125" style="211" bestFit="1" customWidth="1"/>
    <col min="13110" max="13110" width="16.85546875" style="211" bestFit="1" customWidth="1"/>
    <col min="13111" max="13111" width="21.42578125" style="211" bestFit="1" customWidth="1"/>
    <col min="13112" max="13112" width="9.7109375" style="211" bestFit="1" customWidth="1"/>
    <col min="13113" max="13113" width="15" style="211" bestFit="1" customWidth="1"/>
    <col min="13114" max="13114" width="9.140625" style="211"/>
    <col min="13115" max="13115" width="14.7109375" style="211" bestFit="1" customWidth="1"/>
    <col min="13116" max="13116" width="10.85546875" style="211" bestFit="1" customWidth="1"/>
    <col min="13117" max="13119" width="9.28515625" style="211" customWidth="1"/>
    <col min="13120" max="13120" width="9.140625" style="211"/>
    <col min="13121" max="13121" width="7.85546875" style="211" bestFit="1" customWidth="1"/>
    <col min="13122" max="13122" width="8.5703125" style="211" bestFit="1" customWidth="1"/>
    <col min="13123" max="13123" width="9.140625" style="211"/>
    <col min="13124" max="13124" width="14.42578125" style="211" bestFit="1" customWidth="1"/>
    <col min="13125" max="13125" width="16.85546875" style="211" bestFit="1" customWidth="1"/>
    <col min="13126" max="13126" width="21.42578125" style="211" bestFit="1" customWidth="1"/>
    <col min="13127" max="13127" width="9.7109375" style="211" bestFit="1" customWidth="1"/>
    <col min="13128" max="13128" width="15" style="211" bestFit="1" customWidth="1"/>
    <col min="13129" max="13312" width="9.140625" style="211"/>
    <col min="13313" max="13313" width="51.28515625" style="211" bestFit="1" customWidth="1"/>
    <col min="13314" max="13314" width="12.28515625" style="211" customWidth="1"/>
    <col min="13315" max="13315" width="14.28515625" style="211" customWidth="1"/>
    <col min="13316" max="13316" width="13.42578125" style="211" bestFit="1" customWidth="1"/>
    <col min="13317" max="13317" width="12.5703125" style="211" bestFit="1" customWidth="1"/>
    <col min="13318" max="13318" width="13" style="211" bestFit="1" customWidth="1"/>
    <col min="13319" max="13319" width="14" style="211" bestFit="1" customWidth="1"/>
    <col min="13320" max="13320" width="13" style="211" bestFit="1" customWidth="1"/>
    <col min="13321" max="13321" width="12.5703125" style="211" customWidth="1"/>
    <col min="13322" max="13322" width="16.28515625" style="211" bestFit="1" customWidth="1"/>
    <col min="13323" max="13323" width="15.5703125" style="211" customWidth="1"/>
    <col min="13324" max="13324" width="13" style="211" bestFit="1" customWidth="1"/>
    <col min="13325" max="13325" width="15.85546875" style="211" customWidth="1"/>
    <col min="13326" max="13326" width="15" style="211" bestFit="1" customWidth="1"/>
    <col min="13327" max="13327" width="9.140625" style="211"/>
    <col min="13328" max="13328" width="14.28515625" style="211" bestFit="1" customWidth="1"/>
    <col min="13329" max="13329" width="11.85546875" style="211" bestFit="1" customWidth="1"/>
    <col min="13330" max="13331" width="11.85546875" style="211" customWidth="1"/>
    <col min="13332" max="13332" width="7" style="211" bestFit="1" customWidth="1"/>
    <col min="13333" max="13334" width="12.5703125" style="211" bestFit="1" customWidth="1"/>
    <col min="13335" max="13335" width="7.7109375" style="211" bestFit="1" customWidth="1"/>
    <col min="13336" max="13336" width="14.140625" style="211" bestFit="1" customWidth="1"/>
    <col min="13337" max="13337" width="18" style="211" customWidth="1"/>
    <col min="13338" max="13338" width="21.42578125" style="211" bestFit="1" customWidth="1"/>
    <col min="13339" max="13339" width="13.28515625" style="211" bestFit="1" customWidth="1"/>
    <col min="13340" max="13340" width="15" style="211" bestFit="1" customWidth="1"/>
    <col min="13341" max="13341" width="9.140625" style="211"/>
    <col min="13342" max="13342" width="14.28515625" style="211" bestFit="1" customWidth="1"/>
    <col min="13343" max="13343" width="9.5703125" style="211" bestFit="1" customWidth="1"/>
    <col min="13344" max="13345" width="9.5703125" style="211" customWidth="1"/>
    <col min="13346" max="13346" width="7" style="211" bestFit="1" customWidth="1"/>
    <col min="13347" max="13347" width="9.28515625" style="211" bestFit="1" customWidth="1"/>
    <col min="13348" max="13348" width="10.140625" style="211" bestFit="1" customWidth="1"/>
    <col min="13349" max="13349" width="9.140625" style="211"/>
    <col min="13350" max="13350" width="14.140625" style="211" bestFit="1" customWidth="1"/>
    <col min="13351" max="13351" width="15.5703125" style="211" bestFit="1" customWidth="1"/>
    <col min="13352" max="13352" width="21.42578125" style="211" bestFit="1" customWidth="1"/>
    <col min="13353" max="13353" width="13.28515625" style="211" bestFit="1" customWidth="1"/>
    <col min="13354" max="13354" width="15" style="211" bestFit="1" customWidth="1"/>
    <col min="13355" max="13355" width="9.140625" style="211"/>
    <col min="13356" max="13356" width="14.7109375" style="211" bestFit="1" customWidth="1"/>
    <col min="13357" max="13357" width="10.85546875" style="211" bestFit="1" customWidth="1"/>
    <col min="13358" max="13362" width="9.140625" style="211"/>
    <col min="13363" max="13363" width="11.85546875" style="211" customWidth="1"/>
    <col min="13364" max="13364" width="7.85546875" style="211" bestFit="1" customWidth="1"/>
    <col min="13365" max="13365" width="14.42578125" style="211" bestFit="1" customWidth="1"/>
    <col min="13366" max="13366" width="16.85546875" style="211" bestFit="1" customWidth="1"/>
    <col min="13367" max="13367" width="21.42578125" style="211" bestFit="1" customWidth="1"/>
    <col min="13368" max="13368" width="9.7109375" style="211" bestFit="1" customWidth="1"/>
    <col min="13369" max="13369" width="15" style="211" bestFit="1" customWidth="1"/>
    <col min="13370" max="13370" width="9.140625" style="211"/>
    <col min="13371" max="13371" width="14.7109375" style="211" bestFit="1" customWidth="1"/>
    <col min="13372" max="13372" width="10.85546875" style="211" bestFit="1" customWidth="1"/>
    <col min="13373" max="13375" width="9.28515625" style="211" customWidth="1"/>
    <col min="13376" max="13376" width="9.140625" style="211"/>
    <col min="13377" max="13377" width="7.85546875" style="211" bestFit="1" customWidth="1"/>
    <col min="13378" max="13378" width="8.5703125" style="211" bestFit="1" customWidth="1"/>
    <col min="13379" max="13379" width="9.140625" style="211"/>
    <col min="13380" max="13380" width="14.42578125" style="211" bestFit="1" customWidth="1"/>
    <col min="13381" max="13381" width="16.85546875" style="211" bestFit="1" customWidth="1"/>
    <col min="13382" max="13382" width="21.42578125" style="211" bestFit="1" customWidth="1"/>
    <col min="13383" max="13383" width="9.7109375" style="211" bestFit="1" customWidth="1"/>
    <col min="13384" max="13384" width="15" style="211" bestFit="1" customWidth="1"/>
    <col min="13385" max="13568" width="9.140625" style="211"/>
    <col min="13569" max="13569" width="51.28515625" style="211" bestFit="1" customWidth="1"/>
    <col min="13570" max="13570" width="12.28515625" style="211" customWidth="1"/>
    <col min="13571" max="13571" width="14.28515625" style="211" customWidth="1"/>
    <col min="13572" max="13572" width="13.42578125" style="211" bestFit="1" customWidth="1"/>
    <col min="13573" max="13573" width="12.5703125" style="211" bestFit="1" customWidth="1"/>
    <col min="13574" max="13574" width="13" style="211" bestFit="1" customWidth="1"/>
    <col min="13575" max="13575" width="14" style="211" bestFit="1" customWidth="1"/>
    <col min="13576" max="13576" width="13" style="211" bestFit="1" customWidth="1"/>
    <col min="13577" max="13577" width="12.5703125" style="211" customWidth="1"/>
    <col min="13578" max="13578" width="16.28515625" style="211" bestFit="1" customWidth="1"/>
    <col min="13579" max="13579" width="15.5703125" style="211" customWidth="1"/>
    <col min="13580" max="13580" width="13" style="211" bestFit="1" customWidth="1"/>
    <col min="13581" max="13581" width="15.85546875" style="211" customWidth="1"/>
    <col min="13582" max="13582" width="15" style="211" bestFit="1" customWidth="1"/>
    <col min="13583" max="13583" width="9.140625" style="211"/>
    <col min="13584" max="13584" width="14.28515625" style="211" bestFit="1" customWidth="1"/>
    <col min="13585" max="13585" width="11.85546875" style="211" bestFit="1" customWidth="1"/>
    <col min="13586" max="13587" width="11.85546875" style="211" customWidth="1"/>
    <col min="13588" max="13588" width="7" style="211" bestFit="1" customWidth="1"/>
    <col min="13589" max="13590" width="12.5703125" style="211" bestFit="1" customWidth="1"/>
    <col min="13591" max="13591" width="7.7109375" style="211" bestFit="1" customWidth="1"/>
    <col min="13592" max="13592" width="14.140625" style="211" bestFit="1" customWidth="1"/>
    <col min="13593" max="13593" width="18" style="211" customWidth="1"/>
    <col min="13594" max="13594" width="21.42578125" style="211" bestFit="1" customWidth="1"/>
    <col min="13595" max="13595" width="13.28515625" style="211" bestFit="1" customWidth="1"/>
    <col min="13596" max="13596" width="15" style="211" bestFit="1" customWidth="1"/>
    <col min="13597" max="13597" width="9.140625" style="211"/>
    <col min="13598" max="13598" width="14.28515625" style="211" bestFit="1" customWidth="1"/>
    <col min="13599" max="13599" width="9.5703125" style="211" bestFit="1" customWidth="1"/>
    <col min="13600" max="13601" width="9.5703125" style="211" customWidth="1"/>
    <col min="13602" max="13602" width="7" style="211" bestFit="1" customWidth="1"/>
    <col min="13603" max="13603" width="9.28515625" style="211" bestFit="1" customWidth="1"/>
    <col min="13604" max="13604" width="10.140625" style="211" bestFit="1" customWidth="1"/>
    <col min="13605" max="13605" width="9.140625" style="211"/>
    <col min="13606" max="13606" width="14.140625" style="211" bestFit="1" customWidth="1"/>
    <col min="13607" max="13607" width="15.5703125" style="211" bestFit="1" customWidth="1"/>
    <col min="13608" max="13608" width="21.42578125" style="211" bestFit="1" customWidth="1"/>
    <col min="13609" max="13609" width="13.28515625" style="211" bestFit="1" customWidth="1"/>
    <col min="13610" max="13610" width="15" style="211" bestFit="1" customWidth="1"/>
    <col min="13611" max="13611" width="9.140625" style="211"/>
    <col min="13612" max="13612" width="14.7109375" style="211" bestFit="1" customWidth="1"/>
    <col min="13613" max="13613" width="10.85546875" style="211" bestFit="1" customWidth="1"/>
    <col min="13614" max="13618" width="9.140625" style="211"/>
    <col min="13619" max="13619" width="11.85546875" style="211" customWidth="1"/>
    <col min="13620" max="13620" width="7.85546875" style="211" bestFit="1" customWidth="1"/>
    <col min="13621" max="13621" width="14.42578125" style="211" bestFit="1" customWidth="1"/>
    <col min="13622" max="13622" width="16.85546875" style="211" bestFit="1" customWidth="1"/>
    <col min="13623" max="13623" width="21.42578125" style="211" bestFit="1" customWidth="1"/>
    <col min="13624" max="13624" width="9.7109375" style="211" bestFit="1" customWidth="1"/>
    <col min="13625" max="13625" width="15" style="211" bestFit="1" customWidth="1"/>
    <col min="13626" max="13626" width="9.140625" style="211"/>
    <col min="13627" max="13627" width="14.7109375" style="211" bestFit="1" customWidth="1"/>
    <col min="13628" max="13628" width="10.85546875" style="211" bestFit="1" customWidth="1"/>
    <col min="13629" max="13631" width="9.28515625" style="211" customWidth="1"/>
    <col min="13632" max="13632" width="9.140625" style="211"/>
    <col min="13633" max="13633" width="7.85546875" style="211" bestFit="1" customWidth="1"/>
    <col min="13634" max="13634" width="8.5703125" style="211" bestFit="1" customWidth="1"/>
    <col min="13635" max="13635" width="9.140625" style="211"/>
    <col min="13636" max="13636" width="14.42578125" style="211" bestFit="1" customWidth="1"/>
    <col min="13637" max="13637" width="16.85546875" style="211" bestFit="1" customWidth="1"/>
    <col min="13638" max="13638" width="21.42578125" style="211" bestFit="1" customWidth="1"/>
    <col min="13639" max="13639" width="9.7109375" style="211" bestFit="1" customWidth="1"/>
    <col min="13640" max="13640" width="15" style="211" bestFit="1" customWidth="1"/>
    <col min="13641" max="13824" width="9.140625" style="211"/>
    <col min="13825" max="13825" width="51.28515625" style="211" bestFit="1" customWidth="1"/>
    <col min="13826" max="13826" width="12.28515625" style="211" customWidth="1"/>
    <col min="13827" max="13827" width="14.28515625" style="211" customWidth="1"/>
    <col min="13828" max="13828" width="13.42578125" style="211" bestFit="1" customWidth="1"/>
    <col min="13829" max="13829" width="12.5703125" style="211" bestFit="1" customWidth="1"/>
    <col min="13830" max="13830" width="13" style="211" bestFit="1" customWidth="1"/>
    <col min="13831" max="13831" width="14" style="211" bestFit="1" customWidth="1"/>
    <col min="13832" max="13832" width="13" style="211" bestFit="1" customWidth="1"/>
    <col min="13833" max="13833" width="12.5703125" style="211" customWidth="1"/>
    <col min="13834" max="13834" width="16.28515625" style="211" bestFit="1" customWidth="1"/>
    <col min="13835" max="13835" width="15.5703125" style="211" customWidth="1"/>
    <col min="13836" max="13836" width="13" style="211" bestFit="1" customWidth="1"/>
    <col min="13837" max="13837" width="15.85546875" style="211" customWidth="1"/>
    <col min="13838" max="13838" width="15" style="211" bestFit="1" customWidth="1"/>
    <col min="13839" max="13839" width="9.140625" style="211"/>
    <col min="13840" max="13840" width="14.28515625" style="211" bestFit="1" customWidth="1"/>
    <col min="13841" max="13841" width="11.85546875" style="211" bestFit="1" customWidth="1"/>
    <col min="13842" max="13843" width="11.85546875" style="211" customWidth="1"/>
    <col min="13844" max="13844" width="7" style="211" bestFit="1" customWidth="1"/>
    <col min="13845" max="13846" width="12.5703125" style="211" bestFit="1" customWidth="1"/>
    <col min="13847" max="13847" width="7.7109375" style="211" bestFit="1" customWidth="1"/>
    <col min="13848" max="13848" width="14.140625" style="211" bestFit="1" customWidth="1"/>
    <col min="13849" max="13849" width="18" style="211" customWidth="1"/>
    <col min="13850" max="13850" width="21.42578125" style="211" bestFit="1" customWidth="1"/>
    <col min="13851" max="13851" width="13.28515625" style="211" bestFit="1" customWidth="1"/>
    <col min="13852" max="13852" width="15" style="211" bestFit="1" customWidth="1"/>
    <col min="13853" max="13853" width="9.140625" style="211"/>
    <col min="13854" max="13854" width="14.28515625" style="211" bestFit="1" customWidth="1"/>
    <col min="13855" max="13855" width="9.5703125" style="211" bestFit="1" customWidth="1"/>
    <col min="13856" max="13857" width="9.5703125" style="211" customWidth="1"/>
    <col min="13858" max="13858" width="7" style="211" bestFit="1" customWidth="1"/>
    <col min="13859" max="13859" width="9.28515625" style="211" bestFit="1" customWidth="1"/>
    <col min="13860" max="13860" width="10.140625" style="211" bestFit="1" customWidth="1"/>
    <col min="13861" max="13861" width="9.140625" style="211"/>
    <col min="13862" max="13862" width="14.140625" style="211" bestFit="1" customWidth="1"/>
    <col min="13863" max="13863" width="15.5703125" style="211" bestFit="1" customWidth="1"/>
    <col min="13864" max="13864" width="21.42578125" style="211" bestFit="1" customWidth="1"/>
    <col min="13865" max="13865" width="13.28515625" style="211" bestFit="1" customWidth="1"/>
    <col min="13866" max="13866" width="15" style="211" bestFit="1" customWidth="1"/>
    <col min="13867" max="13867" width="9.140625" style="211"/>
    <col min="13868" max="13868" width="14.7109375" style="211" bestFit="1" customWidth="1"/>
    <col min="13869" max="13869" width="10.85546875" style="211" bestFit="1" customWidth="1"/>
    <col min="13870" max="13874" width="9.140625" style="211"/>
    <col min="13875" max="13875" width="11.85546875" style="211" customWidth="1"/>
    <col min="13876" max="13876" width="7.85546875" style="211" bestFit="1" customWidth="1"/>
    <col min="13877" max="13877" width="14.42578125" style="211" bestFit="1" customWidth="1"/>
    <col min="13878" max="13878" width="16.85546875" style="211" bestFit="1" customWidth="1"/>
    <col min="13879" max="13879" width="21.42578125" style="211" bestFit="1" customWidth="1"/>
    <col min="13880" max="13880" width="9.7109375" style="211" bestFit="1" customWidth="1"/>
    <col min="13881" max="13881" width="15" style="211" bestFit="1" customWidth="1"/>
    <col min="13882" max="13882" width="9.140625" style="211"/>
    <col min="13883" max="13883" width="14.7109375" style="211" bestFit="1" customWidth="1"/>
    <col min="13884" max="13884" width="10.85546875" style="211" bestFit="1" customWidth="1"/>
    <col min="13885" max="13887" width="9.28515625" style="211" customWidth="1"/>
    <col min="13888" max="13888" width="9.140625" style="211"/>
    <col min="13889" max="13889" width="7.85546875" style="211" bestFit="1" customWidth="1"/>
    <col min="13890" max="13890" width="8.5703125" style="211" bestFit="1" customWidth="1"/>
    <col min="13891" max="13891" width="9.140625" style="211"/>
    <col min="13892" max="13892" width="14.42578125" style="211" bestFit="1" customWidth="1"/>
    <col min="13893" max="13893" width="16.85546875" style="211" bestFit="1" customWidth="1"/>
    <col min="13894" max="13894" width="21.42578125" style="211" bestFit="1" customWidth="1"/>
    <col min="13895" max="13895" width="9.7109375" style="211" bestFit="1" customWidth="1"/>
    <col min="13896" max="13896" width="15" style="211" bestFit="1" customWidth="1"/>
    <col min="13897" max="14080" width="9.140625" style="211"/>
    <col min="14081" max="14081" width="51.28515625" style="211" bestFit="1" customWidth="1"/>
    <col min="14082" max="14082" width="12.28515625" style="211" customWidth="1"/>
    <col min="14083" max="14083" width="14.28515625" style="211" customWidth="1"/>
    <col min="14084" max="14084" width="13.42578125" style="211" bestFit="1" customWidth="1"/>
    <col min="14085" max="14085" width="12.5703125" style="211" bestFit="1" customWidth="1"/>
    <col min="14086" max="14086" width="13" style="211" bestFit="1" customWidth="1"/>
    <col min="14087" max="14087" width="14" style="211" bestFit="1" customWidth="1"/>
    <col min="14088" max="14088" width="13" style="211" bestFit="1" customWidth="1"/>
    <col min="14089" max="14089" width="12.5703125" style="211" customWidth="1"/>
    <col min="14090" max="14090" width="16.28515625" style="211" bestFit="1" customWidth="1"/>
    <col min="14091" max="14091" width="15.5703125" style="211" customWidth="1"/>
    <col min="14092" max="14092" width="13" style="211" bestFit="1" customWidth="1"/>
    <col min="14093" max="14093" width="15.85546875" style="211" customWidth="1"/>
    <col min="14094" max="14094" width="15" style="211" bestFit="1" customWidth="1"/>
    <col min="14095" max="14095" width="9.140625" style="211"/>
    <col min="14096" max="14096" width="14.28515625" style="211" bestFit="1" customWidth="1"/>
    <col min="14097" max="14097" width="11.85546875" style="211" bestFit="1" customWidth="1"/>
    <col min="14098" max="14099" width="11.85546875" style="211" customWidth="1"/>
    <col min="14100" max="14100" width="7" style="211" bestFit="1" customWidth="1"/>
    <col min="14101" max="14102" width="12.5703125" style="211" bestFit="1" customWidth="1"/>
    <col min="14103" max="14103" width="7.7109375" style="211" bestFit="1" customWidth="1"/>
    <col min="14104" max="14104" width="14.140625" style="211" bestFit="1" customWidth="1"/>
    <col min="14105" max="14105" width="18" style="211" customWidth="1"/>
    <col min="14106" max="14106" width="21.42578125" style="211" bestFit="1" customWidth="1"/>
    <col min="14107" max="14107" width="13.28515625" style="211" bestFit="1" customWidth="1"/>
    <col min="14108" max="14108" width="15" style="211" bestFit="1" customWidth="1"/>
    <col min="14109" max="14109" width="9.140625" style="211"/>
    <col min="14110" max="14110" width="14.28515625" style="211" bestFit="1" customWidth="1"/>
    <col min="14111" max="14111" width="9.5703125" style="211" bestFit="1" customWidth="1"/>
    <col min="14112" max="14113" width="9.5703125" style="211" customWidth="1"/>
    <col min="14114" max="14114" width="7" style="211" bestFit="1" customWidth="1"/>
    <col min="14115" max="14115" width="9.28515625" style="211" bestFit="1" customWidth="1"/>
    <col min="14116" max="14116" width="10.140625" style="211" bestFit="1" customWidth="1"/>
    <col min="14117" max="14117" width="9.140625" style="211"/>
    <col min="14118" max="14118" width="14.140625" style="211" bestFit="1" customWidth="1"/>
    <col min="14119" max="14119" width="15.5703125" style="211" bestFit="1" customWidth="1"/>
    <col min="14120" max="14120" width="21.42578125" style="211" bestFit="1" customWidth="1"/>
    <col min="14121" max="14121" width="13.28515625" style="211" bestFit="1" customWidth="1"/>
    <col min="14122" max="14122" width="15" style="211" bestFit="1" customWidth="1"/>
    <col min="14123" max="14123" width="9.140625" style="211"/>
    <col min="14124" max="14124" width="14.7109375" style="211" bestFit="1" customWidth="1"/>
    <col min="14125" max="14125" width="10.85546875" style="211" bestFit="1" customWidth="1"/>
    <col min="14126" max="14130" width="9.140625" style="211"/>
    <col min="14131" max="14131" width="11.85546875" style="211" customWidth="1"/>
    <col min="14132" max="14132" width="7.85546875" style="211" bestFit="1" customWidth="1"/>
    <col min="14133" max="14133" width="14.42578125" style="211" bestFit="1" customWidth="1"/>
    <col min="14134" max="14134" width="16.85546875" style="211" bestFit="1" customWidth="1"/>
    <col min="14135" max="14135" width="21.42578125" style="211" bestFit="1" customWidth="1"/>
    <col min="14136" max="14136" width="9.7109375" style="211" bestFit="1" customWidth="1"/>
    <col min="14137" max="14137" width="15" style="211" bestFit="1" customWidth="1"/>
    <col min="14138" max="14138" width="9.140625" style="211"/>
    <col min="14139" max="14139" width="14.7109375" style="211" bestFit="1" customWidth="1"/>
    <col min="14140" max="14140" width="10.85546875" style="211" bestFit="1" customWidth="1"/>
    <col min="14141" max="14143" width="9.28515625" style="211" customWidth="1"/>
    <col min="14144" max="14144" width="9.140625" style="211"/>
    <col min="14145" max="14145" width="7.85546875" style="211" bestFit="1" customWidth="1"/>
    <col min="14146" max="14146" width="8.5703125" style="211" bestFit="1" customWidth="1"/>
    <col min="14147" max="14147" width="9.140625" style="211"/>
    <col min="14148" max="14148" width="14.42578125" style="211" bestFit="1" customWidth="1"/>
    <col min="14149" max="14149" width="16.85546875" style="211" bestFit="1" customWidth="1"/>
    <col min="14150" max="14150" width="21.42578125" style="211" bestFit="1" customWidth="1"/>
    <col min="14151" max="14151" width="9.7109375" style="211" bestFit="1" customWidth="1"/>
    <col min="14152" max="14152" width="15" style="211" bestFit="1" customWidth="1"/>
    <col min="14153" max="14336" width="9.140625" style="211"/>
    <col min="14337" max="14337" width="51.28515625" style="211" bestFit="1" customWidth="1"/>
    <col min="14338" max="14338" width="12.28515625" style="211" customWidth="1"/>
    <col min="14339" max="14339" width="14.28515625" style="211" customWidth="1"/>
    <col min="14340" max="14340" width="13.42578125" style="211" bestFit="1" customWidth="1"/>
    <col min="14341" max="14341" width="12.5703125" style="211" bestFit="1" customWidth="1"/>
    <col min="14342" max="14342" width="13" style="211" bestFit="1" customWidth="1"/>
    <col min="14343" max="14343" width="14" style="211" bestFit="1" customWidth="1"/>
    <col min="14344" max="14344" width="13" style="211" bestFit="1" customWidth="1"/>
    <col min="14345" max="14345" width="12.5703125" style="211" customWidth="1"/>
    <col min="14346" max="14346" width="16.28515625" style="211" bestFit="1" customWidth="1"/>
    <col min="14347" max="14347" width="15.5703125" style="211" customWidth="1"/>
    <col min="14348" max="14348" width="13" style="211" bestFit="1" customWidth="1"/>
    <col min="14349" max="14349" width="15.85546875" style="211" customWidth="1"/>
    <col min="14350" max="14350" width="15" style="211" bestFit="1" customWidth="1"/>
    <col min="14351" max="14351" width="9.140625" style="211"/>
    <col min="14352" max="14352" width="14.28515625" style="211" bestFit="1" customWidth="1"/>
    <col min="14353" max="14353" width="11.85546875" style="211" bestFit="1" customWidth="1"/>
    <col min="14354" max="14355" width="11.85546875" style="211" customWidth="1"/>
    <col min="14356" max="14356" width="7" style="211" bestFit="1" customWidth="1"/>
    <col min="14357" max="14358" width="12.5703125" style="211" bestFit="1" customWidth="1"/>
    <col min="14359" max="14359" width="7.7109375" style="211" bestFit="1" customWidth="1"/>
    <col min="14360" max="14360" width="14.140625" style="211" bestFit="1" customWidth="1"/>
    <col min="14361" max="14361" width="18" style="211" customWidth="1"/>
    <col min="14362" max="14362" width="21.42578125" style="211" bestFit="1" customWidth="1"/>
    <col min="14363" max="14363" width="13.28515625" style="211" bestFit="1" customWidth="1"/>
    <col min="14364" max="14364" width="15" style="211" bestFit="1" customWidth="1"/>
    <col min="14365" max="14365" width="9.140625" style="211"/>
    <col min="14366" max="14366" width="14.28515625" style="211" bestFit="1" customWidth="1"/>
    <col min="14367" max="14367" width="9.5703125" style="211" bestFit="1" customWidth="1"/>
    <col min="14368" max="14369" width="9.5703125" style="211" customWidth="1"/>
    <col min="14370" max="14370" width="7" style="211" bestFit="1" customWidth="1"/>
    <col min="14371" max="14371" width="9.28515625" style="211" bestFit="1" customWidth="1"/>
    <col min="14372" max="14372" width="10.140625" style="211" bestFit="1" customWidth="1"/>
    <col min="14373" max="14373" width="9.140625" style="211"/>
    <col min="14374" max="14374" width="14.140625" style="211" bestFit="1" customWidth="1"/>
    <col min="14375" max="14375" width="15.5703125" style="211" bestFit="1" customWidth="1"/>
    <col min="14376" max="14376" width="21.42578125" style="211" bestFit="1" customWidth="1"/>
    <col min="14377" max="14377" width="13.28515625" style="211" bestFit="1" customWidth="1"/>
    <col min="14378" max="14378" width="15" style="211" bestFit="1" customWidth="1"/>
    <col min="14379" max="14379" width="9.140625" style="211"/>
    <col min="14380" max="14380" width="14.7109375" style="211" bestFit="1" customWidth="1"/>
    <col min="14381" max="14381" width="10.85546875" style="211" bestFit="1" customWidth="1"/>
    <col min="14382" max="14386" width="9.140625" style="211"/>
    <col min="14387" max="14387" width="11.85546875" style="211" customWidth="1"/>
    <col min="14388" max="14388" width="7.85546875" style="211" bestFit="1" customWidth="1"/>
    <col min="14389" max="14389" width="14.42578125" style="211" bestFit="1" customWidth="1"/>
    <col min="14390" max="14390" width="16.85546875" style="211" bestFit="1" customWidth="1"/>
    <col min="14391" max="14391" width="21.42578125" style="211" bestFit="1" customWidth="1"/>
    <col min="14392" max="14392" width="9.7109375" style="211" bestFit="1" customWidth="1"/>
    <col min="14393" max="14393" width="15" style="211" bestFit="1" customWidth="1"/>
    <col min="14394" max="14394" width="9.140625" style="211"/>
    <col min="14395" max="14395" width="14.7109375" style="211" bestFit="1" customWidth="1"/>
    <col min="14396" max="14396" width="10.85546875" style="211" bestFit="1" customWidth="1"/>
    <col min="14397" max="14399" width="9.28515625" style="211" customWidth="1"/>
    <col min="14400" max="14400" width="9.140625" style="211"/>
    <col min="14401" max="14401" width="7.85546875" style="211" bestFit="1" customWidth="1"/>
    <col min="14402" max="14402" width="8.5703125" style="211" bestFit="1" customWidth="1"/>
    <col min="14403" max="14403" width="9.140625" style="211"/>
    <col min="14404" max="14404" width="14.42578125" style="211" bestFit="1" customWidth="1"/>
    <col min="14405" max="14405" width="16.85546875" style="211" bestFit="1" customWidth="1"/>
    <col min="14406" max="14406" width="21.42578125" style="211" bestFit="1" customWidth="1"/>
    <col min="14407" max="14407" width="9.7109375" style="211" bestFit="1" customWidth="1"/>
    <col min="14408" max="14408" width="15" style="211" bestFit="1" customWidth="1"/>
    <col min="14409" max="14592" width="9.140625" style="211"/>
    <col min="14593" max="14593" width="51.28515625" style="211" bestFit="1" customWidth="1"/>
    <col min="14594" max="14594" width="12.28515625" style="211" customWidth="1"/>
    <col min="14595" max="14595" width="14.28515625" style="211" customWidth="1"/>
    <col min="14596" max="14596" width="13.42578125" style="211" bestFit="1" customWidth="1"/>
    <col min="14597" max="14597" width="12.5703125" style="211" bestFit="1" customWidth="1"/>
    <col min="14598" max="14598" width="13" style="211" bestFit="1" customWidth="1"/>
    <col min="14599" max="14599" width="14" style="211" bestFit="1" customWidth="1"/>
    <col min="14600" max="14600" width="13" style="211" bestFit="1" customWidth="1"/>
    <col min="14601" max="14601" width="12.5703125" style="211" customWidth="1"/>
    <col min="14602" max="14602" width="16.28515625" style="211" bestFit="1" customWidth="1"/>
    <col min="14603" max="14603" width="15.5703125" style="211" customWidth="1"/>
    <col min="14604" max="14604" width="13" style="211" bestFit="1" customWidth="1"/>
    <col min="14605" max="14605" width="15.85546875" style="211" customWidth="1"/>
    <col min="14606" max="14606" width="15" style="211" bestFit="1" customWidth="1"/>
    <col min="14607" max="14607" width="9.140625" style="211"/>
    <col min="14608" max="14608" width="14.28515625" style="211" bestFit="1" customWidth="1"/>
    <col min="14609" max="14609" width="11.85546875" style="211" bestFit="1" customWidth="1"/>
    <col min="14610" max="14611" width="11.85546875" style="211" customWidth="1"/>
    <col min="14612" max="14612" width="7" style="211" bestFit="1" customWidth="1"/>
    <col min="14613" max="14614" width="12.5703125" style="211" bestFit="1" customWidth="1"/>
    <col min="14615" max="14615" width="7.7109375" style="211" bestFit="1" customWidth="1"/>
    <col min="14616" max="14616" width="14.140625" style="211" bestFit="1" customWidth="1"/>
    <col min="14617" max="14617" width="18" style="211" customWidth="1"/>
    <col min="14618" max="14618" width="21.42578125" style="211" bestFit="1" customWidth="1"/>
    <col min="14619" max="14619" width="13.28515625" style="211" bestFit="1" customWidth="1"/>
    <col min="14620" max="14620" width="15" style="211" bestFit="1" customWidth="1"/>
    <col min="14621" max="14621" width="9.140625" style="211"/>
    <col min="14622" max="14622" width="14.28515625" style="211" bestFit="1" customWidth="1"/>
    <col min="14623" max="14623" width="9.5703125" style="211" bestFit="1" customWidth="1"/>
    <col min="14624" max="14625" width="9.5703125" style="211" customWidth="1"/>
    <col min="14626" max="14626" width="7" style="211" bestFit="1" customWidth="1"/>
    <col min="14627" max="14627" width="9.28515625" style="211" bestFit="1" customWidth="1"/>
    <col min="14628" max="14628" width="10.140625" style="211" bestFit="1" customWidth="1"/>
    <col min="14629" max="14629" width="9.140625" style="211"/>
    <col min="14630" max="14630" width="14.140625" style="211" bestFit="1" customWidth="1"/>
    <col min="14631" max="14631" width="15.5703125" style="211" bestFit="1" customWidth="1"/>
    <col min="14632" max="14632" width="21.42578125" style="211" bestFit="1" customWidth="1"/>
    <col min="14633" max="14633" width="13.28515625" style="211" bestFit="1" customWidth="1"/>
    <col min="14634" max="14634" width="15" style="211" bestFit="1" customWidth="1"/>
    <col min="14635" max="14635" width="9.140625" style="211"/>
    <col min="14636" max="14636" width="14.7109375" style="211" bestFit="1" customWidth="1"/>
    <col min="14637" max="14637" width="10.85546875" style="211" bestFit="1" customWidth="1"/>
    <col min="14638" max="14642" width="9.140625" style="211"/>
    <col min="14643" max="14643" width="11.85546875" style="211" customWidth="1"/>
    <col min="14644" max="14644" width="7.85546875" style="211" bestFit="1" customWidth="1"/>
    <col min="14645" max="14645" width="14.42578125" style="211" bestFit="1" customWidth="1"/>
    <col min="14646" max="14646" width="16.85546875" style="211" bestFit="1" customWidth="1"/>
    <col min="14647" max="14647" width="21.42578125" style="211" bestFit="1" customWidth="1"/>
    <col min="14648" max="14648" width="9.7109375" style="211" bestFit="1" customWidth="1"/>
    <col min="14649" max="14649" width="15" style="211" bestFit="1" customWidth="1"/>
    <col min="14650" max="14650" width="9.140625" style="211"/>
    <col min="14651" max="14651" width="14.7109375" style="211" bestFit="1" customWidth="1"/>
    <col min="14652" max="14652" width="10.85546875" style="211" bestFit="1" customWidth="1"/>
    <col min="14653" max="14655" width="9.28515625" style="211" customWidth="1"/>
    <col min="14656" max="14656" width="9.140625" style="211"/>
    <col min="14657" max="14657" width="7.85546875" style="211" bestFit="1" customWidth="1"/>
    <col min="14658" max="14658" width="8.5703125" style="211" bestFit="1" customWidth="1"/>
    <col min="14659" max="14659" width="9.140625" style="211"/>
    <col min="14660" max="14660" width="14.42578125" style="211" bestFit="1" customWidth="1"/>
    <col min="14661" max="14661" width="16.85546875" style="211" bestFit="1" customWidth="1"/>
    <col min="14662" max="14662" width="21.42578125" style="211" bestFit="1" customWidth="1"/>
    <col min="14663" max="14663" width="9.7109375" style="211" bestFit="1" customWidth="1"/>
    <col min="14664" max="14664" width="15" style="211" bestFit="1" customWidth="1"/>
    <col min="14665" max="14848" width="9.140625" style="211"/>
    <col min="14849" max="14849" width="51.28515625" style="211" bestFit="1" customWidth="1"/>
    <col min="14850" max="14850" width="12.28515625" style="211" customWidth="1"/>
    <col min="14851" max="14851" width="14.28515625" style="211" customWidth="1"/>
    <col min="14852" max="14852" width="13.42578125" style="211" bestFit="1" customWidth="1"/>
    <col min="14853" max="14853" width="12.5703125" style="211" bestFit="1" customWidth="1"/>
    <col min="14854" max="14854" width="13" style="211" bestFit="1" customWidth="1"/>
    <col min="14855" max="14855" width="14" style="211" bestFit="1" customWidth="1"/>
    <col min="14856" max="14856" width="13" style="211" bestFit="1" customWidth="1"/>
    <col min="14857" max="14857" width="12.5703125" style="211" customWidth="1"/>
    <col min="14858" max="14858" width="16.28515625" style="211" bestFit="1" customWidth="1"/>
    <col min="14859" max="14859" width="15.5703125" style="211" customWidth="1"/>
    <col min="14860" max="14860" width="13" style="211" bestFit="1" customWidth="1"/>
    <col min="14861" max="14861" width="15.85546875" style="211" customWidth="1"/>
    <col min="14862" max="14862" width="15" style="211" bestFit="1" customWidth="1"/>
    <col min="14863" max="14863" width="9.140625" style="211"/>
    <col min="14864" max="14864" width="14.28515625" style="211" bestFit="1" customWidth="1"/>
    <col min="14865" max="14865" width="11.85546875" style="211" bestFit="1" customWidth="1"/>
    <col min="14866" max="14867" width="11.85546875" style="211" customWidth="1"/>
    <col min="14868" max="14868" width="7" style="211" bestFit="1" customWidth="1"/>
    <col min="14869" max="14870" width="12.5703125" style="211" bestFit="1" customWidth="1"/>
    <col min="14871" max="14871" width="7.7109375" style="211" bestFit="1" customWidth="1"/>
    <col min="14872" max="14872" width="14.140625" style="211" bestFit="1" customWidth="1"/>
    <col min="14873" max="14873" width="18" style="211" customWidth="1"/>
    <col min="14874" max="14874" width="21.42578125" style="211" bestFit="1" customWidth="1"/>
    <col min="14875" max="14875" width="13.28515625" style="211" bestFit="1" customWidth="1"/>
    <col min="14876" max="14876" width="15" style="211" bestFit="1" customWidth="1"/>
    <col min="14877" max="14877" width="9.140625" style="211"/>
    <col min="14878" max="14878" width="14.28515625" style="211" bestFit="1" customWidth="1"/>
    <col min="14879" max="14879" width="9.5703125" style="211" bestFit="1" customWidth="1"/>
    <col min="14880" max="14881" width="9.5703125" style="211" customWidth="1"/>
    <col min="14882" max="14882" width="7" style="211" bestFit="1" customWidth="1"/>
    <col min="14883" max="14883" width="9.28515625" style="211" bestFit="1" customWidth="1"/>
    <col min="14884" max="14884" width="10.140625" style="211" bestFit="1" customWidth="1"/>
    <col min="14885" max="14885" width="9.140625" style="211"/>
    <col min="14886" max="14886" width="14.140625" style="211" bestFit="1" customWidth="1"/>
    <col min="14887" max="14887" width="15.5703125" style="211" bestFit="1" customWidth="1"/>
    <col min="14888" max="14888" width="21.42578125" style="211" bestFit="1" customWidth="1"/>
    <col min="14889" max="14889" width="13.28515625" style="211" bestFit="1" customWidth="1"/>
    <col min="14890" max="14890" width="15" style="211" bestFit="1" customWidth="1"/>
    <col min="14891" max="14891" width="9.140625" style="211"/>
    <col min="14892" max="14892" width="14.7109375" style="211" bestFit="1" customWidth="1"/>
    <col min="14893" max="14893" width="10.85546875" style="211" bestFit="1" customWidth="1"/>
    <col min="14894" max="14898" width="9.140625" style="211"/>
    <col min="14899" max="14899" width="11.85546875" style="211" customWidth="1"/>
    <col min="14900" max="14900" width="7.85546875" style="211" bestFit="1" customWidth="1"/>
    <col min="14901" max="14901" width="14.42578125" style="211" bestFit="1" customWidth="1"/>
    <col min="14902" max="14902" width="16.85546875" style="211" bestFit="1" customWidth="1"/>
    <col min="14903" max="14903" width="21.42578125" style="211" bestFit="1" customWidth="1"/>
    <col min="14904" max="14904" width="9.7109375" style="211" bestFit="1" customWidth="1"/>
    <col min="14905" max="14905" width="15" style="211" bestFit="1" customWidth="1"/>
    <col min="14906" max="14906" width="9.140625" style="211"/>
    <col min="14907" max="14907" width="14.7109375" style="211" bestFit="1" customWidth="1"/>
    <col min="14908" max="14908" width="10.85546875" style="211" bestFit="1" customWidth="1"/>
    <col min="14909" max="14911" width="9.28515625" style="211" customWidth="1"/>
    <col min="14912" max="14912" width="9.140625" style="211"/>
    <col min="14913" max="14913" width="7.85546875" style="211" bestFit="1" customWidth="1"/>
    <col min="14914" max="14914" width="8.5703125" style="211" bestFit="1" customWidth="1"/>
    <col min="14915" max="14915" width="9.140625" style="211"/>
    <col min="14916" max="14916" width="14.42578125" style="211" bestFit="1" customWidth="1"/>
    <col min="14917" max="14917" width="16.85546875" style="211" bestFit="1" customWidth="1"/>
    <col min="14918" max="14918" width="21.42578125" style="211" bestFit="1" customWidth="1"/>
    <col min="14919" max="14919" width="9.7109375" style="211" bestFit="1" customWidth="1"/>
    <col min="14920" max="14920" width="15" style="211" bestFit="1" customWidth="1"/>
    <col min="14921" max="15104" width="9.140625" style="211"/>
    <col min="15105" max="15105" width="51.28515625" style="211" bestFit="1" customWidth="1"/>
    <col min="15106" max="15106" width="12.28515625" style="211" customWidth="1"/>
    <col min="15107" max="15107" width="14.28515625" style="211" customWidth="1"/>
    <col min="15108" max="15108" width="13.42578125" style="211" bestFit="1" customWidth="1"/>
    <col min="15109" max="15109" width="12.5703125" style="211" bestFit="1" customWidth="1"/>
    <col min="15110" max="15110" width="13" style="211" bestFit="1" customWidth="1"/>
    <col min="15111" max="15111" width="14" style="211" bestFit="1" customWidth="1"/>
    <col min="15112" max="15112" width="13" style="211" bestFit="1" customWidth="1"/>
    <col min="15113" max="15113" width="12.5703125" style="211" customWidth="1"/>
    <col min="15114" max="15114" width="16.28515625" style="211" bestFit="1" customWidth="1"/>
    <col min="15115" max="15115" width="15.5703125" style="211" customWidth="1"/>
    <col min="15116" max="15116" width="13" style="211" bestFit="1" customWidth="1"/>
    <col min="15117" max="15117" width="15.85546875" style="211" customWidth="1"/>
    <col min="15118" max="15118" width="15" style="211" bestFit="1" customWidth="1"/>
    <col min="15119" max="15119" width="9.140625" style="211"/>
    <col min="15120" max="15120" width="14.28515625" style="211" bestFit="1" customWidth="1"/>
    <col min="15121" max="15121" width="11.85546875" style="211" bestFit="1" customWidth="1"/>
    <col min="15122" max="15123" width="11.85546875" style="211" customWidth="1"/>
    <col min="15124" max="15124" width="7" style="211" bestFit="1" customWidth="1"/>
    <col min="15125" max="15126" width="12.5703125" style="211" bestFit="1" customWidth="1"/>
    <col min="15127" max="15127" width="7.7109375" style="211" bestFit="1" customWidth="1"/>
    <col min="15128" max="15128" width="14.140625" style="211" bestFit="1" customWidth="1"/>
    <col min="15129" max="15129" width="18" style="211" customWidth="1"/>
    <col min="15130" max="15130" width="21.42578125" style="211" bestFit="1" customWidth="1"/>
    <col min="15131" max="15131" width="13.28515625" style="211" bestFit="1" customWidth="1"/>
    <col min="15132" max="15132" width="15" style="211" bestFit="1" customWidth="1"/>
    <col min="15133" max="15133" width="9.140625" style="211"/>
    <col min="15134" max="15134" width="14.28515625" style="211" bestFit="1" customWidth="1"/>
    <col min="15135" max="15135" width="9.5703125" style="211" bestFit="1" customWidth="1"/>
    <col min="15136" max="15137" width="9.5703125" style="211" customWidth="1"/>
    <col min="15138" max="15138" width="7" style="211" bestFit="1" customWidth="1"/>
    <col min="15139" max="15139" width="9.28515625" style="211" bestFit="1" customWidth="1"/>
    <col min="15140" max="15140" width="10.140625" style="211" bestFit="1" customWidth="1"/>
    <col min="15141" max="15141" width="9.140625" style="211"/>
    <col min="15142" max="15142" width="14.140625" style="211" bestFit="1" customWidth="1"/>
    <col min="15143" max="15143" width="15.5703125" style="211" bestFit="1" customWidth="1"/>
    <col min="15144" max="15144" width="21.42578125" style="211" bestFit="1" customWidth="1"/>
    <col min="15145" max="15145" width="13.28515625" style="211" bestFit="1" customWidth="1"/>
    <col min="15146" max="15146" width="15" style="211" bestFit="1" customWidth="1"/>
    <col min="15147" max="15147" width="9.140625" style="211"/>
    <col min="15148" max="15148" width="14.7109375" style="211" bestFit="1" customWidth="1"/>
    <col min="15149" max="15149" width="10.85546875" style="211" bestFit="1" customWidth="1"/>
    <col min="15150" max="15154" width="9.140625" style="211"/>
    <col min="15155" max="15155" width="11.85546875" style="211" customWidth="1"/>
    <col min="15156" max="15156" width="7.85546875" style="211" bestFit="1" customWidth="1"/>
    <col min="15157" max="15157" width="14.42578125" style="211" bestFit="1" customWidth="1"/>
    <col min="15158" max="15158" width="16.85546875" style="211" bestFit="1" customWidth="1"/>
    <col min="15159" max="15159" width="21.42578125" style="211" bestFit="1" customWidth="1"/>
    <col min="15160" max="15160" width="9.7109375" style="211" bestFit="1" customWidth="1"/>
    <col min="15161" max="15161" width="15" style="211" bestFit="1" customWidth="1"/>
    <col min="15162" max="15162" width="9.140625" style="211"/>
    <col min="15163" max="15163" width="14.7109375" style="211" bestFit="1" customWidth="1"/>
    <col min="15164" max="15164" width="10.85546875" style="211" bestFit="1" customWidth="1"/>
    <col min="15165" max="15167" width="9.28515625" style="211" customWidth="1"/>
    <col min="15168" max="15168" width="9.140625" style="211"/>
    <col min="15169" max="15169" width="7.85546875" style="211" bestFit="1" customWidth="1"/>
    <col min="15170" max="15170" width="8.5703125" style="211" bestFit="1" customWidth="1"/>
    <col min="15171" max="15171" width="9.140625" style="211"/>
    <col min="15172" max="15172" width="14.42578125" style="211" bestFit="1" customWidth="1"/>
    <col min="15173" max="15173" width="16.85546875" style="211" bestFit="1" customWidth="1"/>
    <col min="15174" max="15174" width="21.42578125" style="211" bestFit="1" customWidth="1"/>
    <col min="15175" max="15175" width="9.7109375" style="211" bestFit="1" customWidth="1"/>
    <col min="15176" max="15176" width="15" style="211" bestFit="1" customWidth="1"/>
    <col min="15177" max="15360" width="9.140625" style="211"/>
    <col min="15361" max="15361" width="51.28515625" style="211" bestFit="1" customWidth="1"/>
    <col min="15362" max="15362" width="12.28515625" style="211" customWidth="1"/>
    <col min="15363" max="15363" width="14.28515625" style="211" customWidth="1"/>
    <col min="15364" max="15364" width="13.42578125" style="211" bestFit="1" customWidth="1"/>
    <col min="15365" max="15365" width="12.5703125" style="211" bestFit="1" customWidth="1"/>
    <col min="15366" max="15366" width="13" style="211" bestFit="1" customWidth="1"/>
    <col min="15367" max="15367" width="14" style="211" bestFit="1" customWidth="1"/>
    <col min="15368" max="15368" width="13" style="211" bestFit="1" customWidth="1"/>
    <col min="15369" max="15369" width="12.5703125" style="211" customWidth="1"/>
    <col min="15370" max="15370" width="16.28515625" style="211" bestFit="1" customWidth="1"/>
    <col min="15371" max="15371" width="15.5703125" style="211" customWidth="1"/>
    <col min="15372" max="15372" width="13" style="211" bestFit="1" customWidth="1"/>
    <col min="15373" max="15373" width="15.85546875" style="211" customWidth="1"/>
    <col min="15374" max="15374" width="15" style="211" bestFit="1" customWidth="1"/>
    <col min="15375" max="15375" width="9.140625" style="211"/>
    <col min="15376" max="15376" width="14.28515625" style="211" bestFit="1" customWidth="1"/>
    <col min="15377" max="15377" width="11.85546875" style="211" bestFit="1" customWidth="1"/>
    <col min="15378" max="15379" width="11.85546875" style="211" customWidth="1"/>
    <col min="15380" max="15380" width="7" style="211" bestFit="1" customWidth="1"/>
    <col min="15381" max="15382" width="12.5703125" style="211" bestFit="1" customWidth="1"/>
    <col min="15383" max="15383" width="7.7109375" style="211" bestFit="1" customWidth="1"/>
    <col min="15384" max="15384" width="14.140625" style="211" bestFit="1" customWidth="1"/>
    <col min="15385" max="15385" width="18" style="211" customWidth="1"/>
    <col min="15386" max="15386" width="21.42578125" style="211" bestFit="1" customWidth="1"/>
    <col min="15387" max="15387" width="13.28515625" style="211" bestFit="1" customWidth="1"/>
    <col min="15388" max="15388" width="15" style="211" bestFit="1" customWidth="1"/>
    <col min="15389" max="15389" width="9.140625" style="211"/>
    <col min="15390" max="15390" width="14.28515625" style="211" bestFit="1" customWidth="1"/>
    <col min="15391" max="15391" width="9.5703125" style="211" bestFit="1" customWidth="1"/>
    <col min="15392" max="15393" width="9.5703125" style="211" customWidth="1"/>
    <col min="15394" max="15394" width="7" style="211" bestFit="1" customWidth="1"/>
    <col min="15395" max="15395" width="9.28515625" style="211" bestFit="1" customWidth="1"/>
    <col min="15396" max="15396" width="10.140625" style="211" bestFit="1" customWidth="1"/>
    <col min="15397" max="15397" width="9.140625" style="211"/>
    <col min="15398" max="15398" width="14.140625" style="211" bestFit="1" customWidth="1"/>
    <col min="15399" max="15399" width="15.5703125" style="211" bestFit="1" customWidth="1"/>
    <col min="15400" max="15400" width="21.42578125" style="211" bestFit="1" customWidth="1"/>
    <col min="15401" max="15401" width="13.28515625" style="211" bestFit="1" customWidth="1"/>
    <col min="15402" max="15402" width="15" style="211" bestFit="1" customWidth="1"/>
    <col min="15403" max="15403" width="9.140625" style="211"/>
    <col min="15404" max="15404" width="14.7109375" style="211" bestFit="1" customWidth="1"/>
    <col min="15405" max="15405" width="10.85546875" style="211" bestFit="1" customWidth="1"/>
    <col min="15406" max="15410" width="9.140625" style="211"/>
    <col min="15411" max="15411" width="11.85546875" style="211" customWidth="1"/>
    <col min="15412" max="15412" width="7.85546875" style="211" bestFit="1" customWidth="1"/>
    <col min="15413" max="15413" width="14.42578125" style="211" bestFit="1" customWidth="1"/>
    <col min="15414" max="15414" width="16.85546875" style="211" bestFit="1" customWidth="1"/>
    <col min="15415" max="15415" width="21.42578125" style="211" bestFit="1" customWidth="1"/>
    <col min="15416" max="15416" width="9.7109375" style="211" bestFit="1" customWidth="1"/>
    <col min="15417" max="15417" width="15" style="211" bestFit="1" customWidth="1"/>
    <col min="15418" max="15418" width="9.140625" style="211"/>
    <col min="15419" max="15419" width="14.7109375" style="211" bestFit="1" customWidth="1"/>
    <col min="15420" max="15420" width="10.85546875" style="211" bestFit="1" customWidth="1"/>
    <col min="15421" max="15423" width="9.28515625" style="211" customWidth="1"/>
    <col min="15424" max="15424" width="9.140625" style="211"/>
    <col min="15425" max="15425" width="7.85546875" style="211" bestFit="1" customWidth="1"/>
    <col min="15426" max="15426" width="8.5703125" style="211" bestFit="1" customWidth="1"/>
    <col min="15427" max="15427" width="9.140625" style="211"/>
    <col min="15428" max="15428" width="14.42578125" style="211" bestFit="1" customWidth="1"/>
    <col min="15429" max="15429" width="16.85546875" style="211" bestFit="1" customWidth="1"/>
    <col min="15430" max="15430" width="21.42578125" style="211" bestFit="1" customWidth="1"/>
    <col min="15431" max="15431" width="9.7109375" style="211" bestFit="1" customWidth="1"/>
    <col min="15432" max="15432" width="15" style="211" bestFit="1" customWidth="1"/>
    <col min="15433" max="15616" width="9.140625" style="211"/>
    <col min="15617" max="15617" width="51.28515625" style="211" bestFit="1" customWidth="1"/>
    <col min="15618" max="15618" width="12.28515625" style="211" customWidth="1"/>
    <col min="15619" max="15619" width="14.28515625" style="211" customWidth="1"/>
    <col min="15620" max="15620" width="13.42578125" style="211" bestFit="1" customWidth="1"/>
    <col min="15621" max="15621" width="12.5703125" style="211" bestFit="1" customWidth="1"/>
    <col min="15622" max="15622" width="13" style="211" bestFit="1" customWidth="1"/>
    <col min="15623" max="15623" width="14" style="211" bestFit="1" customWidth="1"/>
    <col min="15624" max="15624" width="13" style="211" bestFit="1" customWidth="1"/>
    <col min="15625" max="15625" width="12.5703125" style="211" customWidth="1"/>
    <col min="15626" max="15626" width="16.28515625" style="211" bestFit="1" customWidth="1"/>
    <col min="15627" max="15627" width="15.5703125" style="211" customWidth="1"/>
    <col min="15628" max="15628" width="13" style="211" bestFit="1" customWidth="1"/>
    <col min="15629" max="15629" width="15.85546875" style="211" customWidth="1"/>
    <col min="15630" max="15630" width="15" style="211" bestFit="1" customWidth="1"/>
    <col min="15631" max="15631" width="9.140625" style="211"/>
    <col min="15632" max="15632" width="14.28515625" style="211" bestFit="1" customWidth="1"/>
    <col min="15633" max="15633" width="11.85546875" style="211" bestFit="1" customWidth="1"/>
    <col min="15634" max="15635" width="11.85546875" style="211" customWidth="1"/>
    <col min="15636" max="15636" width="7" style="211" bestFit="1" customWidth="1"/>
    <col min="15637" max="15638" width="12.5703125" style="211" bestFit="1" customWidth="1"/>
    <col min="15639" max="15639" width="7.7109375" style="211" bestFit="1" customWidth="1"/>
    <col min="15640" max="15640" width="14.140625" style="211" bestFit="1" customWidth="1"/>
    <col min="15641" max="15641" width="18" style="211" customWidth="1"/>
    <col min="15642" max="15642" width="21.42578125" style="211" bestFit="1" customWidth="1"/>
    <col min="15643" max="15643" width="13.28515625" style="211" bestFit="1" customWidth="1"/>
    <col min="15644" max="15644" width="15" style="211" bestFit="1" customWidth="1"/>
    <col min="15645" max="15645" width="9.140625" style="211"/>
    <col min="15646" max="15646" width="14.28515625" style="211" bestFit="1" customWidth="1"/>
    <col min="15647" max="15647" width="9.5703125" style="211" bestFit="1" customWidth="1"/>
    <col min="15648" max="15649" width="9.5703125" style="211" customWidth="1"/>
    <col min="15650" max="15650" width="7" style="211" bestFit="1" customWidth="1"/>
    <col min="15651" max="15651" width="9.28515625" style="211" bestFit="1" customWidth="1"/>
    <col min="15652" max="15652" width="10.140625" style="211" bestFit="1" customWidth="1"/>
    <col min="15653" max="15653" width="9.140625" style="211"/>
    <col min="15654" max="15654" width="14.140625" style="211" bestFit="1" customWidth="1"/>
    <col min="15655" max="15655" width="15.5703125" style="211" bestFit="1" customWidth="1"/>
    <col min="15656" max="15656" width="21.42578125" style="211" bestFit="1" customWidth="1"/>
    <col min="15657" max="15657" width="13.28515625" style="211" bestFit="1" customWidth="1"/>
    <col min="15658" max="15658" width="15" style="211" bestFit="1" customWidth="1"/>
    <col min="15659" max="15659" width="9.140625" style="211"/>
    <col min="15660" max="15660" width="14.7109375" style="211" bestFit="1" customWidth="1"/>
    <col min="15661" max="15661" width="10.85546875" style="211" bestFit="1" customWidth="1"/>
    <col min="15662" max="15666" width="9.140625" style="211"/>
    <col min="15667" max="15667" width="11.85546875" style="211" customWidth="1"/>
    <col min="15668" max="15668" width="7.85546875" style="211" bestFit="1" customWidth="1"/>
    <col min="15669" max="15669" width="14.42578125" style="211" bestFit="1" customWidth="1"/>
    <col min="15670" max="15670" width="16.85546875" style="211" bestFit="1" customWidth="1"/>
    <col min="15671" max="15671" width="21.42578125" style="211" bestFit="1" customWidth="1"/>
    <col min="15672" max="15672" width="9.7109375" style="211" bestFit="1" customWidth="1"/>
    <col min="15673" max="15673" width="15" style="211" bestFit="1" customWidth="1"/>
    <col min="15674" max="15674" width="9.140625" style="211"/>
    <col min="15675" max="15675" width="14.7109375" style="211" bestFit="1" customWidth="1"/>
    <col min="15676" max="15676" width="10.85546875" style="211" bestFit="1" customWidth="1"/>
    <col min="15677" max="15679" width="9.28515625" style="211" customWidth="1"/>
    <col min="15680" max="15680" width="9.140625" style="211"/>
    <col min="15681" max="15681" width="7.85546875" style="211" bestFit="1" customWidth="1"/>
    <col min="15682" max="15682" width="8.5703125" style="211" bestFit="1" customWidth="1"/>
    <col min="15683" max="15683" width="9.140625" style="211"/>
    <col min="15684" max="15684" width="14.42578125" style="211" bestFit="1" customWidth="1"/>
    <col min="15685" max="15685" width="16.85546875" style="211" bestFit="1" customWidth="1"/>
    <col min="15686" max="15686" width="21.42578125" style="211" bestFit="1" customWidth="1"/>
    <col min="15687" max="15687" width="9.7109375" style="211" bestFit="1" customWidth="1"/>
    <col min="15688" max="15688" width="15" style="211" bestFit="1" customWidth="1"/>
    <col min="15689" max="15872" width="9.140625" style="211"/>
    <col min="15873" max="15873" width="51.28515625" style="211" bestFit="1" customWidth="1"/>
    <col min="15874" max="15874" width="12.28515625" style="211" customWidth="1"/>
    <col min="15875" max="15875" width="14.28515625" style="211" customWidth="1"/>
    <col min="15876" max="15876" width="13.42578125" style="211" bestFit="1" customWidth="1"/>
    <col min="15877" max="15877" width="12.5703125" style="211" bestFit="1" customWidth="1"/>
    <col min="15878" max="15878" width="13" style="211" bestFit="1" customWidth="1"/>
    <col min="15879" max="15879" width="14" style="211" bestFit="1" customWidth="1"/>
    <col min="15880" max="15880" width="13" style="211" bestFit="1" customWidth="1"/>
    <col min="15881" max="15881" width="12.5703125" style="211" customWidth="1"/>
    <col min="15882" max="15882" width="16.28515625" style="211" bestFit="1" customWidth="1"/>
    <col min="15883" max="15883" width="15.5703125" style="211" customWidth="1"/>
    <col min="15884" max="15884" width="13" style="211" bestFit="1" customWidth="1"/>
    <col min="15885" max="15885" width="15.85546875" style="211" customWidth="1"/>
    <col min="15886" max="15886" width="15" style="211" bestFit="1" customWidth="1"/>
    <col min="15887" max="15887" width="9.140625" style="211"/>
    <col min="15888" max="15888" width="14.28515625" style="211" bestFit="1" customWidth="1"/>
    <col min="15889" max="15889" width="11.85546875" style="211" bestFit="1" customWidth="1"/>
    <col min="15890" max="15891" width="11.85546875" style="211" customWidth="1"/>
    <col min="15892" max="15892" width="7" style="211" bestFit="1" customWidth="1"/>
    <col min="15893" max="15894" width="12.5703125" style="211" bestFit="1" customWidth="1"/>
    <col min="15895" max="15895" width="7.7109375" style="211" bestFit="1" customWidth="1"/>
    <col min="15896" max="15896" width="14.140625" style="211" bestFit="1" customWidth="1"/>
    <col min="15897" max="15897" width="18" style="211" customWidth="1"/>
    <col min="15898" max="15898" width="21.42578125" style="211" bestFit="1" customWidth="1"/>
    <col min="15899" max="15899" width="13.28515625" style="211" bestFit="1" customWidth="1"/>
    <col min="15900" max="15900" width="15" style="211" bestFit="1" customWidth="1"/>
    <col min="15901" max="15901" width="9.140625" style="211"/>
    <col min="15902" max="15902" width="14.28515625" style="211" bestFit="1" customWidth="1"/>
    <col min="15903" max="15903" width="9.5703125" style="211" bestFit="1" customWidth="1"/>
    <col min="15904" max="15905" width="9.5703125" style="211" customWidth="1"/>
    <col min="15906" max="15906" width="7" style="211" bestFit="1" customWidth="1"/>
    <col min="15907" max="15907" width="9.28515625" style="211" bestFit="1" customWidth="1"/>
    <col min="15908" max="15908" width="10.140625" style="211" bestFit="1" customWidth="1"/>
    <col min="15909" max="15909" width="9.140625" style="211"/>
    <col min="15910" max="15910" width="14.140625" style="211" bestFit="1" customWidth="1"/>
    <col min="15911" max="15911" width="15.5703125" style="211" bestFit="1" customWidth="1"/>
    <col min="15912" max="15912" width="21.42578125" style="211" bestFit="1" customWidth="1"/>
    <col min="15913" max="15913" width="13.28515625" style="211" bestFit="1" customWidth="1"/>
    <col min="15914" max="15914" width="15" style="211" bestFit="1" customWidth="1"/>
    <col min="15915" max="15915" width="9.140625" style="211"/>
    <col min="15916" max="15916" width="14.7109375" style="211" bestFit="1" customWidth="1"/>
    <col min="15917" max="15917" width="10.85546875" style="211" bestFit="1" customWidth="1"/>
    <col min="15918" max="15922" width="9.140625" style="211"/>
    <col min="15923" max="15923" width="11.85546875" style="211" customWidth="1"/>
    <col min="15924" max="15924" width="7.85546875" style="211" bestFit="1" customWidth="1"/>
    <col min="15925" max="15925" width="14.42578125" style="211" bestFit="1" customWidth="1"/>
    <col min="15926" max="15926" width="16.85546875" style="211" bestFit="1" customWidth="1"/>
    <col min="15927" max="15927" width="21.42578125" style="211" bestFit="1" customWidth="1"/>
    <col min="15928" max="15928" width="9.7109375" style="211" bestFit="1" customWidth="1"/>
    <col min="15929" max="15929" width="15" style="211" bestFit="1" customWidth="1"/>
    <col min="15930" max="15930" width="9.140625" style="211"/>
    <col min="15931" max="15931" width="14.7109375" style="211" bestFit="1" customWidth="1"/>
    <col min="15932" max="15932" width="10.85546875" style="211" bestFit="1" customWidth="1"/>
    <col min="15933" max="15935" width="9.28515625" style="211" customWidth="1"/>
    <col min="15936" max="15936" width="9.140625" style="211"/>
    <col min="15937" max="15937" width="7.85546875" style="211" bestFit="1" customWidth="1"/>
    <col min="15938" max="15938" width="8.5703125" style="211" bestFit="1" customWidth="1"/>
    <col min="15939" max="15939" width="9.140625" style="211"/>
    <col min="15940" max="15940" width="14.42578125" style="211" bestFit="1" customWidth="1"/>
    <col min="15941" max="15941" width="16.85546875" style="211" bestFit="1" customWidth="1"/>
    <col min="15942" max="15942" width="21.42578125" style="211" bestFit="1" customWidth="1"/>
    <col min="15943" max="15943" width="9.7109375" style="211" bestFit="1" customWidth="1"/>
    <col min="15944" max="15944" width="15" style="211" bestFit="1" customWidth="1"/>
    <col min="15945" max="16128" width="9.140625" style="211"/>
    <col min="16129" max="16129" width="51.28515625" style="211" bestFit="1" customWidth="1"/>
    <col min="16130" max="16130" width="12.28515625" style="211" customWidth="1"/>
    <col min="16131" max="16131" width="14.28515625" style="211" customWidth="1"/>
    <col min="16132" max="16132" width="13.42578125" style="211" bestFit="1" customWidth="1"/>
    <col min="16133" max="16133" width="12.5703125" style="211" bestFit="1" customWidth="1"/>
    <col min="16134" max="16134" width="13" style="211" bestFit="1" customWidth="1"/>
    <col min="16135" max="16135" width="14" style="211" bestFit="1" customWidth="1"/>
    <col min="16136" max="16136" width="13" style="211" bestFit="1" customWidth="1"/>
    <col min="16137" max="16137" width="12.5703125" style="211" customWidth="1"/>
    <col min="16138" max="16138" width="16.28515625" style="211" bestFit="1" customWidth="1"/>
    <col min="16139" max="16139" width="15.5703125" style="211" customWidth="1"/>
    <col min="16140" max="16140" width="13" style="211" bestFit="1" customWidth="1"/>
    <col min="16141" max="16141" width="15.85546875" style="211" customWidth="1"/>
    <col min="16142" max="16142" width="15" style="211" bestFit="1" customWidth="1"/>
    <col min="16143" max="16143" width="9.140625" style="211"/>
    <col min="16144" max="16144" width="14.28515625" style="211" bestFit="1" customWidth="1"/>
    <col min="16145" max="16145" width="11.85546875" style="211" bestFit="1" customWidth="1"/>
    <col min="16146" max="16147" width="11.85546875" style="211" customWidth="1"/>
    <col min="16148" max="16148" width="7" style="211" bestFit="1" customWidth="1"/>
    <col min="16149" max="16150" width="12.5703125" style="211" bestFit="1" customWidth="1"/>
    <col min="16151" max="16151" width="7.7109375" style="211" bestFit="1" customWidth="1"/>
    <col min="16152" max="16152" width="14.140625" style="211" bestFit="1" customWidth="1"/>
    <col min="16153" max="16153" width="18" style="211" customWidth="1"/>
    <col min="16154" max="16154" width="21.42578125" style="211" bestFit="1" customWidth="1"/>
    <col min="16155" max="16155" width="13.28515625" style="211" bestFit="1" customWidth="1"/>
    <col min="16156" max="16156" width="15" style="211" bestFit="1" customWidth="1"/>
    <col min="16157" max="16157" width="9.140625" style="211"/>
    <col min="16158" max="16158" width="14.28515625" style="211" bestFit="1" customWidth="1"/>
    <col min="16159" max="16159" width="9.5703125" style="211" bestFit="1" customWidth="1"/>
    <col min="16160" max="16161" width="9.5703125" style="211" customWidth="1"/>
    <col min="16162" max="16162" width="7" style="211" bestFit="1" customWidth="1"/>
    <col min="16163" max="16163" width="9.28515625" style="211" bestFit="1" customWidth="1"/>
    <col min="16164" max="16164" width="10.140625" style="211" bestFit="1" customWidth="1"/>
    <col min="16165" max="16165" width="9.140625" style="211"/>
    <col min="16166" max="16166" width="14.140625" style="211" bestFit="1" customWidth="1"/>
    <col min="16167" max="16167" width="15.5703125" style="211" bestFit="1" customWidth="1"/>
    <col min="16168" max="16168" width="21.42578125" style="211" bestFit="1" customWidth="1"/>
    <col min="16169" max="16169" width="13.28515625" style="211" bestFit="1" customWidth="1"/>
    <col min="16170" max="16170" width="15" style="211" bestFit="1" customWidth="1"/>
    <col min="16171" max="16171" width="9.140625" style="211"/>
    <col min="16172" max="16172" width="14.7109375" style="211" bestFit="1" customWidth="1"/>
    <col min="16173" max="16173" width="10.85546875" style="211" bestFit="1" customWidth="1"/>
    <col min="16174" max="16178" width="9.140625" style="211"/>
    <col min="16179" max="16179" width="11.85546875" style="211" customWidth="1"/>
    <col min="16180" max="16180" width="7.85546875" style="211" bestFit="1" customWidth="1"/>
    <col min="16181" max="16181" width="14.42578125" style="211" bestFit="1" customWidth="1"/>
    <col min="16182" max="16182" width="16.85546875" style="211" bestFit="1" customWidth="1"/>
    <col min="16183" max="16183" width="21.42578125" style="211" bestFit="1" customWidth="1"/>
    <col min="16184" max="16184" width="9.7109375" style="211" bestFit="1" customWidth="1"/>
    <col min="16185" max="16185" width="15" style="211" bestFit="1" customWidth="1"/>
    <col min="16186" max="16186" width="9.140625" style="211"/>
    <col min="16187" max="16187" width="14.7109375" style="211" bestFit="1" customWidth="1"/>
    <col min="16188" max="16188" width="10.85546875" style="211" bestFit="1" customWidth="1"/>
    <col min="16189" max="16191" width="9.28515625" style="211" customWidth="1"/>
    <col min="16192" max="16192" width="9.140625" style="211"/>
    <col min="16193" max="16193" width="7.85546875" style="211" bestFit="1" customWidth="1"/>
    <col min="16194" max="16194" width="8.5703125" style="211" bestFit="1" customWidth="1"/>
    <col min="16195" max="16195" width="9.140625" style="211"/>
    <col min="16196" max="16196" width="14.42578125" style="211" bestFit="1" customWidth="1"/>
    <col min="16197" max="16197" width="16.85546875" style="211" bestFit="1" customWidth="1"/>
    <col min="16198" max="16198" width="21.42578125" style="211" bestFit="1" customWidth="1"/>
    <col min="16199" max="16199" width="9.7109375" style="211" bestFit="1" customWidth="1"/>
    <col min="16200" max="16200" width="15" style="211" bestFit="1" customWidth="1"/>
    <col min="16201" max="16384" width="9.140625" style="211"/>
  </cols>
  <sheetData>
    <row r="1" spans="1:72" s="210" customFormat="1" ht="45" customHeight="1" x14ac:dyDescent="0.25">
      <c r="A1" s="256" t="s">
        <v>213</v>
      </c>
      <c r="B1" s="315" t="s">
        <v>103</v>
      </c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7"/>
      <c r="N1" s="305" t="s">
        <v>104</v>
      </c>
      <c r="O1" s="321"/>
      <c r="P1" s="256" t="s">
        <v>213</v>
      </c>
      <c r="Q1" s="315" t="s">
        <v>105</v>
      </c>
      <c r="R1" s="316"/>
      <c r="S1" s="316"/>
      <c r="T1" s="316"/>
      <c r="U1" s="316"/>
      <c r="V1" s="316"/>
      <c r="W1" s="316"/>
      <c r="X1" s="316"/>
      <c r="Y1" s="316"/>
      <c r="Z1" s="316"/>
      <c r="AA1" s="316"/>
      <c r="AB1" s="305" t="s">
        <v>106</v>
      </c>
      <c r="AC1" s="321"/>
      <c r="AD1" s="256" t="s">
        <v>213</v>
      </c>
      <c r="AE1" s="315" t="s">
        <v>107</v>
      </c>
      <c r="AF1" s="316"/>
      <c r="AG1" s="316"/>
      <c r="AH1" s="316"/>
      <c r="AI1" s="316"/>
      <c r="AJ1" s="316"/>
      <c r="AK1" s="316"/>
      <c r="AL1" s="316"/>
      <c r="AM1" s="316"/>
      <c r="AN1" s="316"/>
      <c r="AO1" s="316"/>
      <c r="AP1" s="305" t="s">
        <v>108</v>
      </c>
      <c r="AQ1" s="321"/>
      <c r="AR1" s="256" t="s">
        <v>213</v>
      </c>
      <c r="AS1" s="315" t="s">
        <v>109</v>
      </c>
      <c r="AT1" s="316"/>
      <c r="AU1" s="316"/>
      <c r="AV1" s="316"/>
      <c r="AW1" s="316"/>
      <c r="AX1" s="316"/>
      <c r="AY1" s="316"/>
      <c r="AZ1" s="316"/>
      <c r="BA1" s="316"/>
      <c r="BB1" s="316"/>
      <c r="BC1" s="316"/>
      <c r="BD1" s="316"/>
      <c r="BE1" s="305" t="s">
        <v>110</v>
      </c>
      <c r="BF1" s="321"/>
      <c r="BG1" s="256" t="s">
        <v>213</v>
      </c>
      <c r="BH1" s="315" t="s">
        <v>111</v>
      </c>
      <c r="BI1" s="316"/>
      <c r="BJ1" s="316"/>
      <c r="BK1" s="316"/>
      <c r="BL1" s="316"/>
      <c r="BM1" s="316"/>
      <c r="BN1" s="316"/>
      <c r="BO1" s="316"/>
      <c r="BP1" s="316"/>
      <c r="BQ1" s="316"/>
      <c r="BR1" s="316"/>
      <c r="BS1" s="316"/>
      <c r="BT1" s="305" t="s">
        <v>112</v>
      </c>
    </row>
    <row r="2" spans="1:72" ht="51" x14ac:dyDescent="0.2">
      <c r="A2" s="249" t="s">
        <v>113</v>
      </c>
      <c r="B2" s="307" t="s">
        <v>229</v>
      </c>
      <c r="C2" s="308"/>
      <c r="D2" s="309" t="s">
        <v>114</v>
      </c>
      <c r="E2" s="311" t="s">
        <v>115</v>
      </c>
      <c r="F2" s="309" t="s">
        <v>214</v>
      </c>
      <c r="G2" s="311" t="s">
        <v>116</v>
      </c>
      <c r="H2" s="313" t="s">
        <v>117</v>
      </c>
      <c r="I2" s="311" t="s">
        <v>118</v>
      </c>
      <c r="J2" s="318" t="s">
        <v>119</v>
      </c>
      <c r="K2" s="311" t="s">
        <v>120</v>
      </c>
      <c r="L2" s="264"/>
      <c r="M2" s="264"/>
      <c r="N2" s="306"/>
      <c r="O2" s="321"/>
      <c r="P2" s="261" t="s">
        <v>113</v>
      </c>
      <c r="Q2" s="307" t="s">
        <v>229</v>
      </c>
      <c r="R2" s="320"/>
      <c r="S2" s="308"/>
      <c r="T2" s="266" t="s">
        <v>114</v>
      </c>
      <c r="U2" s="257" t="s">
        <v>115</v>
      </c>
      <c r="V2" s="266" t="s">
        <v>225</v>
      </c>
      <c r="W2" s="257" t="s">
        <v>116</v>
      </c>
      <c r="X2" s="264" t="s">
        <v>117</v>
      </c>
      <c r="Y2" s="261" t="s">
        <v>118</v>
      </c>
      <c r="Z2" s="261" t="s">
        <v>119</v>
      </c>
      <c r="AA2" s="257" t="s">
        <v>120</v>
      </c>
      <c r="AB2" s="306"/>
      <c r="AC2" s="321"/>
      <c r="AD2" s="261" t="s">
        <v>113</v>
      </c>
      <c r="AE2" s="307" t="s">
        <v>229</v>
      </c>
      <c r="AF2" s="320"/>
      <c r="AG2" s="308"/>
      <c r="AH2" s="266" t="s">
        <v>114</v>
      </c>
      <c r="AI2" s="257" t="s">
        <v>115</v>
      </c>
      <c r="AJ2" s="266" t="s">
        <v>226</v>
      </c>
      <c r="AK2" s="257" t="s">
        <v>116</v>
      </c>
      <c r="AL2" s="264" t="s">
        <v>117</v>
      </c>
      <c r="AM2" s="261" t="s">
        <v>118</v>
      </c>
      <c r="AN2" s="261" t="s">
        <v>119</v>
      </c>
      <c r="AO2" s="257" t="s">
        <v>120</v>
      </c>
      <c r="AP2" s="306"/>
      <c r="AQ2" s="321"/>
      <c r="AR2" s="261" t="s">
        <v>113</v>
      </c>
      <c r="AS2" s="307" t="s">
        <v>229</v>
      </c>
      <c r="AT2" s="320"/>
      <c r="AU2" s="320"/>
      <c r="AV2" s="308"/>
      <c r="AW2" s="266" t="s">
        <v>114</v>
      </c>
      <c r="AX2" s="257" t="s">
        <v>115</v>
      </c>
      <c r="AY2" s="266" t="s">
        <v>226</v>
      </c>
      <c r="AZ2" s="257" t="s">
        <v>116</v>
      </c>
      <c r="BA2" s="264" t="s">
        <v>117</v>
      </c>
      <c r="BB2" s="261" t="s">
        <v>118</v>
      </c>
      <c r="BC2" s="261" t="s">
        <v>119</v>
      </c>
      <c r="BD2" s="257" t="s">
        <v>120</v>
      </c>
      <c r="BE2" s="306"/>
      <c r="BF2" s="321"/>
      <c r="BG2" s="261" t="s">
        <v>113</v>
      </c>
      <c r="BH2" s="307" t="s">
        <v>229</v>
      </c>
      <c r="BI2" s="320"/>
      <c r="BJ2" s="320"/>
      <c r="BK2" s="308"/>
      <c r="BL2" s="266" t="s">
        <v>114</v>
      </c>
      <c r="BM2" s="257" t="s">
        <v>115</v>
      </c>
      <c r="BN2" s="266" t="s">
        <v>227</v>
      </c>
      <c r="BO2" s="257" t="s">
        <v>116</v>
      </c>
      <c r="BP2" s="264" t="s">
        <v>117</v>
      </c>
      <c r="BQ2" s="261" t="s">
        <v>118</v>
      </c>
      <c r="BR2" s="261" t="s">
        <v>119</v>
      </c>
      <c r="BS2" s="257" t="s">
        <v>120</v>
      </c>
      <c r="BT2" s="306"/>
    </row>
    <row r="3" spans="1:72" ht="25.5" customHeight="1" x14ac:dyDescent="0.2">
      <c r="A3" s="249"/>
      <c r="B3" s="257" t="s">
        <v>121</v>
      </c>
      <c r="C3" s="257" t="s">
        <v>122</v>
      </c>
      <c r="D3" s="310"/>
      <c r="E3" s="312"/>
      <c r="F3" s="310"/>
      <c r="G3" s="312"/>
      <c r="H3" s="314"/>
      <c r="I3" s="312"/>
      <c r="J3" s="319"/>
      <c r="K3" s="312"/>
      <c r="L3" s="264"/>
      <c r="M3" s="264"/>
      <c r="N3" s="256"/>
      <c r="O3" s="321"/>
      <c r="P3" s="261"/>
      <c r="Q3" s="257" t="s">
        <v>123</v>
      </c>
      <c r="R3" s="257" t="s">
        <v>122</v>
      </c>
      <c r="S3" s="257" t="s">
        <v>124</v>
      </c>
      <c r="T3" s="266"/>
      <c r="U3" s="257"/>
      <c r="V3" s="266"/>
      <c r="W3" s="257"/>
      <c r="X3" s="264"/>
      <c r="Y3" s="261"/>
      <c r="Z3" s="261"/>
      <c r="AA3" s="257"/>
      <c r="AB3" s="256"/>
      <c r="AC3" s="321"/>
      <c r="AD3" s="261"/>
      <c r="AE3" s="257" t="s">
        <v>123</v>
      </c>
      <c r="AF3" s="257" t="s">
        <v>122</v>
      </c>
      <c r="AG3" s="257" t="s">
        <v>124</v>
      </c>
      <c r="AH3" s="266"/>
      <c r="AI3" s="257"/>
      <c r="AJ3" s="266"/>
      <c r="AK3" s="257"/>
      <c r="AL3" s="264"/>
      <c r="AM3" s="261"/>
      <c r="AN3" s="261"/>
      <c r="AO3" s="257"/>
      <c r="AP3" s="256"/>
      <c r="AQ3" s="321"/>
      <c r="AR3" s="261"/>
      <c r="AS3" s="257" t="s">
        <v>123</v>
      </c>
      <c r="AT3" s="257" t="s">
        <v>122</v>
      </c>
      <c r="AU3" s="257" t="s">
        <v>124</v>
      </c>
      <c r="AV3" s="257" t="s">
        <v>125</v>
      </c>
      <c r="AW3" s="266"/>
      <c r="AX3" s="257"/>
      <c r="AY3" s="266"/>
      <c r="AZ3" s="257"/>
      <c r="BA3" s="264"/>
      <c r="BB3" s="261"/>
      <c r="BC3" s="261"/>
      <c r="BD3" s="257"/>
      <c r="BE3" s="256"/>
      <c r="BF3" s="321"/>
      <c r="BG3" s="261"/>
      <c r="BH3" s="257" t="s">
        <v>126</v>
      </c>
      <c r="BI3" s="257" t="s">
        <v>122</v>
      </c>
      <c r="BJ3" s="257" t="s">
        <v>124</v>
      </c>
      <c r="BK3" s="257" t="s">
        <v>125</v>
      </c>
      <c r="BL3" s="266"/>
      <c r="BM3" s="257"/>
      <c r="BN3" s="266"/>
      <c r="BO3" s="257"/>
      <c r="BP3" s="264"/>
      <c r="BQ3" s="261"/>
      <c r="BR3" s="261"/>
      <c r="BS3" s="257"/>
      <c r="BT3" s="256"/>
    </row>
    <row r="4" spans="1:72" ht="18.95" customHeight="1" x14ac:dyDescent="0.25">
      <c r="A4" s="249" t="s">
        <v>127</v>
      </c>
      <c r="B4" s="250">
        <v>0</v>
      </c>
      <c r="C4" s="250"/>
      <c r="D4" s="251"/>
      <c r="E4" s="252"/>
      <c r="F4" s="251"/>
      <c r="G4" s="252"/>
      <c r="H4" s="253"/>
      <c r="I4" s="232"/>
      <c r="J4" s="254"/>
      <c r="K4" s="258"/>
      <c r="L4" s="259"/>
      <c r="M4" s="259"/>
      <c r="N4" s="259"/>
      <c r="O4" s="321"/>
      <c r="P4" s="249" t="s">
        <v>127</v>
      </c>
      <c r="Q4" s="250">
        <f>8000*3.67</f>
        <v>29360</v>
      </c>
      <c r="R4" s="250">
        <f>3500*3.67</f>
        <v>12845</v>
      </c>
      <c r="S4" s="250">
        <v>0</v>
      </c>
      <c r="T4" s="251">
        <v>4</v>
      </c>
      <c r="U4" s="252">
        <v>150</v>
      </c>
      <c r="V4" s="251">
        <f>450*3.67</f>
        <v>1651.5</v>
      </c>
      <c r="W4" s="252">
        <f>1500*3.67</f>
        <v>5505</v>
      </c>
      <c r="X4" s="268" t="s">
        <v>128</v>
      </c>
      <c r="Y4" s="232">
        <v>0</v>
      </c>
      <c r="Z4" s="254">
        <v>0</v>
      </c>
      <c r="AA4" s="258">
        <v>3670</v>
      </c>
      <c r="AB4" s="259"/>
      <c r="AC4" s="321"/>
      <c r="AD4" s="249" t="s">
        <v>127</v>
      </c>
      <c r="AE4" s="250">
        <v>55050</v>
      </c>
      <c r="AF4" s="250">
        <v>22020</v>
      </c>
      <c r="AG4" s="250">
        <v>12845</v>
      </c>
      <c r="AH4" s="251">
        <v>7</v>
      </c>
      <c r="AI4" s="252">
        <v>200</v>
      </c>
      <c r="AJ4" s="251">
        <v>2936</v>
      </c>
      <c r="AK4" s="252">
        <v>5505</v>
      </c>
      <c r="AL4" s="268" t="s">
        <v>128</v>
      </c>
      <c r="AM4" s="232">
        <v>0</v>
      </c>
      <c r="AN4" s="268">
        <v>0</v>
      </c>
      <c r="AO4" s="258">
        <v>5505</v>
      </c>
      <c r="AP4" s="259"/>
      <c r="AQ4" s="321"/>
      <c r="AR4" s="249" t="s">
        <v>127</v>
      </c>
      <c r="AS4" s="250">
        <v>73400</v>
      </c>
      <c r="AT4" s="269">
        <v>27525</v>
      </c>
      <c r="AU4" s="269">
        <v>14680</v>
      </c>
      <c r="AV4" s="250">
        <v>0</v>
      </c>
      <c r="AW4" s="251">
        <v>10</v>
      </c>
      <c r="AX4" s="252">
        <v>250</v>
      </c>
      <c r="AY4" s="251">
        <v>3670</v>
      </c>
      <c r="AZ4" s="252">
        <v>7340</v>
      </c>
      <c r="BA4" s="268" t="s">
        <v>128</v>
      </c>
      <c r="BB4" s="232">
        <v>0</v>
      </c>
      <c r="BC4" s="254">
        <v>0</v>
      </c>
      <c r="BD4" s="258">
        <v>7340</v>
      </c>
      <c r="BE4" s="259"/>
      <c r="BF4" s="321"/>
      <c r="BG4" s="249" t="s">
        <v>127</v>
      </c>
      <c r="BH4" s="250">
        <v>91750</v>
      </c>
      <c r="BI4" s="269">
        <v>25690</v>
      </c>
      <c r="BJ4" s="269">
        <v>18350</v>
      </c>
      <c r="BK4" s="269">
        <v>9175</v>
      </c>
      <c r="BL4" s="251">
        <v>10</v>
      </c>
      <c r="BM4" s="252">
        <v>280</v>
      </c>
      <c r="BN4" s="251">
        <v>4110.3999999999996</v>
      </c>
      <c r="BO4" s="252">
        <v>8074</v>
      </c>
      <c r="BP4" s="268" t="s">
        <v>128</v>
      </c>
      <c r="BQ4" s="232">
        <v>0</v>
      </c>
      <c r="BR4" s="254">
        <v>0</v>
      </c>
      <c r="BS4" s="258">
        <v>9175</v>
      </c>
      <c r="BT4" s="259"/>
    </row>
    <row r="5" spans="1:72" ht="18.95" customHeight="1" x14ac:dyDescent="0.25">
      <c r="A5" s="249" t="s">
        <v>129</v>
      </c>
      <c r="B5" s="250">
        <v>0</v>
      </c>
      <c r="C5" s="250"/>
      <c r="D5" s="251"/>
      <c r="E5" s="252"/>
      <c r="F5" s="251"/>
      <c r="G5" s="252"/>
      <c r="H5" s="253"/>
      <c r="I5" s="252"/>
      <c r="J5" s="253"/>
      <c r="K5" s="253"/>
      <c r="L5" s="260"/>
      <c r="M5" s="260"/>
      <c r="N5" s="260"/>
      <c r="O5" s="321"/>
      <c r="P5" s="249" t="s">
        <v>129</v>
      </c>
      <c r="Q5" s="250">
        <f>8000*3.67</f>
        <v>29360</v>
      </c>
      <c r="R5" s="269">
        <f>4500*3.67</f>
        <v>16515</v>
      </c>
      <c r="S5" s="269">
        <v>0</v>
      </c>
      <c r="T5" s="270">
        <v>4</v>
      </c>
      <c r="U5" s="271">
        <v>150</v>
      </c>
      <c r="V5" s="270">
        <f>450*3.67</f>
        <v>1651.5</v>
      </c>
      <c r="W5" s="252">
        <f t="shared" ref="W5:W6" si="0">1500*3.67</f>
        <v>5505</v>
      </c>
      <c r="X5" s="268" t="s">
        <v>128</v>
      </c>
      <c r="Y5" s="271">
        <v>0</v>
      </c>
      <c r="Z5" s="268">
        <v>0</v>
      </c>
      <c r="AA5" s="268">
        <v>7340</v>
      </c>
      <c r="AB5" s="260"/>
      <c r="AC5" s="321"/>
      <c r="AD5" s="249" t="s">
        <v>129</v>
      </c>
      <c r="AE5" s="269">
        <v>73400</v>
      </c>
      <c r="AF5" s="269">
        <v>27525</v>
      </c>
      <c r="AG5" s="269">
        <v>14680</v>
      </c>
      <c r="AH5" s="270">
        <v>10</v>
      </c>
      <c r="AI5" s="271">
        <v>200</v>
      </c>
      <c r="AJ5" s="251">
        <v>2936</v>
      </c>
      <c r="AK5" s="271">
        <v>7340</v>
      </c>
      <c r="AL5" s="268" t="s">
        <v>128</v>
      </c>
      <c r="AM5" s="271">
        <v>0</v>
      </c>
      <c r="AN5" s="268">
        <v>0</v>
      </c>
      <c r="AO5" s="268">
        <v>7340</v>
      </c>
      <c r="AP5" s="260"/>
      <c r="AQ5" s="321"/>
      <c r="AR5" s="249" t="s">
        <v>129</v>
      </c>
      <c r="AS5" s="269">
        <v>91750</v>
      </c>
      <c r="AT5" s="269">
        <v>29360</v>
      </c>
      <c r="AU5" s="269">
        <v>16515</v>
      </c>
      <c r="AV5" s="269">
        <v>0</v>
      </c>
      <c r="AW5" s="270">
        <v>12</v>
      </c>
      <c r="AX5" s="271">
        <v>250</v>
      </c>
      <c r="AY5" s="251">
        <v>3670</v>
      </c>
      <c r="AZ5" s="271">
        <v>7340</v>
      </c>
      <c r="BA5" s="268" t="s">
        <v>128</v>
      </c>
      <c r="BB5" s="271">
        <v>165150</v>
      </c>
      <c r="BC5" s="268" t="s">
        <v>130</v>
      </c>
      <c r="BD5" s="268">
        <v>7340</v>
      </c>
      <c r="BE5" s="260"/>
      <c r="BF5" s="321"/>
      <c r="BG5" s="249" t="s">
        <v>129</v>
      </c>
      <c r="BH5" s="269">
        <v>102760</v>
      </c>
      <c r="BI5" s="269">
        <v>27525</v>
      </c>
      <c r="BJ5" s="269">
        <v>20185</v>
      </c>
      <c r="BK5" s="269">
        <v>9175</v>
      </c>
      <c r="BL5" s="270">
        <v>12</v>
      </c>
      <c r="BM5" s="271">
        <v>280</v>
      </c>
      <c r="BN5" s="251">
        <v>4110.3999999999996</v>
      </c>
      <c r="BO5" s="271">
        <v>8074</v>
      </c>
      <c r="BP5" s="268" t="s">
        <v>128</v>
      </c>
      <c r="BQ5" s="271">
        <v>165150</v>
      </c>
      <c r="BR5" s="268" t="s">
        <v>130</v>
      </c>
      <c r="BS5" s="268">
        <v>9175</v>
      </c>
      <c r="BT5" s="260"/>
    </row>
    <row r="6" spans="1:72" ht="18.95" customHeight="1" x14ac:dyDescent="0.25">
      <c r="A6" s="249" t="s">
        <v>131</v>
      </c>
      <c r="B6" s="250">
        <v>0</v>
      </c>
      <c r="C6" s="250"/>
      <c r="D6" s="251">
        <v>0</v>
      </c>
      <c r="E6" s="252">
        <v>0</v>
      </c>
      <c r="F6" s="251">
        <v>0</v>
      </c>
      <c r="G6" s="252">
        <v>0</v>
      </c>
      <c r="H6" s="253">
        <v>0</v>
      </c>
      <c r="I6" s="232">
        <v>0</v>
      </c>
      <c r="J6" s="254">
        <v>0</v>
      </c>
      <c r="K6" s="254">
        <v>0</v>
      </c>
      <c r="L6" s="255"/>
      <c r="M6" s="255"/>
      <c r="N6" s="255"/>
      <c r="O6" s="321"/>
      <c r="P6" s="249" t="s">
        <v>131</v>
      </c>
      <c r="Q6" s="269">
        <f>12000*3.67</f>
        <v>44040</v>
      </c>
      <c r="R6" s="269">
        <f>5000*3.67</f>
        <v>18350</v>
      </c>
      <c r="S6" s="269">
        <v>0</v>
      </c>
      <c r="T6" s="270">
        <v>6</v>
      </c>
      <c r="U6" s="271">
        <v>170</v>
      </c>
      <c r="V6" s="270">
        <f>510*3.67</f>
        <v>1871.7</v>
      </c>
      <c r="W6" s="252">
        <f t="shared" si="0"/>
        <v>5505</v>
      </c>
      <c r="X6" s="268" t="s">
        <v>128</v>
      </c>
      <c r="Y6" s="271">
        <v>183500</v>
      </c>
      <c r="Z6" s="268" t="s">
        <v>132</v>
      </c>
      <c r="AA6" s="272">
        <v>3670</v>
      </c>
      <c r="AB6" s="255"/>
      <c r="AC6" s="321"/>
      <c r="AD6" s="249" t="s">
        <v>131</v>
      </c>
      <c r="AE6" s="269">
        <v>80740</v>
      </c>
      <c r="AF6" s="269">
        <v>27525</v>
      </c>
      <c r="AG6" s="269">
        <v>14680</v>
      </c>
      <c r="AH6" s="270">
        <v>11</v>
      </c>
      <c r="AI6" s="271">
        <v>200</v>
      </c>
      <c r="AJ6" s="251">
        <v>2936</v>
      </c>
      <c r="AK6" s="271">
        <v>7340</v>
      </c>
      <c r="AL6" s="268" t="s">
        <v>128</v>
      </c>
      <c r="AM6" s="271">
        <v>220200</v>
      </c>
      <c r="AN6" s="268" t="s">
        <v>132</v>
      </c>
      <c r="AO6" s="272">
        <v>5505</v>
      </c>
      <c r="AP6" s="255"/>
      <c r="AQ6" s="321"/>
      <c r="AR6" s="249" t="s">
        <v>131</v>
      </c>
      <c r="AS6" s="269">
        <v>91750</v>
      </c>
      <c r="AT6" s="269">
        <v>29360</v>
      </c>
      <c r="AU6" s="269">
        <v>16515</v>
      </c>
      <c r="AV6" s="269">
        <v>0</v>
      </c>
      <c r="AW6" s="270">
        <v>12</v>
      </c>
      <c r="AX6" s="271">
        <v>250</v>
      </c>
      <c r="AY6" s="251">
        <v>3670</v>
      </c>
      <c r="AZ6" s="271">
        <v>9175</v>
      </c>
      <c r="BA6" s="268" t="s">
        <v>128</v>
      </c>
      <c r="BB6" s="271">
        <v>256900</v>
      </c>
      <c r="BC6" s="268" t="s">
        <v>132</v>
      </c>
      <c r="BD6" s="272">
        <v>7340</v>
      </c>
      <c r="BE6" s="255"/>
      <c r="BF6" s="321"/>
      <c r="BG6" s="249" t="s">
        <v>131</v>
      </c>
      <c r="BH6" s="269">
        <v>102760</v>
      </c>
      <c r="BI6" s="269">
        <v>31195</v>
      </c>
      <c r="BJ6" s="269">
        <v>20185</v>
      </c>
      <c r="BK6" s="269">
        <v>11010</v>
      </c>
      <c r="BL6" s="270">
        <v>12</v>
      </c>
      <c r="BM6" s="271">
        <v>300</v>
      </c>
      <c r="BN6" s="251">
        <v>4404</v>
      </c>
      <c r="BO6" s="271">
        <v>10276</v>
      </c>
      <c r="BP6" s="268" t="s">
        <v>128</v>
      </c>
      <c r="BQ6" s="271">
        <v>256900</v>
      </c>
      <c r="BR6" s="268" t="s">
        <v>132</v>
      </c>
      <c r="BS6" s="272">
        <v>9175</v>
      </c>
      <c r="BT6" s="255"/>
    </row>
    <row r="7" spans="1:72" s="213" customFormat="1" ht="18.95" customHeight="1" x14ac:dyDescent="0.25">
      <c r="A7" s="249" t="s">
        <v>133</v>
      </c>
      <c r="B7" s="250">
        <f>1500*3.67</f>
        <v>5505</v>
      </c>
      <c r="C7" s="250"/>
      <c r="D7" s="251">
        <v>1</v>
      </c>
      <c r="E7" s="252">
        <v>25</v>
      </c>
      <c r="F7" s="251">
        <f>75*3.67</f>
        <v>275.25</v>
      </c>
      <c r="G7" s="252">
        <v>0</v>
      </c>
      <c r="H7" s="253">
        <v>0</v>
      </c>
      <c r="I7" s="252">
        <v>0</v>
      </c>
      <c r="J7" s="253">
        <v>0</v>
      </c>
      <c r="K7" s="253">
        <v>0</v>
      </c>
      <c r="L7" s="251"/>
      <c r="M7" s="251"/>
      <c r="N7" s="251"/>
      <c r="O7" s="321"/>
      <c r="P7" s="249" t="s">
        <v>133</v>
      </c>
      <c r="Q7" s="269">
        <f>15000*3.67</f>
        <v>55050</v>
      </c>
      <c r="R7" s="269">
        <f>5000*3.67</f>
        <v>18350</v>
      </c>
      <c r="S7" s="269">
        <f>500*3.67</f>
        <v>1835</v>
      </c>
      <c r="T7" s="270">
        <v>7</v>
      </c>
      <c r="U7" s="271">
        <v>170</v>
      </c>
      <c r="V7" s="270">
        <f>510*3.67</f>
        <v>1871.7</v>
      </c>
      <c r="W7" s="271">
        <f>3000*3.67</f>
        <v>11010</v>
      </c>
      <c r="X7" s="268" t="s">
        <v>128</v>
      </c>
      <c r="Y7" s="271">
        <v>0</v>
      </c>
      <c r="Z7" s="268">
        <v>0</v>
      </c>
      <c r="AA7" s="268">
        <v>3670</v>
      </c>
      <c r="AB7" s="251"/>
      <c r="AC7" s="321"/>
      <c r="AD7" s="249" t="s">
        <v>133</v>
      </c>
      <c r="AE7" s="269">
        <v>80740</v>
      </c>
      <c r="AF7" s="269">
        <v>33030</v>
      </c>
      <c r="AG7" s="269">
        <v>16515</v>
      </c>
      <c r="AH7" s="270">
        <v>11</v>
      </c>
      <c r="AI7" s="271">
        <v>250</v>
      </c>
      <c r="AJ7" s="270">
        <v>3670</v>
      </c>
      <c r="AK7" s="271">
        <v>9175</v>
      </c>
      <c r="AL7" s="268" t="s">
        <v>128</v>
      </c>
      <c r="AM7" s="271">
        <v>50000</v>
      </c>
      <c r="AN7" s="268" t="s">
        <v>134</v>
      </c>
      <c r="AO7" s="268">
        <v>5505</v>
      </c>
      <c r="AP7" s="251"/>
      <c r="AQ7" s="321"/>
      <c r="AR7" s="249" t="s">
        <v>133</v>
      </c>
      <c r="AS7" s="269">
        <v>99090</v>
      </c>
      <c r="AT7" s="269">
        <v>33030</v>
      </c>
      <c r="AU7" s="269">
        <v>20185</v>
      </c>
      <c r="AV7" s="269">
        <v>0</v>
      </c>
      <c r="AW7" s="270">
        <v>13</v>
      </c>
      <c r="AX7" s="271">
        <v>300</v>
      </c>
      <c r="AY7" s="270">
        <v>4404</v>
      </c>
      <c r="AZ7" s="271">
        <v>9175</v>
      </c>
      <c r="BA7" s="268" t="s">
        <v>128</v>
      </c>
      <c r="BB7" s="271">
        <v>146800</v>
      </c>
      <c r="BC7" s="268" t="s">
        <v>134</v>
      </c>
      <c r="BD7" s="268">
        <v>5505</v>
      </c>
      <c r="BE7" s="251"/>
      <c r="BF7" s="321"/>
      <c r="BG7" s="249" t="s">
        <v>133</v>
      </c>
      <c r="BH7" s="269">
        <v>110100</v>
      </c>
      <c r="BI7" s="269">
        <v>31195</v>
      </c>
      <c r="BJ7" s="269">
        <v>22020</v>
      </c>
      <c r="BK7" s="269">
        <v>11010</v>
      </c>
      <c r="BL7" s="270">
        <v>13</v>
      </c>
      <c r="BM7" s="271">
        <v>300</v>
      </c>
      <c r="BN7" s="270">
        <v>4404</v>
      </c>
      <c r="BO7" s="271">
        <v>10276</v>
      </c>
      <c r="BP7" s="268" t="s">
        <v>128</v>
      </c>
      <c r="BQ7" s="271">
        <v>201850</v>
      </c>
      <c r="BR7" s="268" t="s">
        <v>134</v>
      </c>
      <c r="BS7" s="268">
        <v>7340</v>
      </c>
      <c r="BT7" s="251"/>
    </row>
    <row r="8" spans="1:72" ht="18.95" customHeight="1" x14ac:dyDescent="0.25">
      <c r="A8" s="249" t="s">
        <v>135</v>
      </c>
      <c r="B8" s="250">
        <f>2500*3.67</f>
        <v>9175</v>
      </c>
      <c r="C8" s="250"/>
      <c r="D8" s="251">
        <v>2</v>
      </c>
      <c r="E8" s="252">
        <v>40</v>
      </c>
      <c r="F8" s="251">
        <f>120*3.67</f>
        <v>440.4</v>
      </c>
      <c r="G8" s="252">
        <f>500*3.67</f>
        <v>1835</v>
      </c>
      <c r="H8" s="253" t="s">
        <v>128</v>
      </c>
      <c r="I8" s="252"/>
      <c r="J8" s="253"/>
      <c r="K8" s="258">
        <v>0</v>
      </c>
      <c r="L8" s="259"/>
      <c r="M8" s="259"/>
      <c r="N8" s="251"/>
      <c r="O8" s="321"/>
      <c r="P8" s="249" t="s">
        <v>135</v>
      </c>
      <c r="Q8" s="269">
        <f>15000*3.67</f>
        <v>55050</v>
      </c>
      <c r="R8" s="269">
        <f>7000*3.67</f>
        <v>25690</v>
      </c>
      <c r="S8" s="269">
        <f>500*3.67</f>
        <v>1835</v>
      </c>
      <c r="T8" s="270">
        <v>7</v>
      </c>
      <c r="U8" s="271">
        <v>200</v>
      </c>
      <c r="V8" s="270">
        <f>600*3.67</f>
        <v>2202</v>
      </c>
      <c r="W8" s="271">
        <f>2000*3.67</f>
        <v>7340</v>
      </c>
      <c r="X8" s="268" t="s">
        <v>128</v>
      </c>
      <c r="Y8" s="271">
        <v>225500</v>
      </c>
      <c r="Z8" s="268" t="s">
        <v>136</v>
      </c>
      <c r="AA8" s="273">
        <v>7340</v>
      </c>
      <c r="AB8" s="251"/>
      <c r="AC8" s="321"/>
      <c r="AD8" s="249" t="s">
        <v>135</v>
      </c>
      <c r="AE8" s="269">
        <v>91750</v>
      </c>
      <c r="AF8" s="269">
        <v>31195</v>
      </c>
      <c r="AG8" s="269">
        <v>16515</v>
      </c>
      <c r="AH8" s="270">
        <v>12</v>
      </c>
      <c r="AI8" s="271">
        <v>250</v>
      </c>
      <c r="AJ8" s="270">
        <v>3670</v>
      </c>
      <c r="AK8" s="271">
        <v>9175</v>
      </c>
      <c r="AL8" s="268" t="s">
        <v>128</v>
      </c>
      <c r="AM8" s="271">
        <v>238550</v>
      </c>
      <c r="AN8" s="268" t="s">
        <v>136</v>
      </c>
      <c r="AO8" s="273">
        <v>9175</v>
      </c>
      <c r="AP8" s="251"/>
      <c r="AQ8" s="321"/>
      <c r="AR8" s="249" t="s">
        <v>135</v>
      </c>
      <c r="AS8" s="269">
        <v>104595</v>
      </c>
      <c r="AT8" s="269">
        <v>33030</v>
      </c>
      <c r="AU8" s="269">
        <v>20185</v>
      </c>
      <c r="AV8" s="269">
        <v>1835</v>
      </c>
      <c r="AW8" s="270">
        <v>14</v>
      </c>
      <c r="AX8" s="271">
        <v>300</v>
      </c>
      <c r="AY8" s="270">
        <v>4404</v>
      </c>
      <c r="AZ8" s="271">
        <v>11010</v>
      </c>
      <c r="BA8" s="268" t="s">
        <v>128</v>
      </c>
      <c r="BB8" s="271">
        <v>275250</v>
      </c>
      <c r="BC8" s="268" t="s">
        <v>136</v>
      </c>
      <c r="BD8" s="273">
        <v>9175</v>
      </c>
      <c r="BE8" s="251"/>
      <c r="BF8" s="321"/>
      <c r="BG8" s="249" t="s">
        <v>135</v>
      </c>
      <c r="BH8" s="269">
        <v>128450</v>
      </c>
      <c r="BI8" s="269">
        <v>31195</v>
      </c>
      <c r="BJ8" s="269">
        <v>22020</v>
      </c>
      <c r="BK8" s="269">
        <v>12845</v>
      </c>
      <c r="BL8" s="270">
        <v>14</v>
      </c>
      <c r="BM8" s="271">
        <v>320</v>
      </c>
      <c r="BN8" s="270">
        <v>4697.6000000000004</v>
      </c>
      <c r="BO8" s="271">
        <v>11010</v>
      </c>
      <c r="BP8" s="268" t="s">
        <v>128</v>
      </c>
      <c r="BQ8" s="271">
        <v>311950</v>
      </c>
      <c r="BR8" s="268" t="s">
        <v>137</v>
      </c>
      <c r="BS8" s="273">
        <v>9175</v>
      </c>
      <c r="BT8" s="251"/>
    </row>
    <row r="9" spans="1:72" s="213" customFormat="1" ht="18.95" customHeight="1" x14ac:dyDescent="0.25">
      <c r="A9" s="249" t="s">
        <v>138</v>
      </c>
      <c r="B9" s="250">
        <f>3000*3.6</f>
        <v>10800</v>
      </c>
      <c r="C9" s="250">
        <v>0</v>
      </c>
      <c r="D9" s="251">
        <v>2</v>
      </c>
      <c r="E9" s="252">
        <v>50</v>
      </c>
      <c r="F9" s="251">
        <f>150*3.67</f>
        <v>550.5</v>
      </c>
      <c r="G9" s="252">
        <f>500*3.67</f>
        <v>1835</v>
      </c>
      <c r="H9" s="253" t="s">
        <v>128</v>
      </c>
      <c r="I9" s="252">
        <f>55000*3.67</f>
        <v>201850</v>
      </c>
      <c r="J9" s="253" t="s">
        <v>139</v>
      </c>
      <c r="K9" s="253">
        <v>0</v>
      </c>
      <c r="L9" s="260"/>
      <c r="M9" s="260"/>
      <c r="N9" s="251"/>
      <c r="O9" s="321"/>
      <c r="P9" s="249" t="s">
        <v>138</v>
      </c>
      <c r="Q9" s="269">
        <f>20000*3.67</f>
        <v>73400</v>
      </c>
      <c r="R9" s="269">
        <f>7000*3.67</f>
        <v>25690</v>
      </c>
      <c r="S9" s="269">
        <f>1500*3.67</f>
        <v>5505</v>
      </c>
      <c r="T9" s="270">
        <v>10</v>
      </c>
      <c r="U9" s="271">
        <v>200</v>
      </c>
      <c r="V9" s="270">
        <f>600*3.67</f>
        <v>2202</v>
      </c>
      <c r="W9" s="271">
        <f>3500*3.67</f>
        <v>12845</v>
      </c>
      <c r="X9" s="268" t="s">
        <v>128</v>
      </c>
      <c r="Y9" s="271">
        <v>201850</v>
      </c>
      <c r="Z9" s="268" t="s">
        <v>139</v>
      </c>
      <c r="AA9" s="268">
        <v>3670</v>
      </c>
      <c r="AB9" s="251"/>
      <c r="AC9" s="321"/>
      <c r="AD9" s="249" t="s">
        <v>138</v>
      </c>
      <c r="AE9" s="269">
        <v>91750</v>
      </c>
      <c r="AF9" s="269">
        <v>36700</v>
      </c>
      <c r="AG9" s="269">
        <v>18350</v>
      </c>
      <c r="AH9" s="270">
        <v>12</v>
      </c>
      <c r="AI9" s="271">
        <v>270</v>
      </c>
      <c r="AJ9" s="270">
        <v>3963.6</v>
      </c>
      <c r="AK9" s="271">
        <v>11010</v>
      </c>
      <c r="AL9" s="268" t="s">
        <v>128</v>
      </c>
      <c r="AM9" s="271">
        <v>220950</v>
      </c>
      <c r="AN9" s="268" t="s">
        <v>139</v>
      </c>
      <c r="AO9" s="268">
        <v>5505</v>
      </c>
      <c r="AP9" s="251"/>
      <c r="AQ9" s="321"/>
      <c r="AR9" s="249" t="s">
        <v>138</v>
      </c>
      <c r="AS9" s="269">
        <v>104595</v>
      </c>
      <c r="AT9" s="269">
        <v>36700</v>
      </c>
      <c r="AU9" s="269">
        <v>20185</v>
      </c>
      <c r="AV9" s="269">
        <v>3670</v>
      </c>
      <c r="AW9" s="270">
        <v>14</v>
      </c>
      <c r="AX9" s="271">
        <v>350</v>
      </c>
      <c r="AY9" s="270">
        <v>5138</v>
      </c>
      <c r="AZ9" s="271">
        <v>11010</v>
      </c>
      <c r="BA9" s="268" t="s">
        <v>128</v>
      </c>
      <c r="BB9" s="271">
        <v>280950</v>
      </c>
      <c r="BC9" s="268" t="s">
        <v>139</v>
      </c>
      <c r="BD9" s="268">
        <v>5505</v>
      </c>
      <c r="BE9" s="251"/>
      <c r="BF9" s="321"/>
      <c r="BG9" s="249" t="s">
        <v>138</v>
      </c>
      <c r="BH9" s="269">
        <v>128450</v>
      </c>
      <c r="BI9" s="269">
        <v>33030</v>
      </c>
      <c r="BJ9" s="269">
        <v>23855</v>
      </c>
      <c r="BK9" s="269">
        <v>18350</v>
      </c>
      <c r="BL9" s="270">
        <v>14</v>
      </c>
      <c r="BM9" s="271">
        <v>350</v>
      </c>
      <c r="BN9" s="270">
        <v>5138</v>
      </c>
      <c r="BO9" s="271">
        <v>12845</v>
      </c>
      <c r="BP9" s="268" t="s">
        <v>128</v>
      </c>
      <c r="BQ9" s="271">
        <v>311950</v>
      </c>
      <c r="BR9" s="268" t="s">
        <v>139</v>
      </c>
      <c r="BS9" s="268">
        <v>7340</v>
      </c>
      <c r="BT9" s="251"/>
    </row>
    <row r="10" spans="1:72" ht="18.95" customHeight="1" x14ac:dyDescent="0.25">
      <c r="A10" s="249" t="s">
        <v>140</v>
      </c>
      <c r="B10" s="250">
        <f>3000*3.67</f>
        <v>11010</v>
      </c>
      <c r="C10" s="250">
        <v>0</v>
      </c>
      <c r="D10" s="251">
        <v>2</v>
      </c>
      <c r="E10" s="252">
        <v>50</v>
      </c>
      <c r="F10" s="251">
        <f>150*3.67</f>
        <v>550.5</v>
      </c>
      <c r="G10" s="252">
        <f>500*3.67</f>
        <v>1835</v>
      </c>
      <c r="H10" s="253" t="s">
        <v>128</v>
      </c>
      <c r="I10" s="232">
        <v>0</v>
      </c>
      <c r="J10" s="254"/>
      <c r="K10" s="254">
        <v>0</v>
      </c>
      <c r="L10" s="255"/>
      <c r="M10" s="255"/>
      <c r="N10" s="251"/>
      <c r="O10" s="321"/>
      <c r="P10" s="249" t="s">
        <v>140</v>
      </c>
      <c r="Q10" s="269">
        <f>10000*3.67</f>
        <v>36700</v>
      </c>
      <c r="R10" s="269">
        <v>0</v>
      </c>
      <c r="S10" s="269">
        <v>0</v>
      </c>
      <c r="T10" s="270">
        <v>5</v>
      </c>
      <c r="U10" s="271">
        <v>150</v>
      </c>
      <c r="V10" s="270">
        <f>450*3.67</f>
        <v>1651.5</v>
      </c>
      <c r="W10" s="271">
        <f>500*3.67</f>
        <v>1835</v>
      </c>
      <c r="X10" s="268" t="s">
        <v>128</v>
      </c>
      <c r="Y10" s="268">
        <v>0</v>
      </c>
      <c r="Z10" s="272"/>
      <c r="AA10" s="272">
        <v>1835</v>
      </c>
      <c r="AB10" s="251"/>
      <c r="AC10" s="321"/>
      <c r="AD10" s="249" t="s">
        <v>140</v>
      </c>
      <c r="AE10" s="269">
        <v>36700</v>
      </c>
      <c r="AF10" s="269">
        <v>0</v>
      </c>
      <c r="AG10" s="269">
        <v>0</v>
      </c>
      <c r="AH10" s="270">
        <v>5</v>
      </c>
      <c r="AI10" s="271">
        <v>150</v>
      </c>
      <c r="AJ10" s="270">
        <v>2202</v>
      </c>
      <c r="AK10" s="271">
        <v>1835</v>
      </c>
      <c r="AL10" s="268" t="s">
        <v>128</v>
      </c>
      <c r="AM10" s="268">
        <v>0</v>
      </c>
      <c r="AN10" s="268">
        <v>0</v>
      </c>
      <c r="AO10" s="272">
        <v>3670</v>
      </c>
      <c r="AP10" s="251"/>
      <c r="AQ10" s="321"/>
      <c r="AR10" s="249" t="s">
        <v>140</v>
      </c>
      <c r="AS10" s="269">
        <v>55050</v>
      </c>
      <c r="AT10" s="269">
        <v>0</v>
      </c>
      <c r="AU10" s="269">
        <v>0</v>
      </c>
      <c r="AV10" s="269">
        <v>0</v>
      </c>
      <c r="AW10" s="270">
        <v>7</v>
      </c>
      <c r="AX10" s="271">
        <v>150</v>
      </c>
      <c r="AY10" s="270">
        <v>2202</v>
      </c>
      <c r="AZ10" s="271">
        <v>1835</v>
      </c>
      <c r="BA10" s="268" t="s">
        <v>128</v>
      </c>
      <c r="BB10" s="268">
        <v>0</v>
      </c>
      <c r="BC10" s="272"/>
      <c r="BD10" s="272">
        <v>3670</v>
      </c>
      <c r="BE10" s="251"/>
      <c r="BF10" s="321"/>
      <c r="BG10" s="249" t="s">
        <v>140</v>
      </c>
      <c r="BH10" s="269">
        <v>55050</v>
      </c>
      <c r="BI10" s="269">
        <v>0</v>
      </c>
      <c r="BJ10" s="269">
        <v>0</v>
      </c>
      <c r="BK10" s="269">
        <v>0</v>
      </c>
      <c r="BL10" s="270">
        <v>7</v>
      </c>
      <c r="BM10" s="271">
        <v>150</v>
      </c>
      <c r="BN10" s="270">
        <v>2202</v>
      </c>
      <c r="BO10" s="271">
        <v>1835</v>
      </c>
      <c r="BP10" s="268" t="s">
        <v>128</v>
      </c>
      <c r="BQ10" s="268">
        <v>0</v>
      </c>
      <c r="BR10" s="272"/>
      <c r="BS10" s="272">
        <v>3670</v>
      </c>
      <c r="BT10" s="251"/>
    </row>
    <row r="11" spans="1:72" ht="18.95" customHeight="1" x14ac:dyDescent="0.25">
      <c r="A11" s="249" t="s">
        <v>142</v>
      </c>
      <c r="B11" s="250">
        <f>1000*3.67</f>
        <v>3670</v>
      </c>
      <c r="C11" s="250">
        <v>0</v>
      </c>
      <c r="D11" s="251">
        <v>0</v>
      </c>
      <c r="E11" s="252">
        <v>30</v>
      </c>
      <c r="F11" s="251">
        <f>90*3.67</f>
        <v>330.3</v>
      </c>
      <c r="G11" s="252">
        <f>0*3.67</f>
        <v>0</v>
      </c>
      <c r="H11" s="253" t="s">
        <v>128</v>
      </c>
      <c r="I11" s="252">
        <v>0</v>
      </c>
      <c r="J11" s="253"/>
      <c r="K11" s="253">
        <v>0</v>
      </c>
      <c r="L11" s="251"/>
      <c r="M11" s="251"/>
      <c r="N11" s="255"/>
      <c r="O11" s="321"/>
      <c r="P11" s="249" t="s">
        <v>142</v>
      </c>
      <c r="Q11" s="269">
        <f>10000*3.67</f>
        <v>36700</v>
      </c>
      <c r="R11" s="269">
        <v>0</v>
      </c>
      <c r="S11" s="269">
        <v>0</v>
      </c>
      <c r="T11" s="270">
        <v>5</v>
      </c>
      <c r="U11" s="271">
        <v>150</v>
      </c>
      <c r="V11" s="270">
        <f>450*3.67</f>
        <v>1651.5</v>
      </c>
      <c r="W11" s="271">
        <v>0</v>
      </c>
      <c r="X11" s="268" t="s">
        <v>128</v>
      </c>
      <c r="Y11" s="271">
        <v>0</v>
      </c>
      <c r="Z11" s="268"/>
      <c r="AA11" s="268">
        <v>1835</v>
      </c>
      <c r="AB11" s="255"/>
      <c r="AC11" s="321"/>
      <c r="AD11" s="249" t="s">
        <v>142</v>
      </c>
      <c r="AE11" s="269">
        <v>36700</v>
      </c>
      <c r="AF11" s="269">
        <v>0</v>
      </c>
      <c r="AG11" s="269">
        <v>0</v>
      </c>
      <c r="AH11" s="270">
        <v>5</v>
      </c>
      <c r="AI11" s="271">
        <v>150</v>
      </c>
      <c r="AJ11" s="270">
        <v>2202</v>
      </c>
      <c r="AK11" s="271">
        <v>0</v>
      </c>
      <c r="AL11" s="268" t="s">
        <v>128</v>
      </c>
      <c r="AM11" s="271">
        <v>0</v>
      </c>
      <c r="AN11" s="268"/>
      <c r="AO11" s="268">
        <v>1835</v>
      </c>
      <c r="AP11" s="255"/>
      <c r="AQ11" s="321"/>
      <c r="AR11" s="249" t="s">
        <v>142</v>
      </c>
      <c r="AS11" s="269">
        <v>36700</v>
      </c>
      <c r="AT11" s="269">
        <v>0</v>
      </c>
      <c r="AU11" s="269">
        <v>0</v>
      </c>
      <c r="AV11" s="269">
        <v>0</v>
      </c>
      <c r="AW11" s="270">
        <v>5</v>
      </c>
      <c r="AX11" s="271">
        <v>150</v>
      </c>
      <c r="AY11" s="270">
        <v>2202</v>
      </c>
      <c r="AZ11" s="271">
        <v>0</v>
      </c>
      <c r="BA11" s="268" t="s">
        <v>128</v>
      </c>
      <c r="BB11" s="271">
        <v>0</v>
      </c>
      <c r="BC11" s="268"/>
      <c r="BD11" s="268">
        <v>1835</v>
      </c>
      <c r="BE11" s="255"/>
      <c r="BF11" s="321"/>
      <c r="BG11" s="249" t="s">
        <v>142</v>
      </c>
      <c r="BH11" s="269">
        <v>36700</v>
      </c>
      <c r="BI11" s="269">
        <v>0</v>
      </c>
      <c r="BJ11" s="269">
        <v>0</v>
      </c>
      <c r="BK11" s="269">
        <v>0</v>
      </c>
      <c r="BL11" s="270">
        <v>5</v>
      </c>
      <c r="BM11" s="271">
        <v>150</v>
      </c>
      <c r="BN11" s="270">
        <v>2202</v>
      </c>
      <c r="BO11" s="271">
        <v>0</v>
      </c>
      <c r="BP11" s="268" t="s">
        <v>128</v>
      </c>
      <c r="BQ11" s="271">
        <v>0</v>
      </c>
      <c r="BR11" s="268"/>
      <c r="BS11" s="268">
        <v>1835</v>
      </c>
      <c r="BT11" s="255"/>
    </row>
    <row r="12" spans="1:72" ht="18.95" customHeight="1" x14ac:dyDescent="0.25">
      <c r="A12" s="249" t="s">
        <v>143</v>
      </c>
      <c r="B12" s="250">
        <f>4000*3.67</f>
        <v>14680</v>
      </c>
      <c r="C12" s="250">
        <f>1000*3.67</f>
        <v>3670</v>
      </c>
      <c r="D12" s="251">
        <v>3</v>
      </c>
      <c r="E12" s="252">
        <v>50</v>
      </c>
      <c r="F12" s="251">
        <f>150*3.67</f>
        <v>550.5</v>
      </c>
      <c r="G12" s="252">
        <f>1000*3.67</f>
        <v>3670</v>
      </c>
      <c r="H12" s="253" t="s">
        <v>128</v>
      </c>
      <c r="I12" s="252"/>
      <c r="J12" s="253"/>
      <c r="K12" s="253">
        <v>0</v>
      </c>
      <c r="L12" s="251"/>
      <c r="M12" s="251"/>
      <c r="N12" s="251"/>
      <c r="O12" s="321"/>
      <c r="P12" s="249" t="s">
        <v>143</v>
      </c>
      <c r="Q12" s="269">
        <f>10000*3.67</f>
        <v>36700</v>
      </c>
      <c r="R12" s="269">
        <f>4000*3.67</f>
        <v>14680</v>
      </c>
      <c r="S12" s="269">
        <f>2500*3.67</f>
        <v>9175</v>
      </c>
      <c r="T12" s="270">
        <v>5</v>
      </c>
      <c r="U12" s="271">
        <v>150</v>
      </c>
      <c r="V12" s="270">
        <f>450*3.67</f>
        <v>1651.5</v>
      </c>
      <c r="W12" s="271">
        <f>1000*3.67</f>
        <v>3670</v>
      </c>
      <c r="X12" s="268" t="s">
        <v>128</v>
      </c>
      <c r="Y12" s="271">
        <v>0</v>
      </c>
      <c r="Z12" s="268">
        <v>0</v>
      </c>
      <c r="AA12" s="268">
        <v>1835</v>
      </c>
      <c r="AB12" s="251"/>
      <c r="AC12" s="321"/>
      <c r="AD12" s="249" t="s">
        <v>143</v>
      </c>
      <c r="AE12" s="269">
        <v>36700</v>
      </c>
      <c r="AF12" s="269">
        <v>14680</v>
      </c>
      <c r="AG12" s="269">
        <v>11010</v>
      </c>
      <c r="AH12" s="270">
        <v>5</v>
      </c>
      <c r="AI12" s="271">
        <v>150</v>
      </c>
      <c r="AJ12" s="270">
        <v>2202</v>
      </c>
      <c r="AK12" s="271">
        <v>3670</v>
      </c>
      <c r="AL12" s="268" t="s">
        <v>128</v>
      </c>
      <c r="AM12" s="271">
        <v>0</v>
      </c>
      <c r="AN12" s="268">
        <v>0</v>
      </c>
      <c r="AO12" s="268">
        <v>1835</v>
      </c>
      <c r="AP12" s="251"/>
      <c r="AQ12" s="321"/>
      <c r="AR12" s="249" t="s">
        <v>143</v>
      </c>
      <c r="AS12" s="269">
        <v>36700</v>
      </c>
      <c r="AT12" s="269">
        <v>11010</v>
      </c>
      <c r="AU12" s="269">
        <v>7340</v>
      </c>
      <c r="AV12" s="269">
        <v>5505</v>
      </c>
      <c r="AW12" s="270">
        <v>5</v>
      </c>
      <c r="AX12" s="271">
        <v>150</v>
      </c>
      <c r="AY12" s="270">
        <v>2202</v>
      </c>
      <c r="AZ12" s="271">
        <v>5505</v>
      </c>
      <c r="BA12" s="268" t="s">
        <v>128</v>
      </c>
      <c r="BB12" s="271">
        <v>0</v>
      </c>
      <c r="BC12" s="268"/>
      <c r="BD12" s="268">
        <v>1835</v>
      </c>
      <c r="BE12" s="251"/>
      <c r="BF12" s="321"/>
      <c r="BG12" s="249" t="s">
        <v>143</v>
      </c>
      <c r="BH12" s="269">
        <v>55050</v>
      </c>
      <c r="BI12" s="269">
        <v>14680</v>
      </c>
      <c r="BJ12" s="269">
        <v>7340</v>
      </c>
      <c r="BK12" s="269">
        <v>7340</v>
      </c>
      <c r="BL12" s="270">
        <v>5</v>
      </c>
      <c r="BM12" s="271">
        <v>150</v>
      </c>
      <c r="BN12" s="270">
        <v>2202</v>
      </c>
      <c r="BO12" s="271">
        <v>5505</v>
      </c>
      <c r="BP12" s="268" t="s">
        <v>128</v>
      </c>
      <c r="BQ12" s="271">
        <v>0</v>
      </c>
      <c r="BR12" s="268"/>
      <c r="BS12" s="268">
        <v>1835</v>
      </c>
      <c r="BT12" s="251"/>
    </row>
    <row r="13" spans="1:72" ht="18.95" customHeight="1" x14ac:dyDescent="0.25">
      <c r="A13" s="249" t="s">
        <v>144</v>
      </c>
      <c r="B13" s="250">
        <f>35000*3.67</f>
        <v>128450</v>
      </c>
      <c r="C13" s="250">
        <f>15000*3.67</f>
        <v>55050</v>
      </c>
      <c r="D13" s="251">
        <v>8</v>
      </c>
      <c r="E13" s="252">
        <v>150</v>
      </c>
      <c r="F13" s="251">
        <f>450*3.67</f>
        <v>1651.5</v>
      </c>
      <c r="G13" s="252">
        <f>1500*3.67</f>
        <v>5505</v>
      </c>
      <c r="H13" s="253" t="s">
        <v>145</v>
      </c>
      <c r="I13" s="252">
        <v>0</v>
      </c>
      <c r="J13" s="253"/>
      <c r="K13" s="253">
        <f>2000*3.67</f>
        <v>7340</v>
      </c>
      <c r="L13" s="251"/>
      <c r="M13" s="251"/>
      <c r="N13" s="251"/>
      <c r="O13" s="321"/>
      <c r="P13" s="249" t="s">
        <v>146</v>
      </c>
      <c r="Q13" s="269">
        <f>45000*3.67</f>
        <v>165150</v>
      </c>
      <c r="R13" s="269">
        <f>30000*3.67</f>
        <v>110100</v>
      </c>
      <c r="S13" s="269">
        <f>15000*3.67</f>
        <v>55050</v>
      </c>
      <c r="T13" s="270">
        <v>12</v>
      </c>
      <c r="U13" s="271">
        <v>250</v>
      </c>
      <c r="V13" s="270">
        <f>750*3.67</f>
        <v>2752.5</v>
      </c>
      <c r="W13" s="271">
        <f>5000*3.67</f>
        <v>18350</v>
      </c>
      <c r="X13" s="268" t="s">
        <v>145</v>
      </c>
      <c r="Y13" s="271">
        <v>150000</v>
      </c>
      <c r="Z13" s="268" t="s">
        <v>147</v>
      </c>
      <c r="AA13" s="268">
        <v>7340</v>
      </c>
      <c r="AB13" s="251"/>
      <c r="AC13" s="321"/>
      <c r="AD13" s="249" t="s">
        <v>146</v>
      </c>
      <c r="AE13" s="269">
        <v>201850</v>
      </c>
      <c r="AF13" s="269">
        <v>146800</v>
      </c>
      <c r="AG13" s="269">
        <v>91750</v>
      </c>
      <c r="AH13" s="270">
        <v>15</v>
      </c>
      <c r="AI13" s="271">
        <v>300</v>
      </c>
      <c r="AJ13" s="270">
        <v>4404</v>
      </c>
      <c r="AK13" s="271">
        <v>25690</v>
      </c>
      <c r="AL13" s="268" t="s">
        <v>145</v>
      </c>
      <c r="AM13" s="271">
        <v>120000</v>
      </c>
      <c r="AN13" s="268" t="s">
        <v>148</v>
      </c>
      <c r="AO13" s="268">
        <v>11010</v>
      </c>
      <c r="AP13" s="251"/>
      <c r="AQ13" s="321"/>
      <c r="AR13" s="249" t="s">
        <v>146</v>
      </c>
      <c r="AS13" s="269">
        <v>238550</v>
      </c>
      <c r="AT13" s="269">
        <v>165150</v>
      </c>
      <c r="AU13" s="269">
        <v>128450</v>
      </c>
      <c r="AV13" s="269">
        <v>91750</v>
      </c>
      <c r="AW13" s="270">
        <v>20</v>
      </c>
      <c r="AX13" s="271">
        <v>350</v>
      </c>
      <c r="AY13" s="270">
        <v>5138</v>
      </c>
      <c r="AZ13" s="271">
        <v>29360</v>
      </c>
      <c r="BA13" s="268" t="s">
        <v>145</v>
      </c>
      <c r="BB13" s="271">
        <v>260000</v>
      </c>
      <c r="BC13" s="268" t="s">
        <v>148</v>
      </c>
      <c r="BD13" s="268">
        <v>12845</v>
      </c>
      <c r="BE13" s="251"/>
      <c r="BF13" s="321"/>
      <c r="BG13" s="249" t="s">
        <v>146</v>
      </c>
      <c r="BH13" s="269">
        <v>293600</v>
      </c>
      <c r="BI13" s="269">
        <v>183500</v>
      </c>
      <c r="BJ13" s="269">
        <v>146800</v>
      </c>
      <c r="BK13" s="269">
        <v>110100</v>
      </c>
      <c r="BL13" s="270">
        <v>20</v>
      </c>
      <c r="BM13" s="271">
        <v>375</v>
      </c>
      <c r="BN13" s="270">
        <v>5505</v>
      </c>
      <c r="BO13" s="271">
        <v>36700</v>
      </c>
      <c r="BP13" s="268" t="s">
        <v>145</v>
      </c>
      <c r="BQ13" s="271">
        <v>293600</v>
      </c>
      <c r="BR13" s="268" t="s">
        <v>148</v>
      </c>
      <c r="BS13" s="268">
        <v>16515</v>
      </c>
      <c r="BT13" s="251"/>
    </row>
    <row r="14" spans="1:72" ht="18.95" customHeight="1" x14ac:dyDescent="0.25">
      <c r="A14" s="249" t="s">
        <v>149</v>
      </c>
      <c r="B14" s="250">
        <f>3000*3.67</f>
        <v>11010</v>
      </c>
      <c r="C14" s="250">
        <f>2500*3.67</f>
        <v>9175</v>
      </c>
      <c r="D14" s="251">
        <v>2</v>
      </c>
      <c r="E14" s="252">
        <v>100</v>
      </c>
      <c r="F14" s="251">
        <f>300*3.67</f>
        <v>1101</v>
      </c>
      <c r="G14" s="252">
        <f>500*3.67</f>
        <v>1835</v>
      </c>
      <c r="H14" s="253" t="s">
        <v>150</v>
      </c>
      <c r="I14" s="252">
        <v>185000</v>
      </c>
      <c r="J14" s="253" t="s">
        <v>136</v>
      </c>
      <c r="K14" s="253">
        <f t="shared" ref="K14:K15" si="1">2000*3.67</f>
        <v>7340</v>
      </c>
      <c r="L14" s="251"/>
      <c r="M14" s="251"/>
      <c r="N14" s="251"/>
      <c r="O14" s="321"/>
      <c r="P14" s="249" t="s">
        <v>149</v>
      </c>
      <c r="Q14" s="269">
        <f>10000*3.67</f>
        <v>36700</v>
      </c>
      <c r="R14" s="269">
        <f>5000*3.67</f>
        <v>18350</v>
      </c>
      <c r="S14" s="269">
        <f>2500*3.67</f>
        <v>9175</v>
      </c>
      <c r="T14" s="270">
        <v>5</v>
      </c>
      <c r="U14" s="271">
        <v>150</v>
      </c>
      <c r="V14" s="270">
        <f>450*3.67</f>
        <v>1651.5</v>
      </c>
      <c r="W14" s="271">
        <f>2000*3.67</f>
        <v>7340</v>
      </c>
      <c r="X14" s="268" t="s">
        <v>150</v>
      </c>
      <c r="Y14" s="271">
        <v>220200</v>
      </c>
      <c r="Z14" s="268" t="s">
        <v>151</v>
      </c>
      <c r="AA14" s="268">
        <v>7340</v>
      </c>
      <c r="AB14" s="251"/>
      <c r="AC14" s="321"/>
      <c r="AD14" s="249" t="s">
        <v>149</v>
      </c>
      <c r="AE14" s="269">
        <v>55050</v>
      </c>
      <c r="AF14" s="269">
        <v>22020</v>
      </c>
      <c r="AG14" s="269">
        <v>14680</v>
      </c>
      <c r="AH14" s="270">
        <v>12</v>
      </c>
      <c r="AI14" s="271">
        <v>150</v>
      </c>
      <c r="AJ14" s="270">
        <v>2202</v>
      </c>
      <c r="AK14" s="271">
        <v>3670</v>
      </c>
      <c r="AL14" s="268" t="s">
        <v>150</v>
      </c>
      <c r="AM14" s="271">
        <v>256900</v>
      </c>
      <c r="AN14" s="268" t="s">
        <v>137</v>
      </c>
      <c r="AO14" s="268">
        <v>9175</v>
      </c>
      <c r="AP14" s="251"/>
      <c r="AQ14" s="321"/>
      <c r="AR14" s="249" t="s">
        <v>149</v>
      </c>
      <c r="AS14" s="269">
        <v>55050</v>
      </c>
      <c r="AT14" s="269">
        <v>22020</v>
      </c>
      <c r="AU14" s="269">
        <v>14680</v>
      </c>
      <c r="AV14" s="269">
        <v>9175</v>
      </c>
      <c r="AW14" s="270">
        <v>12</v>
      </c>
      <c r="AX14" s="271">
        <v>200</v>
      </c>
      <c r="AY14" s="270">
        <v>2936</v>
      </c>
      <c r="AZ14" s="271">
        <v>5505</v>
      </c>
      <c r="BA14" s="268" t="s">
        <v>150</v>
      </c>
      <c r="BB14" s="271">
        <v>250950</v>
      </c>
      <c r="BC14" s="268" t="s">
        <v>137</v>
      </c>
      <c r="BD14" s="268">
        <v>9175</v>
      </c>
      <c r="BE14" s="251"/>
      <c r="BF14" s="321"/>
      <c r="BG14" s="249" t="s">
        <v>149</v>
      </c>
      <c r="BH14" s="269">
        <v>55050</v>
      </c>
      <c r="BI14" s="269">
        <v>7340</v>
      </c>
      <c r="BJ14" s="269">
        <v>7340</v>
      </c>
      <c r="BK14" s="269">
        <v>7340</v>
      </c>
      <c r="BL14" s="270">
        <v>12</v>
      </c>
      <c r="BM14" s="271">
        <v>250</v>
      </c>
      <c r="BN14" s="270">
        <v>3670</v>
      </c>
      <c r="BO14" s="271">
        <v>9175</v>
      </c>
      <c r="BP14" s="268" t="s">
        <v>150</v>
      </c>
      <c r="BQ14" s="271">
        <v>275250</v>
      </c>
      <c r="BR14" s="268" t="s">
        <v>136</v>
      </c>
      <c r="BS14" s="268">
        <v>9175</v>
      </c>
      <c r="BT14" s="251"/>
    </row>
    <row r="15" spans="1:72" ht="18.95" customHeight="1" x14ac:dyDescent="0.25">
      <c r="A15" s="249" t="s">
        <v>152</v>
      </c>
      <c r="B15" s="250">
        <f>8000*3.67</f>
        <v>29360</v>
      </c>
      <c r="C15" s="250">
        <f>4000*3.67</f>
        <v>14680</v>
      </c>
      <c r="D15" s="251">
        <v>3</v>
      </c>
      <c r="E15" s="252">
        <v>120</v>
      </c>
      <c r="F15" s="251">
        <f>360*3.67</f>
        <v>1321.2</v>
      </c>
      <c r="G15" s="252">
        <f>1000*3.67</f>
        <v>3670</v>
      </c>
      <c r="H15" s="253" t="s">
        <v>153</v>
      </c>
      <c r="I15" s="252"/>
      <c r="J15" s="253"/>
      <c r="K15" s="253">
        <f t="shared" si="1"/>
        <v>7340</v>
      </c>
      <c r="L15" s="255"/>
      <c r="M15" s="255"/>
      <c r="N15" s="251"/>
      <c r="O15" s="321"/>
      <c r="P15" s="249" t="s">
        <v>152</v>
      </c>
      <c r="Q15" s="269">
        <f>20000*3.67</f>
        <v>73400</v>
      </c>
      <c r="R15" s="269">
        <f>5000*3.67</f>
        <v>18350</v>
      </c>
      <c r="S15" s="269">
        <f>3500*3.67</f>
        <v>12845</v>
      </c>
      <c r="T15" s="270">
        <v>10</v>
      </c>
      <c r="U15" s="271">
        <v>200</v>
      </c>
      <c r="V15" s="270">
        <f>600*3.67</f>
        <v>2202</v>
      </c>
      <c r="W15" s="271">
        <f>1500*3.67</f>
        <v>5505</v>
      </c>
      <c r="X15" s="268" t="s">
        <v>153</v>
      </c>
      <c r="Y15" s="271">
        <v>0</v>
      </c>
      <c r="Z15" s="268"/>
      <c r="AA15" s="268">
        <v>7340</v>
      </c>
      <c r="AB15" s="251"/>
      <c r="AC15" s="321"/>
      <c r="AD15" s="249" t="s">
        <v>152</v>
      </c>
      <c r="AE15" s="269">
        <v>91750</v>
      </c>
      <c r="AF15" s="269">
        <v>27525</v>
      </c>
      <c r="AG15" s="269">
        <v>14680</v>
      </c>
      <c r="AH15" s="270">
        <v>12</v>
      </c>
      <c r="AI15" s="271">
        <v>250</v>
      </c>
      <c r="AJ15" s="270">
        <v>3670</v>
      </c>
      <c r="AK15" s="271">
        <v>7340</v>
      </c>
      <c r="AL15" s="268" t="s">
        <v>153</v>
      </c>
      <c r="AM15" s="271">
        <v>0</v>
      </c>
      <c r="AN15" s="268"/>
      <c r="AO15" s="268">
        <v>9175</v>
      </c>
      <c r="AP15" s="251"/>
      <c r="AQ15" s="321"/>
      <c r="AR15" s="249" t="s">
        <v>152</v>
      </c>
      <c r="AS15" s="269">
        <v>91750</v>
      </c>
      <c r="AT15" s="269">
        <v>25690</v>
      </c>
      <c r="AU15" s="269">
        <v>18350</v>
      </c>
      <c r="AV15" s="269">
        <v>9175</v>
      </c>
      <c r="AW15" s="270">
        <v>14</v>
      </c>
      <c r="AX15" s="271">
        <v>250</v>
      </c>
      <c r="AY15" s="270">
        <v>3670</v>
      </c>
      <c r="AZ15" s="271">
        <v>9175</v>
      </c>
      <c r="BA15" s="268" t="s">
        <v>153</v>
      </c>
      <c r="BB15" s="271">
        <v>80000</v>
      </c>
      <c r="BC15" s="268" t="s">
        <v>141</v>
      </c>
      <c r="BD15" s="268">
        <v>9175</v>
      </c>
      <c r="BE15" s="251"/>
      <c r="BF15" s="321"/>
      <c r="BG15" s="249" t="s">
        <v>152</v>
      </c>
      <c r="BH15" s="269">
        <v>91750</v>
      </c>
      <c r="BI15" s="269">
        <v>14680</v>
      </c>
      <c r="BJ15" s="269">
        <v>12845</v>
      </c>
      <c r="BK15" s="269">
        <v>12845</v>
      </c>
      <c r="BL15" s="270">
        <v>14</v>
      </c>
      <c r="BM15" s="271">
        <v>280</v>
      </c>
      <c r="BN15" s="270">
        <v>4110.3999999999996</v>
      </c>
      <c r="BO15" s="271">
        <v>11010</v>
      </c>
      <c r="BP15" s="268" t="s">
        <v>153</v>
      </c>
      <c r="BQ15" s="271">
        <v>165150</v>
      </c>
      <c r="BR15" s="268" t="s">
        <v>141</v>
      </c>
      <c r="BS15" s="268">
        <v>11010</v>
      </c>
      <c r="BT15" s="251"/>
    </row>
    <row r="16" spans="1:72" ht="18.95" customHeight="1" x14ac:dyDescent="0.25">
      <c r="A16" s="249" t="s">
        <v>154</v>
      </c>
      <c r="B16" s="250">
        <v>0</v>
      </c>
      <c r="C16" s="250"/>
      <c r="D16" s="255">
        <f>SUM(D4:D15)</f>
        <v>23</v>
      </c>
      <c r="E16" s="258">
        <v>500</v>
      </c>
      <c r="F16" s="255"/>
      <c r="G16" s="252">
        <v>0</v>
      </c>
      <c r="H16" s="253">
        <v>0</v>
      </c>
      <c r="I16" s="252">
        <v>0</v>
      </c>
      <c r="J16" s="260">
        <v>0</v>
      </c>
      <c r="K16" s="260"/>
      <c r="L16" s="251"/>
      <c r="M16" s="251"/>
      <c r="N16" s="251"/>
      <c r="O16" s="321"/>
      <c r="P16" s="249" t="s">
        <v>154</v>
      </c>
      <c r="Q16" s="269">
        <v>0</v>
      </c>
      <c r="R16" s="269"/>
      <c r="S16" s="269"/>
      <c r="T16" s="274">
        <f>SUM(T4:T15)</f>
        <v>80</v>
      </c>
      <c r="U16" s="273">
        <f>SUM(U4:U15)</f>
        <v>2090</v>
      </c>
      <c r="V16" s="274"/>
      <c r="W16" s="271">
        <v>0</v>
      </c>
      <c r="X16" s="268">
        <v>0</v>
      </c>
      <c r="Y16" s="271">
        <v>0</v>
      </c>
      <c r="Z16" s="270">
        <v>0</v>
      </c>
      <c r="AA16" s="270"/>
      <c r="AB16" s="251"/>
      <c r="AC16" s="321"/>
      <c r="AD16" s="249" t="s">
        <v>154</v>
      </c>
      <c r="AE16" s="269">
        <v>0</v>
      </c>
      <c r="AF16" s="269"/>
      <c r="AG16" s="269"/>
      <c r="AH16" s="274">
        <f>SUM(AH4:AH15)</f>
        <v>117</v>
      </c>
      <c r="AI16" s="273">
        <f>SUM(AI4:AI15)</f>
        <v>2520</v>
      </c>
      <c r="AJ16" s="274"/>
      <c r="AK16" s="271">
        <v>0</v>
      </c>
      <c r="AL16" s="268">
        <v>0</v>
      </c>
      <c r="AM16" s="271">
        <v>0</v>
      </c>
      <c r="AN16" s="270">
        <v>0</v>
      </c>
      <c r="AO16" s="270"/>
      <c r="AP16" s="251"/>
      <c r="AQ16" s="321"/>
      <c r="AR16" s="249" t="s">
        <v>154</v>
      </c>
      <c r="AS16" s="269">
        <v>0</v>
      </c>
      <c r="AT16" s="269"/>
      <c r="AU16" s="269"/>
      <c r="AV16" s="269"/>
      <c r="AW16" s="274">
        <f>SUM(AW4:AW15)</f>
        <v>138</v>
      </c>
      <c r="AX16" s="273">
        <f>SUM(AX4:AX15)</f>
        <v>2950</v>
      </c>
      <c r="AY16" s="274"/>
      <c r="AZ16" s="271">
        <v>0</v>
      </c>
      <c r="BA16" s="268">
        <v>0</v>
      </c>
      <c r="BB16" s="271">
        <v>0</v>
      </c>
      <c r="BC16" s="270">
        <v>0</v>
      </c>
      <c r="BD16" s="270"/>
      <c r="BE16" s="251"/>
      <c r="BF16" s="321"/>
      <c r="BG16" s="249" t="s">
        <v>154</v>
      </c>
      <c r="BH16" s="269">
        <v>0</v>
      </c>
      <c r="BI16" s="269"/>
      <c r="BJ16" s="269"/>
      <c r="BK16" s="269"/>
      <c r="BL16" s="274">
        <f>SUM(BL4:BL15)</f>
        <v>138</v>
      </c>
      <c r="BM16" s="273">
        <f>SUM(BM4:BM15)</f>
        <v>3185</v>
      </c>
      <c r="BN16" s="274"/>
      <c r="BO16" s="271">
        <v>0</v>
      </c>
      <c r="BP16" s="268">
        <v>0</v>
      </c>
      <c r="BQ16" s="271">
        <v>0</v>
      </c>
      <c r="BR16" s="270">
        <v>0</v>
      </c>
      <c r="BS16" s="270"/>
      <c r="BT16" s="251"/>
    </row>
    <row r="17" spans="1:72" ht="15.75" x14ac:dyDescent="0.25">
      <c r="A17" s="261" t="s">
        <v>155</v>
      </c>
      <c r="B17" s="262">
        <f>SUM(B4:B16)</f>
        <v>223660</v>
      </c>
      <c r="C17" s="262">
        <f>SUM(C4:C16)</f>
        <v>82575</v>
      </c>
      <c r="D17" s="249">
        <v>0</v>
      </c>
      <c r="E17" s="258"/>
      <c r="F17" s="262">
        <f>SUM(F4:F16)</f>
        <v>6771.1500000000005</v>
      </c>
      <c r="G17" s="262">
        <f>SUM(G4:G16)</f>
        <v>20185</v>
      </c>
      <c r="H17" s="258"/>
      <c r="I17" s="262">
        <f>SUM(I4:I16)</f>
        <v>386850</v>
      </c>
      <c r="J17" s="249">
        <v>0</v>
      </c>
      <c r="K17" s="258">
        <f>SUM(K4:K16)</f>
        <v>22020</v>
      </c>
      <c r="L17" s="262"/>
      <c r="M17" s="249"/>
      <c r="N17" s="265">
        <f>SUM(B17:M17)</f>
        <v>742061.15</v>
      </c>
      <c r="O17" s="321"/>
      <c r="P17" s="261" t="s">
        <v>155</v>
      </c>
      <c r="Q17" s="262">
        <f>SUM(Q4:Q16)</f>
        <v>671610</v>
      </c>
      <c r="R17" s="262">
        <f>SUM(R4:R16)</f>
        <v>278920</v>
      </c>
      <c r="S17" s="262">
        <f>SUM(S4:S16)</f>
        <v>95420</v>
      </c>
      <c r="T17" s="249">
        <v>0</v>
      </c>
      <c r="U17" s="258"/>
      <c r="V17" s="255">
        <f>SUM(V4:V16)</f>
        <v>23010.9</v>
      </c>
      <c r="W17" s="258">
        <f>SUM(W4:W16)</f>
        <v>84410</v>
      </c>
      <c r="X17" s="258"/>
      <c r="Y17" s="258">
        <f>SUM(Y4:Y16)</f>
        <v>981050</v>
      </c>
      <c r="Z17" s="249">
        <v>0</v>
      </c>
      <c r="AA17" s="258">
        <f>SUM(AA4:AA16)</f>
        <v>56885</v>
      </c>
      <c r="AB17" s="265">
        <f>SUM(Q17:AA17)</f>
        <v>2191305.9</v>
      </c>
      <c r="AC17" s="321"/>
      <c r="AD17" s="261" t="s">
        <v>155</v>
      </c>
      <c r="AE17" s="262">
        <f>SUM(AE4:AE16)</f>
        <v>932180</v>
      </c>
      <c r="AF17" s="262">
        <f>SUM(AF4:AF16)</f>
        <v>389020</v>
      </c>
      <c r="AG17" s="262">
        <f>SUM(AG4:AG16)</f>
        <v>225705</v>
      </c>
      <c r="AH17" s="249">
        <v>0</v>
      </c>
      <c r="AI17" s="258"/>
      <c r="AJ17" s="255">
        <f>SUM(AJ4:AJ16)</f>
        <v>36993.599999999999</v>
      </c>
      <c r="AK17" s="258">
        <f>SUM(AK4:AK16)</f>
        <v>91750</v>
      </c>
      <c r="AL17" s="258"/>
      <c r="AM17" s="258">
        <f>SUM(AM4:AM16)</f>
        <v>1106600</v>
      </c>
      <c r="AN17" s="249">
        <v>0</v>
      </c>
      <c r="AO17" s="258">
        <f>SUM(AO4:AO16)</f>
        <v>75235</v>
      </c>
      <c r="AP17" s="265">
        <f>SUM(AE17:AO17)</f>
        <v>2857483.6</v>
      </c>
      <c r="AQ17" s="321"/>
      <c r="AR17" s="261" t="s">
        <v>155</v>
      </c>
      <c r="AS17" s="262">
        <f>SUM(AS4:AS16)</f>
        <v>1078980</v>
      </c>
      <c r="AT17" s="262">
        <f>SUM(AT4:AT16)</f>
        <v>412875</v>
      </c>
      <c r="AU17" s="262">
        <f>SUM(AU4:AU16)</f>
        <v>277085</v>
      </c>
      <c r="AV17" s="262">
        <f>SUM(AV4:AV16)</f>
        <v>121110</v>
      </c>
      <c r="AW17" s="249">
        <v>0</v>
      </c>
      <c r="AX17" s="258"/>
      <c r="AY17" s="255">
        <f>SUM(AY4:AY16)</f>
        <v>43306</v>
      </c>
      <c r="AZ17" s="258">
        <f>SUM(AZ4:AZ16)</f>
        <v>106430</v>
      </c>
      <c r="BA17" s="258"/>
      <c r="BB17" s="258">
        <f>SUM(BB4:BB16)</f>
        <v>1716000</v>
      </c>
      <c r="BC17" s="249">
        <v>0</v>
      </c>
      <c r="BD17" s="258">
        <f>SUM(BD4:BD16)</f>
        <v>80740</v>
      </c>
      <c r="BE17" s="265">
        <f>SUM(AS17:BD17)</f>
        <v>3836526</v>
      </c>
      <c r="BF17" s="321"/>
      <c r="BG17" s="261" t="s">
        <v>155</v>
      </c>
      <c r="BH17" s="262">
        <f>SUM(BH4:BH16)</f>
        <v>1251470</v>
      </c>
      <c r="BI17" s="262">
        <f>SUM(BI4:BI16)</f>
        <v>400030</v>
      </c>
      <c r="BJ17" s="262">
        <f>SUM(BJ4:BJ16)</f>
        <v>300940</v>
      </c>
      <c r="BK17" s="262">
        <f>SUM(BK4:BK16)</f>
        <v>209190</v>
      </c>
      <c r="BL17" s="249">
        <v>0</v>
      </c>
      <c r="BM17" s="258"/>
      <c r="BN17" s="255">
        <f>SUM(BN4:BN16)</f>
        <v>46755.8</v>
      </c>
      <c r="BO17" s="258">
        <f>SUM(BO4:BO16)</f>
        <v>124780</v>
      </c>
      <c r="BP17" s="258"/>
      <c r="BQ17" s="258">
        <f>SUM(BQ4:BQ16)</f>
        <v>1981800</v>
      </c>
      <c r="BR17" s="249">
        <v>0</v>
      </c>
      <c r="BS17" s="258">
        <f>SUM(BS4:BS16)</f>
        <v>95420</v>
      </c>
      <c r="BT17" s="265">
        <f>SUM(BH17:BS17)</f>
        <v>4410385.8</v>
      </c>
    </row>
    <row r="18" spans="1:72" ht="51" x14ac:dyDescent="0.25">
      <c r="A18" s="261" t="s">
        <v>156</v>
      </c>
      <c r="B18" s="307" t="s">
        <v>157</v>
      </c>
      <c r="C18" s="308"/>
      <c r="D18" s="266" t="s">
        <v>114</v>
      </c>
      <c r="E18" s="257" t="s">
        <v>158</v>
      </c>
      <c r="F18" s="266" t="s">
        <v>215</v>
      </c>
      <c r="G18" s="257" t="s">
        <v>116</v>
      </c>
      <c r="H18" s="264" t="s">
        <v>117</v>
      </c>
      <c r="I18" s="261" t="s">
        <v>159</v>
      </c>
      <c r="J18" s="261" t="s">
        <v>119</v>
      </c>
      <c r="K18" s="257" t="s">
        <v>120</v>
      </c>
      <c r="L18" s="264"/>
      <c r="M18" s="264"/>
      <c r="N18" s="267"/>
      <c r="O18" s="321"/>
      <c r="P18" s="261" t="s">
        <v>156</v>
      </c>
      <c r="Q18" s="307" t="s">
        <v>157</v>
      </c>
      <c r="R18" s="320"/>
      <c r="S18" s="308"/>
      <c r="T18" s="266" t="s">
        <v>114</v>
      </c>
      <c r="U18" s="257" t="s">
        <v>158</v>
      </c>
      <c r="V18" s="266" t="s">
        <v>215</v>
      </c>
      <c r="W18" s="257" t="s">
        <v>116</v>
      </c>
      <c r="X18" s="264" t="s">
        <v>117</v>
      </c>
      <c r="Y18" s="261" t="s">
        <v>159</v>
      </c>
      <c r="Z18" s="261" t="s">
        <v>119</v>
      </c>
      <c r="AA18" s="257" t="s">
        <v>120</v>
      </c>
      <c r="AB18" s="267"/>
      <c r="AC18" s="321"/>
      <c r="AD18" s="261" t="s">
        <v>156</v>
      </c>
      <c r="AE18" s="257" t="s">
        <v>157</v>
      </c>
      <c r="AF18" s="257"/>
      <c r="AG18" s="257"/>
      <c r="AH18" s="266" t="s">
        <v>114</v>
      </c>
      <c r="AI18" s="257" t="s">
        <v>158</v>
      </c>
      <c r="AJ18" s="266" t="s">
        <v>227</v>
      </c>
      <c r="AK18" s="257" t="s">
        <v>116</v>
      </c>
      <c r="AL18" s="264" t="s">
        <v>117</v>
      </c>
      <c r="AM18" s="261" t="s">
        <v>159</v>
      </c>
      <c r="AN18" s="261" t="s">
        <v>119</v>
      </c>
      <c r="AO18" s="257" t="s">
        <v>120</v>
      </c>
      <c r="AP18" s="267"/>
      <c r="AQ18" s="321"/>
      <c r="AR18" s="261" t="s">
        <v>156</v>
      </c>
      <c r="AS18" s="257" t="s">
        <v>157</v>
      </c>
      <c r="AT18" s="257"/>
      <c r="AU18" s="257"/>
      <c r="AV18" s="257"/>
      <c r="AW18" s="266" t="s">
        <v>114</v>
      </c>
      <c r="AX18" s="257" t="s">
        <v>158</v>
      </c>
      <c r="AY18" s="266" t="s">
        <v>226</v>
      </c>
      <c r="AZ18" s="257" t="s">
        <v>116</v>
      </c>
      <c r="BA18" s="264" t="s">
        <v>117</v>
      </c>
      <c r="BB18" s="261" t="s">
        <v>159</v>
      </c>
      <c r="BC18" s="261" t="s">
        <v>119</v>
      </c>
      <c r="BD18" s="257" t="s">
        <v>120</v>
      </c>
      <c r="BE18" s="267"/>
      <c r="BF18" s="321"/>
      <c r="BG18" s="261" t="s">
        <v>156</v>
      </c>
      <c r="BH18" s="307" t="s">
        <v>157</v>
      </c>
      <c r="BI18" s="320"/>
      <c r="BJ18" s="320"/>
      <c r="BK18" s="308"/>
      <c r="BL18" s="266" t="s">
        <v>114</v>
      </c>
      <c r="BM18" s="257" t="s">
        <v>158</v>
      </c>
      <c r="BN18" s="266" t="s">
        <v>227</v>
      </c>
      <c r="BO18" s="257" t="s">
        <v>116</v>
      </c>
      <c r="BP18" s="264" t="s">
        <v>117</v>
      </c>
      <c r="BQ18" s="261" t="s">
        <v>159</v>
      </c>
      <c r="BR18" s="261" t="s">
        <v>119</v>
      </c>
      <c r="BS18" s="257" t="s">
        <v>120</v>
      </c>
      <c r="BT18" s="267"/>
    </row>
    <row r="19" spans="1:72" s="210" customFormat="1" ht="29.25" customHeight="1" x14ac:dyDescent="0.25">
      <c r="A19" s="263" t="s">
        <v>160</v>
      </c>
      <c r="B19" s="322" t="s">
        <v>232</v>
      </c>
      <c r="C19" s="323"/>
      <c r="D19" s="323"/>
      <c r="E19" s="323"/>
      <c r="F19" s="323"/>
      <c r="G19" s="323"/>
      <c r="H19" s="323"/>
      <c r="I19" s="323"/>
      <c r="J19" s="323"/>
      <c r="K19" s="323"/>
      <c r="L19" s="323"/>
      <c r="M19" s="323"/>
      <c r="N19" s="324"/>
      <c r="O19" s="321"/>
      <c r="P19" s="263" t="s">
        <v>160</v>
      </c>
      <c r="Q19" s="322" t="s">
        <v>233</v>
      </c>
      <c r="R19" s="323"/>
      <c r="S19" s="323"/>
      <c r="T19" s="323"/>
      <c r="U19" s="323"/>
      <c r="V19" s="323"/>
      <c r="W19" s="323"/>
      <c r="X19" s="323"/>
      <c r="Y19" s="323"/>
      <c r="Z19" s="323"/>
      <c r="AA19" s="323"/>
      <c r="AB19" s="324"/>
      <c r="AC19" s="321"/>
      <c r="AD19" s="263" t="s">
        <v>160</v>
      </c>
      <c r="AE19" s="322" t="s">
        <v>234</v>
      </c>
      <c r="AF19" s="323"/>
      <c r="AG19" s="323"/>
      <c r="AH19" s="323"/>
      <c r="AI19" s="323"/>
      <c r="AJ19" s="323"/>
      <c r="AK19" s="323"/>
      <c r="AL19" s="323"/>
      <c r="AM19" s="323"/>
      <c r="AN19" s="323"/>
      <c r="AO19" s="323"/>
      <c r="AP19" s="324"/>
      <c r="AQ19" s="321"/>
      <c r="AR19" s="263" t="s">
        <v>160</v>
      </c>
      <c r="AS19" s="322" t="s">
        <v>235</v>
      </c>
      <c r="AT19" s="323"/>
      <c r="AU19" s="323"/>
      <c r="AV19" s="323"/>
      <c r="AW19" s="323"/>
      <c r="AX19" s="323"/>
      <c r="AY19" s="323"/>
      <c r="AZ19" s="323"/>
      <c r="BA19" s="323"/>
      <c r="BB19" s="323"/>
      <c r="BC19" s="323"/>
      <c r="BD19" s="323"/>
      <c r="BE19" s="324"/>
      <c r="BF19" s="321"/>
      <c r="BG19" s="263" t="s">
        <v>160</v>
      </c>
      <c r="BH19" s="322" t="s">
        <v>228</v>
      </c>
      <c r="BI19" s="323"/>
      <c r="BJ19" s="323"/>
      <c r="BK19" s="323"/>
      <c r="BL19" s="323"/>
      <c r="BM19" s="323"/>
      <c r="BN19" s="323"/>
      <c r="BO19" s="323"/>
      <c r="BP19" s="323"/>
      <c r="BQ19" s="323"/>
      <c r="BR19" s="323"/>
      <c r="BS19" s="323"/>
      <c r="BT19" s="324"/>
    </row>
    <row r="20" spans="1:72" ht="18.95" customHeight="1" x14ac:dyDescent="0.2"/>
    <row r="21" spans="1:72" ht="21" customHeight="1" x14ac:dyDescent="0.2">
      <c r="A21" s="325" t="s">
        <v>211</v>
      </c>
      <c r="B21" s="325"/>
      <c r="C21" s="325"/>
      <c r="D21" s="325"/>
      <c r="E21" s="325"/>
      <c r="F21" s="325"/>
      <c r="G21" s="325"/>
      <c r="H21" s="325"/>
      <c r="I21" s="325"/>
      <c r="J21" s="325"/>
      <c r="K21" s="325"/>
      <c r="L21" s="325"/>
      <c r="M21" s="325"/>
      <c r="N21" s="325"/>
    </row>
    <row r="22" spans="1:72" ht="18.95" customHeight="1" x14ac:dyDescent="0.2">
      <c r="A22" s="215"/>
      <c r="B22" s="215"/>
      <c r="M22" s="216"/>
      <c r="N22" s="216"/>
    </row>
    <row r="23" spans="1:72" ht="18.95" customHeight="1" x14ac:dyDescent="0.2">
      <c r="A23" s="275" t="s">
        <v>216</v>
      </c>
      <c r="B23" s="275"/>
      <c r="C23" s="249" t="s">
        <v>161</v>
      </c>
      <c r="D23" s="277"/>
      <c r="E23" s="249" t="s">
        <v>162</v>
      </c>
      <c r="F23" s="277"/>
      <c r="G23" s="249" t="s">
        <v>163</v>
      </c>
      <c r="H23" s="277"/>
      <c r="I23" s="249" t="s">
        <v>164</v>
      </c>
      <c r="J23" s="277"/>
      <c r="K23" s="278" t="s">
        <v>165</v>
      </c>
      <c r="L23" s="277"/>
      <c r="M23" s="217"/>
      <c r="N23" s="218"/>
    </row>
    <row r="24" spans="1:72" ht="18.95" customHeight="1" x14ac:dyDescent="0.2">
      <c r="A24" s="249" t="s">
        <v>166</v>
      </c>
      <c r="B24" s="249"/>
      <c r="C24" s="252">
        <f>B17+C17</f>
        <v>306235</v>
      </c>
      <c r="D24" s="329" t="s">
        <v>167</v>
      </c>
      <c r="E24" s="252">
        <f>Q17+R17+S17</f>
        <v>1045950</v>
      </c>
      <c r="F24" s="331"/>
      <c r="G24" s="252">
        <f>AE17+AF17+AG17</f>
        <v>1546905</v>
      </c>
      <c r="H24" s="331"/>
      <c r="I24" s="252">
        <f>AS17+AT17+AU17+AV17</f>
        <v>1890050</v>
      </c>
      <c r="J24" s="331"/>
      <c r="K24" s="276">
        <f>BH17+BI17+BJ17+BK17</f>
        <v>2161630</v>
      </c>
      <c r="L24" s="333"/>
      <c r="M24" s="219"/>
      <c r="N24" s="216"/>
    </row>
    <row r="25" spans="1:72" ht="18.95" customHeight="1" x14ac:dyDescent="0.2">
      <c r="A25" s="249" t="s">
        <v>168</v>
      </c>
      <c r="B25" s="249"/>
      <c r="C25" s="252">
        <f>F17</f>
        <v>6771.1500000000005</v>
      </c>
      <c r="D25" s="330"/>
      <c r="E25" s="252">
        <f>V17</f>
        <v>23010.9</v>
      </c>
      <c r="F25" s="332"/>
      <c r="G25" s="252">
        <f>AJ17</f>
        <v>36993.599999999999</v>
      </c>
      <c r="H25" s="332"/>
      <c r="I25" s="252">
        <f>AY17</f>
        <v>43306</v>
      </c>
      <c r="J25" s="332"/>
      <c r="K25" s="276">
        <f>BN17</f>
        <v>46755.8</v>
      </c>
      <c r="L25" s="333"/>
      <c r="M25" s="219"/>
      <c r="N25" s="216"/>
    </row>
    <row r="26" spans="1:72" ht="18.95" customHeight="1" x14ac:dyDescent="0.2">
      <c r="A26" s="232" t="s">
        <v>169</v>
      </c>
      <c r="B26" s="232"/>
      <c r="C26" s="252">
        <f>G17</f>
        <v>20185</v>
      </c>
      <c r="D26" s="232"/>
      <c r="E26" s="252">
        <f>W17</f>
        <v>84410</v>
      </c>
      <c r="F26" s="232"/>
      <c r="G26" s="252">
        <f>AK17</f>
        <v>91750</v>
      </c>
      <c r="H26" s="232"/>
      <c r="I26" s="252">
        <f>AZ17</f>
        <v>106430</v>
      </c>
      <c r="J26" s="250"/>
      <c r="K26" s="276">
        <f>BO17</f>
        <v>124780</v>
      </c>
      <c r="L26" s="232"/>
      <c r="M26" s="219"/>
      <c r="N26" s="216"/>
    </row>
    <row r="27" spans="1:72" ht="18.95" customHeight="1" x14ac:dyDescent="0.2">
      <c r="A27" s="232" t="s">
        <v>159</v>
      </c>
      <c r="B27" s="232"/>
      <c r="C27" s="252">
        <f>I17</f>
        <v>386850</v>
      </c>
      <c r="D27" s="232"/>
      <c r="E27" s="252">
        <f>Y17</f>
        <v>981050</v>
      </c>
      <c r="F27" s="232"/>
      <c r="G27" s="252">
        <f>AM17</f>
        <v>1106600</v>
      </c>
      <c r="H27" s="232"/>
      <c r="I27" s="252">
        <f>BB17</f>
        <v>1716000</v>
      </c>
      <c r="J27" s="250"/>
      <c r="K27" s="276">
        <f>BQ17</f>
        <v>1981800</v>
      </c>
      <c r="L27" s="232"/>
      <c r="M27" s="219"/>
      <c r="N27" s="216"/>
    </row>
    <row r="28" spans="1:72" ht="18.95" customHeight="1" x14ac:dyDescent="0.2">
      <c r="A28" s="232" t="s">
        <v>170</v>
      </c>
      <c r="B28" s="232"/>
      <c r="C28" s="252">
        <f>K17</f>
        <v>22020</v>
      </c>
      <c r="D28" s="232"/>
      <c r="E28" s="252">
        <f>AA17</f>
        <v>56885</v>
      </c>
      <c r="F28" s="232"/>
      <c r="G28" s="252">
        <f>AO17</f>
        <v>75235</v>
      </c>
      <c r="H28" s="232"/>
      <c r="I28" s="252">
        <f>BD17</f>
        <v>80740</v>
      </c>
      <c r="J28" s="250"/>
      <c r="K28" s="276">
        <f>BS17</f>
        <v>95420</v>
      </c>
      <c r="L28" s="232"/>
      <c r="M28" s="219"/>
      <c r="N28" s="216"/>
    </row>
    <row r="29" spans="1:72" ht="18.95" customHeight="1" x14ac:dyDescent="0.2">
      <c r="A29" s="232"/>
      <c r="B29" s="232"/>
      <c r="C29" s="252"/>
      <c r="D29" s="232"/>
      <c r="E29" s="252"/>
      <c r="F29" s="232"/>
      <c r="G29" s="252"/>
      <c r="H29" s="232"/>
      <c r="I29" s="252"/>
      <c r="J29" s="232"/>
      <c r="K29" s="276"/>
      <c r="L29" s="232"/>
      <c r="M29" s="219"/>
      <c r="N29" s="216"/>
    </row>
    <row r="30" spans="1:72" ht="18.95" customHeight="1" x14ac:dyDescent="0.2">
      <c r="A30" s="261" t="s">
        <v>171</v>
      </c>
      <c r="B30" s="261"/>
      <c r="C30" s="279">
        <f>SUM(C24:C29)</f>
        <v>742061.15</v>
      </c>
      <c r="D30" s="280"/>
      <c r="E30" s="279">
        <f>SUM(E24:E29)</f>
        <v>2191305.9</v>
      </c>
      <c r="F30" s="280"/>
      <c r="G30" s="279">
        <f>SUM(G24:G29)</f>
        <v>2857483.6</v>
      </c>
      <c r="H30" s="280"/>
      <c r="I30" s="279">
        <f>SUM(I24:I29)</f>
        <v>3836526</v>
      </c>
      <c r="J30" s="281"/>
      <c r="K30" s="282">
        <f>SUM(K24:K29)</f>
        <v>4410385.8</v>
      </c>
      <c r="L30" s="281"/>
      <c r="M30" s="223"/>
      <c r="N30" s="224"/>
    </row>
    <row r="31" spans="1:72" ht="18.95" customHeight="1" x14ac:dyDescent="0.2">
      <c r="L31" s="220"/>
      <c r="M31" s="216"/>
      <c r="N31" s="216"/>
    </row>
    <row r="32" spans="1:72" ht="18.95" customHeight="1" x14ac:dyDescent="0.2">
      <c r="A32" s="275" t="s">
        <v>217</v>
      </c>
      <c r="B32" s="275"/>
      <c r="C32" s="249" t="s">
        <v>161</v>
      </c>
      <c r="D32" s="255" t="s">
        <v>172</v>
      </c>
      <c r="E32" s="249" t="s">
        <v>162</v>
      </c>
      <c r="F32" s="255" t="s">
        <v>172</v>
      </c>
      <c r="G32" s="249" t="s">
        <v>163</v>
      </c>
      <c r="H32" s="255" t="s">
        <v>172</v>
      </c>
      <c r="I32" s="249" t="s">
        <v>164</v>
      </c>
      <c r="J32" s="255" t="s">
        <v>172</v>
      </c>
      <c r="K32" s="278" t="s">
        <v>165</v>
      </c>
      <c r="L32" s="255" t="s">
        <v>172</v>
      </c>
      <c r="M32" s="217"/>
      <c r="N32" s="225"/>
    </row>
    <row r="33" spans="1:14" ht="24" x14ac:dyDescent="0.2">
      <c r="A33" s="249" t="s">
        <v>173</v>
      </c>
      <c r="B33" s="249"/>
      <c r="C33" s="262">
        <v>92484</v>
      </c>
      <c r="D33" s="283" t="s">
        <v>220</v>
      </c>
      <c r="E33" s="262">
        <v>223503</v>
      </c>
      <c r="F33" s="283" t="s">
        <v>221</v>
      </c>
      <c r="G33" s="262">
        <v>246624</v>
      </c>
      <c r="H33" s="284" t="s">
        <v>222</v>
      </c>
      <c r="I33" s="262">
        <v>292866</v>
      </c>
      <c r="J33" s="283" t="s">
        <v>223</v>
      </c>
      <c r="K33" s="285">
        <v>323694</v>
      </c>
      <c r="L33" s="283" t="s">
        <v>224</v>
      </c>
      <c r="M33" s="219"/>
      <c r="N33" s="226"/>
    </row>
    <row r="34" spans="1:14" ht="21" customHeight="1" x14ac:dyDescent="0.2">
      <c r="A34" s="232" t="s">
        <v>174</v>
      </c>
      <c r="B34" s="232"/>
      <c r="C34" s="262">
        <v>2422.1999999999998</v>
      </c>
      <c r="D34" s="286">
        <v>0.4</v>
      </c>
      <c r="E34" s="262">
        <v>5505</v>
      </c>
      <c r="F34" s="286"/>
      <c r="G34" s="262">
        <v>8338.24</v>
      </c>
      <c r="H34" s="286"/>
      <c r="I34" s="262">
        <v>9395.2000000000007</v>
      </c>
      <c r="J34" s="286"/>
      <c r="K34" s="285">
        <v>10019.1</v>
      </c>
      <c r="L34" s="286"/>
      <c r="M34" s="219"/>
      <c r="N34" s="226"/>
    </row>
    <row r="35" spans="1:14" ht="18.95" customHeight="1" x14ac:dyDescent="0.2">
      <c r="A35" s="232" t="s">
        <v>175</v>
      </c>
      <c r="B35" s="232"/>
      <c r="C35" s="250">
        <v>66060</v>
      </c>
      <c r="D35" s="286"/>
      <c r="E35" s="250">
        <v>197262.5</v>
      </c>
      <c r="F35" s="286"/>
      <c r="G35" s="250">
        <v>403700</v>
      </c>
      <c r="H35" s="286"/>
      <c r="I35" s="250">
        <v>477100</v>
      </c>
      <c r="J35" s="286"/>
      <c r="K35" s="276">
        <v>594540</v>
      </c>
      <c r="L35" s="286"/>
      <c r="M35" s="219"/>
      <c r="N35" s="227"/>
    </row>
    <row r="36" spans="1:14" ht="15" customHeight="1" x14ac:dyDescent="0.2">
      <c r="A36" s="232" t="s">
        <v>120</v>
      </c>
      <c r="B36" s="232"/>
      <c r="C36" s="250">
        <v>6606</v>
      </c>
      <c r="D36" s="286">
        <v>0.3</v>
      </c>
      <c r="E36" s="250">
        <v>17065.5</v>
      </c>
      <c r="F36" s="286"/>
      <c r="G36" s="250">
        <v>22570.5</v>
      </c>
      <c r="H36" s="286"/>
      <c r="I36" s="250">
        <v>24222</v>
      </c>
      <c r="J36" s="286"/>
      <c r="K36" s="276">
        <v>28626</v>
      </c>
      <c r="L36" s="286"/>
      <c r="M36" s="219"/>
      <c r="N36" s="227"/>
    </row>
    <row r="37" spans="1:14" ht="15" customHeight="1" x14ac:dyDescent="0.2">
      <c r="A37" s="232"/>
      <c r="B37" s="232"/>
      <c r="C37" s="250"/>
      <c r="D37" s="286"/>
      <c r="E37" s="250"/>
      <c r="F37" s="286"/>
      <c r="G37" s="250"/>
      <c r="H37" s="286"/>
      <c r="I37" s="250"/>
      <c r="J37" s="286"/>
      <c r="K37" s="276"/>
      <c r="L37" s="286"/>
      <c r="M37" s="219"/>
      <c r="N37" s="227"/>
    </row>
    <row r="38" spans="1:14" ht="15" customHeight="1" x14ac:dyDescent="0.2">
      <c r="A38" s="232"/>
      <c r="B38" s="232"/>
      <c r="C38" s="250"/>
      <c r="D38" s="287"/>
      <c r="E38" s="250"/>
      <c r="F38" s="287"/>
      <c r="G38" s="250"/>
      <c r="H38" s="287"/>
      <c r="I38" s="250"/>
      <c r="J38" s="287"/>
      <c r="K38" s="276"/>
      <c r="L38" s="287"/>
      <c r="M38" s="219"/>
      <c r="N38" s="228"/>
    </row>
    <row r="39" spans="1:14" ht="22.5" customHeight="1" x14ac:dyDescent="0.2">
      <c r="A39" s="249" t="s">
        <v>176</v>
      </c>
      <c r="B39" s="249"/>
      <c r="C39" s="262">
        <f>SUM(C33:C38)</f>
        <v>167572.20000000001</v>
      </c>
      <c r="D39" s="251" t="s">
        <v>177</v>
      </c>
      <c r="E39" s="262">
        <f>SUM(E33:E38)</f>
        <v>443336</v>
      </c>
      <c r="F39" s="249"/>
      <c r="G39" s="262">
        <f>SUM(G33:G38)</f>
        <v>681232.74</v>
      </c>
      <c r="H39" s="249"/>
      <c r="I39" s="262">
        <f>SUM(I33:I38)</f>
        <v>803583.2</v>
      </c>
      <c r="J39" s="249"/>
      <c r="K39" s="285">
        <f>SUM(K33:K38)</f>
        <v>956879.1</v>
      </c>
      <c r="L39" s="249"/>
      <c r="M39" s="229"/>
      <c r="N39" s="218"/>
    </row>
    <row r="40" spans="1:14" ht="15" customHeight="1" x14ac:dyDescent="0.2">
      <c r="A40" s="230"/>
      <c r="B40" s="231"/>
      <c r="L40" s="220"/>
      <c r="M40" s="216"/>
      <c r="N40" s="216"/>
    </row>
    <row r="41" spans="1:14" ht="15" customHeight="1" x14ac:dyDescent="0.2">
      <c r="A41" s="249" t="s">
        <v>218</v>
      </c>
      <c r="B41" s="249"/>
      <c r="C41" s="249" t="s">
        <v>161</v>
      </c>
      <c r="D41" s="251" t="s">
        <v>177</v>
      </c>
      <c r="E41" s="249" t="s">
        <v>162</v>
      </c>
      <c r="F41" s="249"/>
      <c r="G41" s="249" t="s">
        <v>163</v>
      </c>
      <c r="H41" s="249"/>
      <c r="I41" s="249" t="s">
        <v>164</v>
      </c>
      <c r="J41" s="249"/>
      <c r="K41" s="278" t="s">
        <v>165</v>
      </c>
      <c r="L41" s="249"/>
      <c r="M41" s="217"/>
      <c r="N41" s="218"/>
    </row>
    <row r="42" spans="1:14" ht="15" customHeight="1" x14ac:dyDescent="0.2">
      <c r="A42" s="232" t="s">
        <v>178</v>
      </c>
      <c r="B42" s="232"/>
      <c r="C42" s="250">
        <v>756570.5</v>
      </c>
      <c r="D42" s="250"/>
      <c r="E42" s="250">
        <v>1220605.3</v>
      </c>
      <c r="F42" s="250"/>
      <c r="G42" s="250">
        <v>1369056.8</v>
      </c>
      <c r="H42" s="250"/>
      <c r="I42" s="250">
        <v>1369056.8</v>
      </c>
      <c r="J42" s="250"/>
      <c r="K42" s="276">
        <v>1548501.45</v>
      </c>
      <c r="L42" s="232"/>
      <c r="M42" s="219"/>
      <c r="N42" s="216"/>
    </row>
    <row r="43" spans="1:14" x14ac:dyDescent="0.2">
      <c r="A43" s="232" t="s">
        <v>179</v>
      </c>
      <c r="B43" s="232"/>
      <c r="C43" s="250">
        <v>80740</v>
      </c>
      <c r="D43" s="288"/>
      <c r="E43" s="250">
        <v>84777</v>
      </c>
      <c r="F43" s="288"/>
      <c r="G43" s="250">
        <v>89015.849999999991</v>
      </c>
      <c r="H43" s="288"/>
      <c r="I43" s="250">
        <v>93585</v>
      </c>
      <c r="J43" s="288"/>
      <c r="K43" s="276">
        <v>124908.45</v>
      </c>
      <c r="L43" s="288"/>
      <c r="M43" s="219"/>
      <c r="N43" s="216"/>
    </row>
    <row r="44" spans="1:14" ht="18.95" customHeight="1" x14ac:dyDescent="0.2">
      <c r="A44" s="232" t="s">
        <v>180</v>
      </c>
      <c r="B44" s="232"/>
      <c r="C44" s="250">
        <v>5505</v>
      </c>
      <c r="D44" s="277"/>
      <c r="E44" s="250">
        <v>9175</v>
      </c>
      <c r="F44" s="277"/>
      <c r="G44" s="250">
        <v>12845</v>
      </c>
      <c r="H44" s="277"/>
      <c r="I44" s="250">
        <v>16515</v>
      </c>
      <c r="J44" s="277"/>
      <c r="K44" s="276">
        <v>18350</v>
      </c>
      <c r="L44" s="277"/>
      <c r="M44" s="219"/>
      <c r="N44" s="216"/>
    </row>
    <row r="45" spans="1:14" ht="18.95" customHeight="1" x14ac:dyDescent="0.2">
      <c r="A45" s="299" t="s">
        <v>230</v>
      </c>
      <c r="B45" s="299" t="s">
        <v>236</v>
      </c>
      <c r="C45" s="300">
        <v>40000</v>
      </c>
      <c r="D45" s="301"/>
      <c r="E45" s="300">
        <v>45000</v>
      </c>
      <c r="F45" s="301"/>
      <c r="G45" s="300">
        <f>23732*3.67</f>
        <v>87096.44</v>
      </c>
      <c r="H45" s="301"/>
      <c r="I45" s="300">
        <f>24919*3.67</f>
        <v>91452.73</v>
      </c>
      <c r="J45" s="301"/>
      <c r="K45" s="304">
        <f>26165*3.67</f>
        <v>96025.55</v>
      </c>
      <c r="L45" s="301"/>
      <c r="M45" s="303"/>
      <c r="N45" s="302"/>
    </row>
    <row r="46" spans="1:14" ht="18.95" customHeight="1" x14ac:dyDescent="0.2">
      <c r="A46" s="299" t="s">
        <v>231</v>
      </c>
      <c r="B46" s="299"/>
      <c r="C46" s="300">
        <f>3000*3.67</f>
        <v>11010</v>
      </c>
      <c r="D46" s="301"/>
      <c r="E46" s="300">
        <f>3500*3.67</f>
        <v>12845</v>
      </c>
      <c r="F46" s="301"/>
      <c r="G46" s="300">
        <f>4000*3.67</f>
        <v>14680</v>
      </c>
      <c r="H46" s="301"/>
      <c r="I46" s="300">
        <f>5000*3.67</f>
        <v>18350</v>
      </c>
      <c r="J46" s="301"/>
      <c r="K46" s="304">
        <f>6000*3.67</f>
        <v>22020</v>
      </c>
      <c r="L46" s="301"/>
      <c r="M46" s="303"/>
      <c r="N46" s="302"/>
    </row>
    <row r="47" spans="1:14" ht="15" customHeight="1" x14ac:dyDescent="0.2">
      <c r="A47" s="232" t="s">
        <v>181</v>
      </c>
      <c r="B47" s="232"/>
      <c r="C47" s="250">
        <v>12478</v>
      </c>
      <c r="D47" s="286">
        <v>0.02</v>
      </c>
      <c r="E47" s="250">
        <v>35232</v>
      </c>
      <c r="F47" s="286"/>
      <c r="G47" s="250">
        <v>45875</v>
      </c>
      <c r="H47" s="286"/>
      <c r="I47" s="250">
        <v>55050</v>
      </c>
      <c r="J47" s="286"/>
      <c r="K47" s="276">
        <v>82061.2</v>
      </c>
      <c r="L47" s="286"/>
      <c r="M47" s="219"/>
      <c r="N47" s="216"/>
    </row>
    <row r="48" spans="1:14" x14ac:dyDescent="0.2">
      <c r="A48" s="232" t="s">
        <v>182</v>
      </c>
      <c r="B48" s="232"/>
      <c r="C48" s="250">
        <v>16515</v>
      </c>
      <c r="D48" s="288"/>
      <c r="E48" s="250">
        <v>16515</v>
      </c>
      <c r="F48" s="288"/>
      <c r="G48" s="250">
        <v>18350</v>
      </c>
      <c r="H48" s="288"/>
      <c r="I48" s="250">
        <v>20185</v>
      </c>
      <c r="J48" s="288"/>
      <c r="K48" s="276">
        <v>22020</v>
      </c>
      <c r="L48" s="288"/>
      <c r="M48" s="219"/>
      <c r="N48" s="216"/>
    </row>
    <row r="49" spans="1:14" x14ac:dyDescent="0.2">
      <c r="A49" s="232" t="s">
        <v>183</v>
      </c>
      <c r="B49" s="232"/>
      <c r="C49" s="250">
        <v>23437.721000000001</v>
      </c>
      <c r="D49" s="288"/>
      <c r="E49" s="250">
        <v>23437.721000000001</v>
      </c>
      <c r="F49" s="288"/>
      <c r="G49" s="250">
        <v>24693.227999999999</v>
      </c>
      <c r="H49" s="288"/>
      <c r="I49" s="250">
        <v>25948.9185</v>
      </c>
      <c r="J49" s="288"/>
      <c r="K49" s="276">
        <v>12004.57</v>
      </c>
      <c r="L49" s="288"/>
      <c r="M49" s="219"/>
      <c r="N49" s="216"/>
    </row>
    <row r="50" spans="1:14" x14ac:dyDescent="0.2">
      <c r="A50" s="232" t="s">
        <v>184</v>
      </c>
      <c r="B50" s="232"/>
      <c r="C50" s="250">
        <v>50316.518409999997</v>
      </c>
      <c r="D50" s="288"/>
      <c r="E50" s="250">
        <v>170993.07305999997</v>
      </c>
      <c r="F50" s="288"/>
      <c r="G50" s="250">
        <v>257816.29624000003</v>
      </c>
      <c r="H50" s="288"/>
      <c r="I50" s="250">
        <v>295723.16840000002</v>
      </c>
      <c r="J50" s="288"/>
      <c r="K50" s="250">
        <v>323722.31771999999</v>
      </c>
      <c r="L50" s="288"/>
      <c r="M50" s="219"/>
      <c r="N50" s="216"/>
    </row>
    <row r="51" spans="1:14" x14ac:dyDescent="0.2">
      <c r="A51" s="232" t="s">
        <v>185</v>
      </c>
      <c r="B51" s="232"/>
      <c r="C51" s="250">
        <v>20746.509999999998</v>
      </c>
      <c r="D51" s="288"/>
      <c r="E51" s="250">
        <v>27972.739999999998</v>
      </c>
      <c r="F51" s="288"/>
      <c r="G51" s="250">
        <v>47043.527999999998</v>
      </c>
      <c r="H51" s="288"/>
      <c r="I51" s="250">
        <v>47043.527999999998</v>
      </c>
      <c r="J51" s="288"/>
      <c r="K51" s="276">
        <v>76177.272499999992</v>
      </c>
      <c r="L51" s="288"/>
      <c r="M51" s="219"/>
      <c r="N51" s="216"/>
    </row>
    <row r="52" spans="1:14" x14ac:dyDescent="0.2">
      <c r="A52" s="232" t="s">
        <v>186</v>
      </c>
      <c r="B52" s="232"/>
      <c r="C52" s="250">
        <v>20185</v>
      </c>
      <c r="D52" s="288"/>
      <c r="E52" s="250">
        <v>20185</v>
      </c>
      <c r="F52" s="288"/>
      <c r="G52" s="250">
        <v>22020</v>
      </c>
      <c r="H52" s="288"/>
      <c r="I52" s="250">
        <v>23855</v>
      </c>
      <c r="J52" s="288"/>
      <c r="K52" s="276">
        <v>25690</v>
      </c>
      <c r="L52" s="288"/>
      <c r="M52" s="219"/>
      <c r="N52" s="216"/>
    </row>
    <row r="53" spans="1:14" x14ac:dyDescent="0.2">
      <c r="A53" s="232" t="s">
        <v>187</v>
      </c>
      <c r="B53" s="232"/>
      <c r="C53" s="250">
        <v>14680</v>
      </c>
      <c r="D53" s="288"/>
      <c r="E53" s="250">
        <v>15414</v>
      </c>
      <c r="F53" s="288"/>
      <c r="G53" s="250">
        <v>16515</v>
      </c>
      <c r="H53" s="288"/>
      <c r="I53" s="276">
        <v>17249</v>
      </c>
      <c r="J53" s="288"/>
      <c r="K53" s="276">
        <v>18350</v>
      </c>
      <c r="L53" s="288"/>
      <c r="M53" s="219"/>
      <c r="N53" s="216"/>
    </row>
    <row r="54" spans="1:14" x14ac:dyDescent="0.2">
      <c r="A54" s="232" t="s">
        <v>188</v>
      </c>
      <c r="B54" s="232"/>
      <c r="C54" s="250">
        <v>20185</v>
      </c>
      <c r="D54" s="250"/>
      <c r="E54" s="250">
        <v>20185</v>
      </c>
      <c r="F54" s="288"/>
      <c r="G54" s="250">
        <v>22020</v>
      </c>
      <c r="H54" s="288"/>
      <c r="I54" s="250">
        <v>23855</v>
      </c>
      <c r="J54" s="288"/>
      <c r="K54" s="276">
        <v>25690</v>
      </c>
      <c r="L54" s="288"/>
      <c r="M54" s="219"/>
      <c r="N54" s="216"/>
    </row>
    <row r="55" spans="1:14" x14ac:dyDescent="0.2">
      <c r="A55" s="232" t="s">
        <v>189</v>
      </c>
      <c r="B55" s="251" t="s">
        <v>219</v>
      </c>
      <c r="C55" s="250">
        <v>25047.75</v>
      </c>
      <c r="D55" s="289" t="s">
        <v>190</v>
      </c>
      <c r="E55" s="250">
        <v>35066.85</v>
      </c>
      <c r="F55" s="289" t="s">
        <v>191</v>
      </c>
      <c r="G55" s="250">
        <v>40076.400000000001</v>
      </c>
      <c r="H55" s="289" t="s">
        <v>192</v>
      </c>
      <c r="I55" s="250">
        <v>40076.400000000001</v>
      </c>
      <c r="J55" s="289" t="s">
        <v>192</v>
      </c>
      <c r="K55" s="276">
        <v>40076.400000000001</v>
      </c>
      <c r="L55" s="277" t="s">
        <v>192</v>
      </c>
      <c r="M55" s="219"/>
      <c r="N55" s="216"/>
    </row>
    <row r="56" spans="1:14" x14ac:dyDescent="0.2">
      <c r="A56" s="232" t="s">
        <v>193</v>
      </c>
      <c r="B56" s="232"/>
      <c r="C56" s="250">
        <v>20185</v>
      </c>
      <c r="D56" s="250"/>
      <c r="E56" s="250">
        <v>24956</v>
      </c>
      <c r="F56" s="250"/>
      <c r="G56" s="250">
        <v>29727</v>
      </c>
      <c r="H56" s="250"/>
      <c r="I56" s="250">
        <v>35232</v>
      </c>
      <c r="J56" s="250"/>
      <c r="K56" s="276">
        <v>40370</v>
      </c>
      <c r="L56" s="232"/>
      <c r="M56" s="219"/>
      <c r="N56" s="216"/>
    </row>
    <row r="57" spans="1:14" x14ac:dyDescent="0.2">
      <c r="A57" s="232" t="s">
        <v>194</v>
      </c>
      <c r="B57" s="232"/>
      <c r="C57" s="250">
        <v>23855</v>
      </c>
      <c r="D57" s="250"/>
      <c r="E57" s="250">
        <v>35232</v>
      </c>
      <c r="F57" s="250"/>
      <c r="G57" s="250">
        <v>46976</v>
      </c>
      <c r="H57" s="250"/>
      <c r="I57" s="250">
        <v>53215</v>
      </c>
      <c r="J57" s="250"/>
      <c r="K57" s="276">
        <v>60555</v>
      </c>
      <c r="L57" s="232"/>
      <c r="M57" s="219"/>
      <c r="N57" s="216"/>
    </row>
    <row r="58" spans="1:14" x14ac:dyDescent="0.2">
      <c r="A58" s="232" t="s">
        <v>195</v>
      </c>
      <c r="B58" s="232"/>
      <c r="C58" s="250">
        <v>0</v>
      </c>
      <c r="D58" s="250"/>
      <c r="E58" s="250">
        <v>0</v>
      </c>
      <c r="F58" s="250"/>
      <c r="G58" s="250">
        <v>0</v>
      </c>
      <c r="H58" s="250"/>
      <c r="I58" s="250">
        <v>0</v>
      </c>
      <c r="J58" s="250"/>
      <c r="K58" s="276">
        <v>0</v>
      </c>
      <c r="L58" s="232"/>
      <c r="M58" s="219"/>
      <c r="N58" s="216"/>
    </row>
    <row r="59" spans="1:14" x14ac:dyDescent="0.2">
      <c r="A59" s="232" t="s">
        <v>196</v>
      </c>
      <c r="B59" s="232"/>
      <c r="C59" s="250">
        <v>3670</v>
      </c>
      <c r="D59" s="250"/>
      <c r="E59" s="250">
        <v>3670</v>
      </c>
      <c r="F59" s="250"/>
      <c r="G59" s="250">
        <v>3670</v>
      </c>
      <c r="H59" s="250"/>
      <c r="I59" s="250">
        <v>3670</v>
      </c>
      <c r="J59" s="250"/>
      <c r="K59" s="276">
        <v>3670</v>
      </c>
      <c r="L59" s="232"/>
      <c r="M59" s="219"/>
      <c r="N59" s="216"/>
    </row>
    <row r="60" spans="1:14" x14ac:dyDescent="0.2">
      <c r="A60" s="232" t="s">
        <v>197</v>
      </c>
      <c r="B60" s="232"/>
      <c r="C60" s="250">
        <v>11010</v>
      </c>
      <c r="D60" s="250"/>
      <c r="E60" s="250">
        <v>11010</v>
      </c>
      <c r="F60" s="250"/>
      <c r="G60" s="250">
        <v>12845</v>
      </c>
      <c r="H60" s="250"/>
      <c r="I60" s="250">
        <v>12845</v>
      </c>
      <c r="J60" s="250"/>
      <c r="K60" s="276">
        <v>12845</v>
      </c>
      <c r="L60" s="232"/>
      <c r="M60" s="219"/>
      <c r="N60" s="216"/>
    </row>
    <row r="61" spans="1:14" ht="18" customHeight="1" x14ac:dyDescent="0.2">
      <c r="A61" s="249" t="s">
        <v>198</v>
      </c>
      <c r="B61" s="249"/>
      <c r="C61" s="262">
        <f>SUM(C42:C60)</f>
        <v>1156136.9994100002</v>
      </c>
      <c r="D61" s="262"/>
      <c r="E61" s="262">
        <f>SUM(E42:E60)</f>
        <v>1812271.6840600001</v>
      </c>
      <c r="F61" s="262"/>
      <c r="G61" s="262">
        <f>SUM(G42:G60)</f>
        <v>2160321.5422399999</v>
      </c>
      <c r="H61" s="262"/>
      <c r="I61" s="262">
        <f>SUM(I42:I60)</f>
        <v>2242907.5448999996</v>
      </c>
      <c r="J61" s="262"/>
      <c r="K61" s="262">
        <f>SUM(K42:K60)</f>
        <v>2553037.2102199998</v>
      </c>
      <c r="L61" s="249"/>
      <c r="M61" s="229"/>
      <c r="N61" s="218"/>
    </row>
    <row r="62" spans="1:14" x14ac:dyDescent="0.2">
      <c r="A62" s="232" t="s">
        <v>199</v>
      </c>
      <c r="B62" s="232"/>
      <c r="C62" s="250">
        <v>18350</v>
      </c>
      <c r="D62" s="250"/>
      <c r="E62" s="250">
        <v>31195</v>
      </c>
      <c r="F62" s="250"/>
      <c r="G62" s="250">
        <v>36700</v>
      </c>
      <c r="H62" s="250"/>
      <c r="I62" s="250">
        <v>36700</v>
      </c>
      <c r="J62" s="250"/>
      <c r="K62" s="276">
        <v>55050</v>
      </c>
      <c r="L62" s="232"/>
      <c r="M62" s="219"/>
      <c r="N62" s="216"/>
    </row>
    <row r="63" spans="1:14" x14ac:dyDescent="0.2">
      <c r="A63" s="232" t="s">
        <v>200</v>
      </c>
      <c r="B63" s="232"/>
      <c r="C63" s="250">
        <v>4771</v>
      </c>
      <c r="D63" s="250"/>
      <c r="E63" s="250">
        <v>4771</v>
      </c>
      <c r="F63" s="250"/>
      <c r="G63" s="250">
        <v>6239</v>
      </c>
      <c r="H63" s="250"/>
      <c r="I63" s="250">
        <v>7340</v>
      </c>
      <c r="J63" s="250"/>
      <c r="K63" s="276">
        <v>7340</v>
      </c>
      <c r="L63" s="232"/>
      <c r="M63" s="219"/>
      <c r="N63" s="216"/>
    </row>
    <row r="64" spans="1:14" s="213" customFormat="1" ht="15.75" customHeight="1" x14ac:dyDescent="0.2">
      <c r="A64" s="249" t="s">
        <v>201</v>
      </c>
      <c r="B64" s="249"/>
      <c r="C64" s="262">
        <f>SUM(C62:C63)</f>
        <v>23121</v>
      </c>
      <c r="D64" s="262"/>
      <c r="E64" s="262">
        <f>SUM(E62:E63)</f>
        <v>35966</v>
      </c>
      <c r="F64" s="262"/>
      <c r="G64" s="262">
        <f>SUM(G62:G63)</f>
        <v>42939</v>
      </c>
      <c r="H64" s="262"/>
      <c r="I64" s="262">
        <f>SUM(I62:I63)</f>
        <v>44040</v>
      </c>
      <c r="J64" s="262"/>
      <c r="K64" s="262">
        <f>SUM(K62:K63)</f>
        <v>62390</v>
      </c>
      <c r="L64" s="249"/>
      <c r="M64" s="229"/>
      <c r="N64" s="218"/>
    </row>
    <row r="65" spans="1:14" s="213" customFormat="1" ht="15.75" customHeight="1" x14ac:dyDescent="0.2">
      <c r="A65" s="249" t="s">
        <v>176</v>
      </c>
      <c r="B65" s="249"/>
      <c r="C65" s="262">
        <f>C39</f>
        <v>167572.20000000001</v>
      </c>
      <c r="D65" s="262"/>
      <c r="E65" s="262">
        <f>E39</f>
        <v>443336</v>
      </c>
      <c r="F65" s="262"/>
      <c r="G65" s="262">
        <f>G39</f>
        <v>681232.74</v>
      </c>
      <c r="H65" s="262"/>
      <c r="I65" s="262">
        <f>I39</f>
        <v>803583.2</v>
      </c>
      <c r="J65" s="262"/>
      <c r="K65" s="262">
        <f>K39</f>
        <v>956879.1</v>
      </c>
      <c r="L65" s="249"/>
      <c r="M65" s="229"/>
      <c r="N65" s="218"/>
    </row>
    <row r="66" spans="1:14" ht="18" customHeight="1" x14ac:dyDescent="0.2">
      <c r="A66" s="249" t="s">
        <v>202</v>
      </c>
      <c r="B66" s="249"/>
      <c r="C66" s="262">
        <f>C65+C64+C61</f>
        <v>1346830.1994100001</v>
      </c>
      <c r="D66" s="262"/>
      <c r="E66" s="262">
        <f>E65+E64+E61</f>
        <v>2291573.6840599999</v>
      </c>
      <c r="F66" s="262"/>
      <c r="G66" s="262">
        <f>G65+G64+G61</f>
        <v>2884493.2822399996</v>
      </c>
      <c r="H66" s="262"/>
      <c r="I66" s="262">
        <f>I65+I64+I61</f>
        <v>3090530.7448999994</v>
      </c>
      <c r="J66" s="262"/>
      <c r="K66" s="262">
        <f>K65+K64+K61</f>
        <v>3572306.3102199999</v>
      </c>
      <c r="L66" s="232"/>
      <c r="M66" s="229"/>
      <c r="N66" s="216"/>
    </row>
    <row r="67" spans="1:14" ht="13.5" thickBot="1" x14ac:dyDescent="0.25">
      <c r="A67" s="230"/>
      <c r="B67" s="231"/>
      <c r="M67" s="216"/>
      <c r="N67" s="216"/>
    </row>
    <row r="68" spans="1:14" ht="17.25" customHeight="1" thickBot="1" x14ac:dyDescent="0.25">
      <c r="A68" s="326" t="s">
        <v>212</v>
      </c>
      <c r="B68" s="327"/>
      <c r="C68" s="327"/>
      <c r="D68" s="327"/>
      <c r="E68" s="327"/>
      <c r="F68" s="327"/>
      <c r="G68" s="327"/>
      <c r="H68" s="327"/>
      <c r="I68" s="327"/>
      <c r="J68" s="327"/>
      <c r="K68" s="327"/>
      <c r="L68" s="328"/>
      <c r="M68" s="216"/>
      <c r="N68" s="216"/>
    </row>
    <row r="69" spans="1:14" s="234" customFormat="1" ht="24" customHeight="1" x14ac:dyDescent="0.2">
      <c r="A69" s="295" t="s">
        <v>66</v>
      </c>
      <c r="B69" s="295"/>
      <c r="C69" s="296" t="s">
        <v>161</v>
      </c>
      <c r="D69" s="297" t="s">
        <v>203</v>
      </c>
      <c r="E69" s="296" t="s">
        <v>162</v>
      </c>
      <c r="F69" s="297" t="s">
        <v>204</v>
      </c>
      <c r="G69" s="296" t="s">
        <v>163</v>
      </c>
      <c r="H69" s="297" t="s">
        <v>204</v>
      </c>
      <c r="I69" s="296" t="s">
        <v>164</v>
      </c>
      <c r="J69" s="297" t="s">
        <v>204</v>
      </c>
      <c r="K69" s="298" t="s">
        <v>165</v>
      </c>
      <c r="L69" s="297" t="s">
        <v>204</v>
      </c>
    </row>
    <row r="70" spans="1:14" ht="18.75" customHeight="1" x14ac:dyDescent="0.2">
      <c r="A70" s="261" t="s">
        <v>205</v>
      </c>
      <c r="B70" s="261"/>
      <c r="C70" s="294">
        <f>C30</f>
        <v>742061.15</v>
      </c>
      <c r="D70" s="290"/>
      <c r="E70" s="294">
        <f>E30</f>
        <v>2191305.9</v>
      </c>
      <c r="F70" s="291"/>
      <c r="G70" s="294">
        <f>G30</f>
        <v>2857483.6</v>
      </c>
      <c r="H70" s="292"/>
      <c r="I70" s="294">
        <f>I30</f>
        <v>3836526</v>
      </c>
      <c r="J70" s="292"/>
      <c r="K70" s="294">
        <f>K30</f>
        <v>4410385.8</v>
      </c>
      <c r="L70" s="292"/>
      <c r="M70" s="211"/>
      <c r="N70" s="211"/>
    </row>
    <row r="71" spans="1:14" ht="21" customHeight="1" x14ac:dyDescent="0.2">
      <c r="A71" s="261" t="s">
        <v>206</v>
      </c>
      <c r="B71" s="261"/>
      <c r="C71" s="294">
        <f>-(C66)</f>
        <v>-1346830.1994100001</v>
      </c>
      <c r="D71" s="290"/>
      <c r="E71" s="294">
        <f>-(E66)</f>
        <v>-2291573.6840599999</v>
      </c>
      <c r="F71" s="293"/>
      <c r="G71" s="294">
        <f>-(G66)</f>
        <v>-2884493.2822399996</v>
      </c>
      <c r="H71" s="264"/>
      <c r="I71" s="294">
        <f>-(I66)</f>
        <v>-3090530.7448999994</v>
      </c>
      <c r="J71" s="264"/>
      <c r="K71" s="294">
        <f>-(K66)</f>
        <v>-3572306.3102199999</v>
      </c>
      <c r="L71" s="264"/>
      <c r="M71" s="211"/>
      <c r="N71" s="211"/>
    </row>
    <row r="72" spans="1:14" ht="21.75" customHeight="1" x14ac:dyDescent="0.2">
      <c r="A72" s="261" t="s">
        <v>207</v>
      </c>
      <c r="B72" s="261"/>
      <c r="C72" s="294">
        <f>SUM(C70:C71)</f>
        <v>-604769.04941000009</v>
      </c>
      <c r="D72" s="290"/>
      <c r="E72" s="294">
        <f>SUM(E70:E71)</f>
        <v>-100267.78405999998</v>
      </c>
      <c r="F72" s="291"/>
      <c r="G72" s="294">
        <f>SUM(G70:G71)</f>
        <v>-27009.682239999529</v>
      </c>
      <c r="H72" s="292"/>
      <c r="I72" s="294">
        <f>SUM(I70:I71)</f>
        <v>745995.25510000065</v>
      </c>
      <c r="J72" s="292"/>
      <c r="K72" s="294">
        <f>SUM(K70:K71)</f>
        <v>838079.48977999995</v>
      </c>
      <c r="L72" s="292"/>
      <c r="M72" s="211"/>
      <c r="N72" s="211"/>
    </row>
    <row r="73" spans="1:14" ht="22.5" customHeight="1" x14ac:dyDescent="0.2">
      <c r="E73" s="212"/>
      <c r="H73" s="235"/>
      <c r="J73" s="235"/>
      <c r="L73" s="236"/>
      <c r="M73" s="236"/>
      <c r="N73" s="236"/>
    </row>
    <row r="74" spans="1:14" x14ac:dyDescent="0.2">
      <c r="A74" s="237" t="s">
        <v>208</v>
      </c>
      <c r="B74" s="237"/>
      <c r="C74" s="221">
        <v>10000</v>
      </c>
      <c r="D74" s="221"/>
      <c r="E74" s="221">
        <v>0</v>
      </c>
      <c r="F74" s="221"/>
      <c r="G74" s="221">
        <v>1500</v>
      </c>
      <c r="H74" s="221"/>
      <c r="I74" s="221">
        <v>1500</v>
      </c>
      <c r="J74" s="221"/>
      <c r="K74" s="222">
        <v>1500</v>
      </c>
      <c r="L74" s="220"/>
      <c r="M74" s="219"/>
      <c r="N74" s="216"/>
    </row>
    <row r="75" spans="1:14" x14ac:dyDescent="0.2">
      <c r="A75" s="237" t="s">
        <v>209</v>
      </c>
      <c r="B75" s="237"/>
      <c r="C75" s="238">
        <v>18000</v>
      </c>
      <c r="D75" s="221"/>
      <c r="E75" s="221">
        <v>0</v>
      </c>
      <c r="F75" s="221"/>
      <c r="G75" s="221">
        <v>0</v>
      </c>
      <c r="H75" s="221"/>
      <c r="I75" s="221">
        <v>0</v>
      </c>
      <c r="J75" s="221"/>
      <c r="K75" s="222">
        <v>0</v>
      </c>
      <c r="L75" s="220"/>
      <c r="M75" s="219"/>
      <c r="N75" s="216"/>
    </row>
    <row r="76" spans="1:14" s="240" customFormat="1" x14ac:dyDescent="0.2">
      <c r="A76" s="215"/>
      <c r="B76" s="215"/>
      <c r="C76" s="239"/>
      <c r="D76" s="239"/>
      <c r="E76" s="239"/>
      <c r="F76" s="239"/>
      <c r="G76" s="239"/>
      <c r="H76" s="239"/>
      <c r="I76" s="239"/>
      <c r="J76" s="239"/>
      <c r="K76" s="239"/>
      <c r="L76" s="233"/>
      <c r="M76" s="239"/>
      <c r="N76" s="233"/>
    </row>
    <row r="77" spans="1:14" s="240" customFormat="1" x14ac:dyDescent="0.2">
      <c r="A77" s="215"/>
      <c r="B77" s="215"/>
      <c r="C77" s="239"/>
      <c r="D77" s="239"/>
      <c r="E77" s="239"/>
      <c r="F77" s="239"/>
      <c r="G77" s="239"/>
      <c r="H77" s="239"/>
      <c r="I77" s="239"/>
      <c r="J77" s="239"/>
      <c r="K77" s="239"/>
      <c r="L77" s="233"/>
      <c r="M77" s="239"/>
      <c r="N77" s="233"/>
    </row>
    <row r="78" spans="1:14" x14ac:dyDescent="0.2">
      <c r="M78" s="216"/>
      <c r="N78" s="216"/>
    </row>
    <row r="79" spans="1:14" x14ac:dyDescent="0.2">
      <c r="M79" s="216"/>
      <c r="N79" s="216"/>
    </row>
  </sheetData>
  <mergeCells count="42">
    <mergeCell ref="A21:N21"/>
    <mergeCell ref="A68:L68"/>
    <mergeCell ref="B19:N19"/>
    <mergeCell ref="Q19:AB19"/>
    <mergeCell ref="AE19:AP19"/>
    <mergeCell ref="D24:D25"/>
    <mergeCell ref="F24:F25"/>
    <mergeCell ref="H24:H25"/>
    <mergeCell ref="J24:J25"/>
    <mergeCell ref="L24:L25"/>
    <mergeCell ref="AE2:AG2"/>
    <mergeCell ref="AS2:AV2"/>
    <mergeCell ref="BH2:BK2"/>
    <mergeCell ref="B18:C18"/>
    <mergeCell ref="Q18:S18"/>
    <mergeCell ref="BH18:BK18"/>
    <mergeCell ref="O1:O19"/>
    <mergeCell ref="AC1:AC19"/>
    <mergeCell ref="AQ1:AQ19"/>
    <mergeCell ref="BF1:BF19"/>
    <mergeCell ref="AS1:BD1"/>
    <mergeCell ref="BE1:BE2"/>
    <mergeCell ref="BH1:BS1"/>
    <mergeCell ref="Q2:S2"/>
    <mergeCell ref="AS19:BE19"/>
    <mergeCell ref="BH19:BT19"/>
    <mergeCell ref="BT1:BT2"/>
    <mergeCell ref="B2:C2"/>
    <mergeCell ref="D2:D3"/>
    <mergeCell ref="E2:E3"/>
    <mergeCell ref="F2:F3"/>
    <mergeCell ref="G2:G3"/>
    <mergeCell ref="H2:H3"/>
    <mergeCell ref="B1:M1"/>
    <mergeCell ref="N1:N2"/>
    <mergeCell ref="Q1:AA1"/>
    <mergeCell ref="AB1:AB2"/>
    <mergeCell ref="AE1:AO1"/>
    <mergeCell ref="AP1:AP2"/>
    <mergeCell ref="I2:I3"/>
    <mergeCell ref="J2:J3"/>
    <mergeCell ref="K2:K3"/>
  </mergeCells>
  <pageMargins left="0" right="0.22" top="0" bottom="1" header="0.5" footer="0.5"/>
  <pageSetup scale="1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showOutlineSymbol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G15" sqref="G15"/>
    </sheetView>
  </sheetViews>
  <sheetFormatPr defaultColWidth="7" defaultRowHeight="15" customHeight="1" x14ac:dyDescent="0.25"/>
  <cols>
    <col min="1" max="1" width="39.42578125" style="1" bestFit="1" customWidth="1"/>
    <col min="2" max="2" width="8" style="79" bestFit="1" customWidth="1"/>
    <col min="3" max="7" width="17" style="82" bestFit="1" customWidth="1"/>
    <col min="8" max="16384" width="7" style="1"/>
  </cols>
  <sheetData>
    <row r="1" spans="1:7" ht="15" customHeight="1" thickBot="1" x14ac:dyDescent="0.3"/>
    <row r="2" spans="1:7" ht="20.100000000000001" customHeight="1" thickBot="1" x14ac:dyDescent="0.3">
      <c r="A2" s="334" t="s">
        <v>237</v>
      </c>
      <c r="B2" s="335"/>
      <c r="C2" s="335"/>
      <c r="D2" s="335"/>
      <c r="E2" s="335"/>
      <c r="F2" s="335"/>
      <c r="G2" s="336"/>
    </row>
    <row r="3" spans="1:7" ht="20.100000000000001" customHeight="1" thickBot="1" x14ac:dyDescent="0.3">
      <c r="A3" s="2"/>
      <c r="B3" s="90"/>
      <c r="C3" s="92">
        <v>2015</v>
      </c>
      <c r="D3" s="92">
        <v>2016</v>
      </c>
      <c r="E3" s="92">
        <v>2017</v>
      </c>
      <c r="F3" s="92">
        <v>2018</v>
      </c>
      <c r="G3" s="101">
        <v>2019</v>
      </c>
    </row>
    <row r="4" spans="1:7" s="3" customFormat="1" ht="20.100000000000001" customHeight="1" thickBot="1" x14ac:dyDescent="0.3">
      <c r="A4" s="78" t="s">
        <v>1</v>
      </c>
      <c r="B4" s="78" t="s">
        <v>51</v>
      </c>
      <c r="C4" s="83" t="s">
        <v>0</v>
      </c>
      <c r="D4" s="83" t="s">
        <v>0</v>
      </c>
      <c r="E4" s="83" t="s">
        <v>0</v>
      </c>
      <c r="F4" s="83" t="s">
        <v>0</v>
      </c>
      <c r="G4" s="83" t="s">
        <v>0</v>
      </c>
    </row>
    <row r="5" spans="1:7" s="4" customFormat="1" ht="9.9499999999999993" customHeight="1" x14ac:dyDescent="0.25">
      <c r="A5" s="73"/>
      <c r="B5" s="95"/>
      <c r="C5" s="84"/>
      <c r="D5" s="84"/>
      <c r="E5" s="84"/>
      <c r="F5" s="84"/>
      <c r="G5" s="84"/>
    </row>
    <row r="6" spans="1:7" ht="20.100000000000001" customHeight="1" x14ac:dyDescent="0.25">
      <c r="A6" s="81" t="s">
        <v>55</v>
      </c>
      <c r="B6" s="96"/>
      <c r="C6" s="85">
        <f>Income!C30</f>
        <v>742061.15</v>
      </c>
      <c r="D6" s="85">
        <f>Income!E30</f>
        <v>2191305.9</v>
      </c>
      <c r="E6" s="85">
        <f>Income!G30</f>
        <v>2857483.6</v>
      </c>
      <c r="F6" s="85">
        <f>Income!I30</f>
        <v>3836526</v>
      </c>
      <c r="G6" s="85">
        <f>Income!K30</f>
        <v>4410385.8</v>
      </c>
    </row>
    <row r="7" spans="1:7" ht="20.100000000000001" customHeight="1" x14ac:dyDescent="0.25">
      <c r="A7" s="81" t="s">
        <v>56</v>
      </c>
      <c r="B7" s="97"/>
      <c r="C7" s="89">
        <f>-Income!C39</f>
        <v>-167572.20000000001</v>
      </c>
      <c r="D7" s="89">
        <f>-Income!E39</f>
        <v>-443336</v>
      </c>
      <c r="E7" s="89">
        <f>-Income!G39</f>
        <v>-681232.74</v>
      </c>
      <c r="F7" s="89">
        <f>-Income!I39</f>
        <v>-803583.2</v>
      </c>
      <c r="G7" s="89">
        <f>-Income!K39</f>
        <v>-956879.1</v>
      </c>
    </row>
    <row r="8" spans="1:7" ht="20.100000000000001" customHeight="1" thickBot="1" x14ac:dyDescent="0.3">
      <c r="A8" s="5"/>
      <c r="B8" s="97"/>
      <c r="C8" s="85"/>
      <c r="D8" s="85"/>
      <c r="E8" s="85"/>
      <c r="F8" s="85"/>
      <c r="G8" s="85"/>
    </row>
    <row r="9" spans="1:7" s="4" customFormat="1" ht="20.100000000000001" customHeight="1" thickBot="1" x14ac:dyDescent="0.3">
      <c r="A9" s="93" t="s">
        <v>57</v>
      </c>
      <c r="B9" s="98"/>
      <c r="C9" s="94">
        <f>SUM(C6:C8)</f>
        <v>574488.94999999995</v>
      </c>
      <c r="D9" s="94">
        <f>SUM(D6:D8)</f>
        <v>1747969.9</v>
      </c>
      <c r="E9" s="94">
        <f>SUM(E6:E8)</f>
        <v>2176250.8600000003</v>
      </c>
      <c r="F9" s="94">
        <f>SUM(F6:F8)</f>
        <v>3032942.8</v>
      </c>
      <c r="G9" s="94">
        <f>SUM(G6:G8)</f>
        <v>3453506.6999999997</v>
      </c>
    </row>
    <row r="10" spans="1:7" s="4" customFormat="1" ht="9.9499999999999993" customHeight="1" x14ac:dyDescent="0.25">
      <c r="A10" s="75"/>
      <c r="B10" s="99"/>
      <c r="C10" s="86"/>
      <c r="D10" s="86"/>
      <c r="E10" s="86"/>
      <c r="F10" s="86"/>
      <c r="G10" s="86"/>
    </row>
    <row r="11" spans="1:7" s="4" customFormat="1" ht="20.100000000000001" customHeight="1" x14ac:dyDescent="0.25">
      <c r="A11" s="81" t="s">
        <v>58</v>
      </c>
      <c r="B11" s="96"/>
      <c r="C11" s="87">
        <v>0</v>
      </c>
      <c r="D11" s="87">
        <v>0</v>
      </c>
      <c r="E11" s="87">
        <v>0</v>
      </c>
      <c r="F11" s="87">
        <v>0</v>
      </c>
      <c r="G11" s="87">
        <v>0</v>
      </c>
    </row>
    <row r="12" spans="1:7" s="4" customFormat="1" ht="20.100000000000001" customHeight="1" x14ac:dyDescent="0.25">
      <c r="A12" s="81" t="s">
        <v>59</v>
      </c>
      <c r="B12" s="96"/>
      <c r="C12" s="89">
        <f>-Income!C61</f>
        <v>-1156136.9994100002</v>
      </c>
      <c r="D12" s="89">
        <f>-Income!E61</f>
        <v>-1812271.6840600001</v>
      </c>
      <c r="E12" s="89">
        <f>-Income!G61</f>
        <v>-2160321.5422399999</v>
      </c>
      <c r="F12" s="89">
        <f>-Income!I61</f>
        <v>-2242907.5448999996</v>
      </c>
      <c r="G12" s="89">
        <f>-Income!K61</f>
        <v>-2553037.2102199998</v>
      </c>
    </row>
    <row r="13" spans="1:7" s="4" customFormat="1" ht="20.100000000000001" customHeight="1" x14ac:dyDescent="0.25">
      <c r="A13" s="81" t="s">
        <v>60</v>
      </c>
      <c r="B13" s="96"/>
      <c r="C13" s="89">
        <f>-Income!C62</f>
        <v>-18350</v>
      </c>
      <c r="D13" s="89">
        <f>-Income!E62</f>
        <v>-31195</v>
      </c>
      <c r="E13" s="89">
        <f>-Income!G62</f>
        <v>-36700</v>
      </c>
      <c r="F13" s="89">
        <f>-Income!I62</f>
        <v>-36700</v>
      </c>
      <c r="G13" s="89">
        <f>-Income!K62</f>
        <v>-55050</v>
      </c>
    </row>
    <row r="14" spans="1:7" s="4" customFormat="1" ht="20.100000000000001" customHeight="1" x14ac:dyDescent="0.25">
      <c r="A14" s="81" t="s">
        <v>61</v>
      </c>
      <c r="B14" s="96"/>
      <c r="C14" s="89">
        <f>-Income!C63</f>
        <v>-4771</v>
      </c>
      <c r="D14" s="89">
        <f>-Income!E63</f>
        <v>-4771</v>
      </c>
      <c r="E14" s="89">
        <f>-Income!G63</f>
        <v>-6239</v>
      </c>
      <c r="F14" s="89">
        <f>-Income!I63</f>
        <v>-7340</v>
      </c>
      <c r="G14" s="89">
        <f>-Income!K63</f>
        <v>-7340</v>
      </c>
    </row>
    <row r="15" spans="1:7" s="4" customFormat="1" ht="20.100000000000001" customHeight="1" x14ac:dyDescent="0.25">
      <c r="A15" s="76"/>
      <c r="B15" s="80"/>
      <c r="C15" s="87"/>
      <c r="D15" s="87"/>
      <c r="E15" s="89"/>
      <c r="F15" s="89"/>
      <c r="G15" s="89"/>
    </row>
    <row r="16" spans="1:7" s="4" customFormat="1" ht="9.9499999999999993" customHeight="1" thickBot="1" x14ac:dyDescent="0.3">
      <c r="A16" s="77"/>
      <c r="B16" s="91"/>
      <c r="C16" s="88"/>
      <c r="D16" s="88"/>
      <c r="E16" s="88"/>
      <c r="F16" s="88"/>
      <c r="G16" s="88"/>
    </row>
    <row r="17" spans="1:7" s="6" customFormat="1" ht="20.100000000000001" customHeight="1" thickBot="1" x14ac:dyDescent="0.3">
      <c r="A17" s="52" t="s">
        <v>54</v>
      </c>
      <c r="B17" s="52"/>
      <c r="C17" s="100">
        <f>SUM(C9:C16)</f>
        <v>-604769.04941000021</v>
      </c>
      <c r="D17" s="100">
        <f>SUM(D9:D16)</f>
        <v>-100267.78406000021</v>
      </c>
      <c r="E17" s="100">
        <f>SUM(E9:E16)</f>
        <v>-27009.682239999529</v>
      </c>
      <c r="F17" s="100">
        <f>SUM(F9:F16)</f>
        <v>745995.25510000018</v>
      </c>
      <c r="G17" s="100">
        <f>SUM(G9:G16)</f>
        <v>838079.48977999995</v>
      </c>
    </row>
  </sheetData>
  <mergeCells count="1">
    <mergeCell ref="A2:G2"/>
  </mergeCells>
  <pageMargins left="0.41" right="0.13" top="0.61" bottom="0.15" header="0" footer="0"/>
  <pageSetup scale="80" fitToWidth="0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showOutlineSymbols="0" workbookViewId="0">
      <pane xSplit="1" ySplit="4" topLeftCell="B5" activePane="bottomRight" state="frozen"/>
      <selection pane="topRight" activeCell="C1" sqref="C1"/>
      <selection pane="bottomLeft" activeCell="A11" sqref="A11"/>
      <selection pane="bottomRight" activeCell="E40" sqref="E40"/>
    </sheetView>
  </sheetViews>
  <sheetFormatPr defaultColWidth="7" defaultRowHeight="15" customHeight="1" x14ac:dyDescent="0.25"/>
  <cols>
    <col min="1" max="1" width="38.5703125" style="7" customWidth="1"/>
    <col min="2" max="2" width="9.7109375" style="7" customWidth="1"/>
    <col min="3" max="5" width="17.140625" style="7" bestFit="1" customWidth="1"/>
    <col min="6" max="6" width="20.28515625" style="7" customWidth="1"/>
    <col min="7" max="8" width="17.7109375" style="7" customWidth="1"/>
    <col min="9" max="9" width="9.85546875" style="7" bestFit="1" customWidth="1"/>
    <col min="10" max="241" width="7" style="7"/>
    <col min="242" max="242" width="15.5703125" style="7" customWidth="1"/>
    <col min="243" max="243" width="42.7109375" style="7" customWidth="1"/>
    <col min="244" max="244" width="18.28515625" style="7" customWidth="1"/>
    <col min="245" max="245" width="19.7109375" style="7" customWidth="1"/>
    <col min="246" max="497" width="7" style="7"/>
    <col min="498" max="498" width="15.5703125" style="7" customWidth="1"/>
    <col min="499" max="499" width="42.7109375" style="7" customWidth="1"/>
    <col min="500" max="500" width="18.28515625" style="7" customWidth="1"/>
    <col min="501" max="501" width="19.7109375" style="7" customWidth="1"/>
    <col min="502" max="753" width="7" style="7"/>
    <col min="754" max="754" width="15.5703125" style="7" customWidth="1"/>
    <col min="755" max="755" width="42.7109375" style="7" customWidth="1"/>
    <col min="756" max="756" width="18.28515625" style="7" customWidth="1"/>
    <col min="757" max="757" width="19.7109375" style="7" customWidth="1"/>
    <col min="758" max="1009" width="7" style="7"/>
    <col min="1010" max="1010" width="15.5703125" style="7" customWidth="1"/>
    <col min="1011" max="1011" width="42.7109375" style="7" customWidth="1"/>
    <col min="1012" max="1012" width="18.28515625" style="7" customWidth="1"/>
    <col min="1013" max="1013" width="19.7109375" style="7" customWidth="1"/>
    <col min="1014" max="1265" width="7" style="7"/>
    <col min="1266" max="1266" width="15.5703125" style="7" customWidth="1"/>
    <col min="1267" max="1267" width="42.7109375" style="7" customWidth="1"/>
    <col min="1268" max="1268" width="18.28515625" style="7" customWidth="1"/>
    <col min="1269" max="1269" width="19.7109375" style="7" customWidth="1"/>
    <col min="1270" max="1521" width="7" style="7"/>
    <col min="1522" max="1522" width="15.5703125" style="7" customWidth="1"/>
    <col min="1523" max="1523" width="42.7109375" style="7" customWidth="1"/>
    <col min="1524" max="1524" width="18.28515625" style="7" customWidth="1"/>
    <col min="1525" max="1525" width="19.7109375" style="7" customWidth="1"/>
    <col min="1526" max="1777" width="7" style="7"/>
    <col min="1778" max="1778" width="15.5703125" style="7" customWidth="1"/>
    <col min="1779" max="1779" width="42.7109375" style="7" customWidth="1"/>
    <col min="1780" max="1780" width="18.28515625" style="7" customWidth="1"/>
    <col min="1781" max="1781" width="19.7109375" style="7" customWidth="1"/>
    <col min="1782" max="2033" width="7" style="7"/>
    <col min="2034" max="2034" width="15.5703125" style="7" customWidth="1"/>
    <col min="2035" max="2035" width="42.7109375" style="7" customWidth="1"/>
    <col min="2036" max="2036" width="18.28515625" style="7" customWidth="1"/>
    <col min="2037" max="2037" width="19.7109375" style="7" customWidth="1"/>
    <col min="2038" max="2289" width="7" style="7"/>
    <col min="2290" max="2290" width="15.5703125" style="7" customWidth="1"/>
    <col min="2291" max="2291" width="42.7109375" style="7" customWidth="1"/>
    <col min="2292" max="2292" width="18.28515625" style="7" customWidth="1"/>
    <col min="2293" max="2293" width="19.7109375" style="7" customWidth="1"/>
    <col min="2294" max="2545" width="7" style="7"/>
    <col min="2546" max="2546" width="15.5703125" style="7" customWidth="1"/>
    <col min="2547" max="2547" width="42.7109375" style="7" customWidth="1"/>
    <col min="2548" max="2548" width="18.28515625" style="7" customWidth="1"/>
    <col min="2549" max="2549" width="19.7109375" style="7" customWidth="1"/>
    <col min="2550" max="2801" width="7" style="7"/>
    <col min="2802" max="2802" width="15.5703125" style="7" customWidth="1"/>
    <col min="2803" max="2803" width="42.7109375" style="7" customWidth="1"/>
    <col min="2804" max="2804" width="18.28515625" style="7" customWidth="1"/>
    <col min="2805" max="2805" width="19.7109375" style="7" customWidth="1"/>
    <col min="2806" max="3057" width="7" style="7"/>
    <col min="3058" max="3058" width="15.5703125" style="7" customWidth="1"/>
    <col min="3059" max="3059" width="42.7109375" style="7" customWidth="1"/>
    <col min="3060" max="3060" width="18.28515625" style="7" customWidth="1"/>
    <col min="3061" max="3061" width="19.7109375" style="7" customWidth="1"/>
    <col min="3062" max="3313" width="7" style="7"/>
    <col min="3314" max="3314" width="15.5703125" style="7" customWidth="1"/>
    <col min="3315" max="3315" width="42.7109375" style="7" customWidth="1"/>
    <col min="3316" max="3316" width="18.28515625" style="7" customWidth="1"/>
    <col min="3317" max="3317" width="19.7109375" style="7" customWidth="1"/>
    <col min="3318" max="3569" width="7" style="7"/>
    <col min="3570" max="3570" width="15.5703125" style="7" customWidth="1"/>
    <col min="3571" max="3571" width="42.7109375" style="7" customWidth="1"/>
    <col min="3572" max="3572" width="18.28515625" style="7" customWidth="1"/>
    <col min="3573" max="3573" width="19.7109375" style="7" customWidth="1"/>
    <col min="3574" max="3825" width="7" style="7"/>
    <col min="3826" max="3826" width="15.5703125" style="7" customWidth="1"/>
    <col min="3827" max="3827" width="42.7109375" style="7" customWidth="1"/>
    <col min="3828" max="3828" width="18.28515625" style="7" customWidth="1"/>
    <col min="3829" max="3829" width="19.7109375" style="7" customWidth="1"/>
    <col min="3830" max="4081" width="7" style="7"/>
    <col min="4082" max="4082" width="15.5703125" style="7" customWidth="1"/>
    <col min="4083" max="4083" width="42.7109375" style="7" customWidth="1"/>
    <col min="4084" max="4084" width="18.28515625" style="7" customWidth="1"/>
    <col min="4085" max="4085" width="19.7109375" style="7" customWidth="1"/>
    <col min="4086" max="4337" width="7" style="7"/>
    <col min="4338" max="4338" width="15.5703125" style="7" customWidth="1"/>
    <col min="4339" max="4339" width="42.7109375" style="7" customWidth="1"/>
    <col min="4340" max="4340" width="18.28515625" style="7" customWidth="1"/>
    <col min="4341" max="4341" width="19.7109375" style="7" customWidth="1"/>
    <col min="4342" max="4593" width="7" style="7"/>
    <col min="4594" max="4594" width="15.5703125" style="7" customWidth="1"/>
    <col min="4595" max="4595" width="42.7109375" style="7" customWidth="1"/>
    <col min="4596" max="4596" width="18.28515625" style="7" customWidth="1"/>
    <col min="4597" max="4597" width="19.7109375" style="7" customWidth="1"/>
    <col min="4598" max="4849" width="7" style="7"/>
    <col min="4850" max="4850" width="15.5703125" style="7" customWidth="1"/>
    <col min="4851" max="4851" width="42.7109375" style="7" customWidth="1"/>
    <col min="4852" max="4852" width="18.28515625" style="7" customWidth="1"/>
    <col min="4853" max="4853" width="19.7109375" style="7" customWidth="1"/>
    <col min="4854" max="5105" width="7" style="7"/>
    <col min="5106" max="5106" width="15.5703125" style="7" customWidth="1"/>
    <col min="5107" max="5107" width="42.7109375" style="7" customWidth="1"/>
    <col min="5108" max="5108" width="18.28515625" style="7" customWidth="1"/>
    <col min="5109" max="5109" width="19.7109375" style="7" customWidth="1"/>
    <col min="5110" max="5361" width="7" style="7"/>
    <col min="5362" max="5362" width="15.5703125" style="7" customWidth="1"/>
    <col min="5363" max="5363" width="42.7109375" style="7" customWidth="1"/>
    <col min="5364" max="5364" width="18.28515625" style="7" customWidth="1"/>
    <col min="5365" max="5365" width="19.7109375" style="7" customWidth="1"/>
    <col min="5366" max="5617" width="7" style="7"/>
    <col min="5618" max="5618" width="15.5703125" style="7" customWidth="1"/>
    <col min="5619" max="5619" width="42.7109375" style="7" customWidth="1"/>
    <col min="5620" max="5620" width="18.28515625" style="7" customWidth="1"/>
    <col min="5621" max="5621" width="19.7109375" style="7" customWidth="1"/>
    <col min="5622" max="5873" width="7" style="7"/>
    <col min="5874" max="5874" width="15.5703125" style="7" customWidth="1"/>
    <col min="5875" max="5875" width="42.7109375" style="7" customWidth="1"/>
    <col min="5876" max="5876" width="18.28515625" style="7" customWidth="1"/>
    <col min="5877" max="5877" width="19.7109375" style="7" customWidth="1"/>
    <col min="5878" max="6129" width="7" style="7"/>
    <col min="6130" max="6130" width="15.5703125" style="7" customWidth="1"/>
    <col min="6131" max="6131" width="42.7109375" style="7" customWidth="1"/>
    <col min="6132" max="6132" width="18.28515625" style="7" customWidth="1"/>
    <col min="6133" max="6133" width="19.7109375" style="7" customWidth="1"/>
    <col min="6134" max="6385" width="7" style="7"/>
    <col min="6386" max="6386" width="15.5703125" style="7" customWidth="1"/>
    <col min="6387" max="6387" width="42.7109375" style="7" customWidth="1"/>
    <col min="6388" max="6388" width="18.28515625" style="7" customWidth="1"/>
    <col min="6389" max="6389" width="19.7109375" style="7" customWidth="1"/>
    <col min="6390" max="6641" width="7" style="7"/>
    <col min="6642" max="6642" width="15.5703125" style="7" customWidth="1"/>
    <col min="6643" max="6643" width="42.7109375" style="7" customWidth="1"/>
    <col min="6644" max="6644" width="18.28515625" style="7" customWidth="1"/>
    <col min="6645" max="6645" width="19.7109375" style="7" customWidth="1"/>
    <col min="6646" max="6897" width="7" style="7"/>
    <col min="6898" max="6898" width="15.5703125" style="7" customWidth="1"/>
    <col min="6899" max="6899" width="42.7109375" style="7" customWidth="1"/>
    <col min="6900" max="6900" width="18.28515625" style="7" customWidth="1"/>
    <col min="6901" max="6901" width="19.7109375" style="7" customWidth="1"/>
    <col min="6902" max="7153" width="7" style="7"/>
    <col min="7154" max="7154" width="15.5703125" style="7" customWidth="1"/>
    <col min="7155" max="7155" width="42.7109375" style="7" customWidth="1"/>
    <col min="7156" max="7156" width="18.28515625" style="7" customWidth="1"/>
    <col min="7157" max="7157" width="19.7109375" style="7" customWidth="1"/>
    <col min="7158" max="7409" width="7" style="7"/>
    <col min="7410" max="7410" width="15.5703125" style="7" customWidth="1"/>
    <col min="7411" max="7411" width="42.7109375" style="7" customWidth="1"/>
    <col min="7412" max="7412" width="18.28515625" style="7" customWidth="1"/>
    <col min="7413" max="7413" width="19.7109375" style="7" customWidth="1"/>
    <col min="7414" max="7665" width="7" style="7"/>
    <col min="7666" max="7666" width="15.5703125" style="7" customWidth="1"/>
    <col min="7667" max="7667" width="42.7109375" style="7" customWidth="1"/>
    <col min="7668" max="7668" width="18.28515625" style="7" customWidth="1"/>
    <col min="7669" max="7669" width="19.7109375" style="7" customWidth="1"/>
    <col min="7670" max="7921" width="7" style="7"/>
    <col min="7922" max="7922" width="15.5703125" style="7" customWidth="1"/>
    <col min="7923" max="7923" width="42.7109375" style="7" customWidth="1"/>
    <col min="7924" max="7924" width="18.28515625" style="7" customWidth="1"/>
    <col min="7925" max="7925" width="19.7109375" style="7" customWidth="1"/>
    <col min="7926" max="8177" width="7" style="7"/>
    <col min="8178" max="8178" width="15.5703125" style="7" customWidth="1"/>
    <col min="8179" max="8179" width="42.7109375" style="7" customWidth="1"/>
    <col min="8180" max="8180" width="18.28515625" style="7" customWidth="1"/>
    <col min="8181" max="8181" width="19.7109375" style="7" customWidth="1"/>
    <col min="8182" max="8433" width="7" style="7"/>
    <col min="8434" max="8434" width="15.5703125" style="7" customWidth="1"/>
    <col min="8435" max="8435" width="42.7109375" style="7" customWidth="1"/>
    <col min="8436" max="8436" width="18.28515625" style="7" customWidth="1"/>
    <col min="8437" max="8437" width="19.7109375" style="7" customWidth="1"/>
    <col min="8438" max="8689" width="7" style="7"/>
    <col min="8690" max="8690" width="15.5703125" style="7" customWidth="1"/>
    <col min="8691" max="8691" width="42.7109375" style="7" customWidth="1"/>
    <col min="8692" max="8692" width="18.28515625" style="7" customWidth="1"/>
    <col min="8693" max="8693" width="19.7109375" style="7" customWidth="1"/>
    <col min="8694" max="8945" width="7" style="7"/>
    <col min="8946" max="8946" width="15.5703125" style="7" customWidth="1"/>
    <col min="8947" max="8947" width="42.7109375" style="7" customWidth="1"/>
    <col min="8948" max="8948" width="18.28515625" style="7" customWidth="1"/>
    <col min="8949" max="8949" width="19.7109375" style="7" customWidth="1"/>
    <col min="8950" max="9201" width="7" style="7"/>
    <col min="9202" max="9202" width="15.5703125" style="7" customWidth="1"/>
    <col min="9203" max="9203" width="42.7109375" style="7" customWidth="1"/>
    <col min="9204" max="9204" width="18.28515625" style="7" customWidth="1"/>
    <col min="9205" max="9205" width="19.7109375" style="7" customWidth="1"/>
    <col min="9206" max="9457" width="7" style="7"/>
    <col min="9458" max="9458" width="15.5703125" style="7" customWidth="1"/>
    <col min="9459" max="9459" width="42.7109375" style="7" customWidth="1"/>
    <col min="9460" max="9460" width="18.28515625" style="7" customWidth="1"/>
    <col min="9461" max="9461" width="19.7109375" style="7" customWidth="1"/>
    <col min="9462" max="9713" width="7" style="7"/>
    <col min="9714" max="9714" width="15.5703125" style="7" customWidth="1"/>
    <col min="9715" max="9715" width="42.7109375" style="7" customWidth="1"/>
    <col min="9716" max="9716" width="18.28515625" style="7" customWidth="1"/>
    <col min="9717" max="9717" width="19.7109375" style="7" customWidth="1"/>
    <col min="9718" max="9969" width="7" style="7"/>
    <col min="9970" max="9970" width="15.5703125" style="7" customWidth="1"/>
    <col min="9971" max="9971" width="42.7109375" style="7" customWidth="1"/>
    <col min="9972" max="9972" width="18.28515625" style="7" customWidth="1"/>
    <col min="9973" max="9973" width="19.7109375" style="7" customWidth="1"/>
    <col min="9974" max="10225" width="7" style="7"/>
    <col min="10226" max="10226" width="15.5703125" style="7" customWidth="1"/>
    <col min="10227" max="10227" width="42.7109375" style="7" customWidth="1"/>
    <col min="10228" max="10228" width="18.28515625" style="7" customWidth="1"/>
    <col min="10229" max="10229" width="19.7109375" style="7" customWidth="1"/>
    <col min="10230" max="10481" width="7" style="7"/>
    <col min="10482" max="10482" width="15.5703125" style="7" customWidth="1"/>
    <col min="10483" max="10483" width="42.7109375" style="7" customWidth="1"/>
    <col min="10484" max="10484" width="18.28515625" style="7" customWidth="1"/>
    <col min="10485" max="10485" width="19.7109375" style="7" customWidth="1"/>
    <col min="10486" max="10737" width="7" style="7"/>
    <col min="10738" max="10738" width="15.5703125" style="7" customWidth="1"/>
    <col min="10739" max="10739" width="42.7109375" style="7" customWidth="1"/>
    <col min="10740" max="10740" width="18.28515625" style="7" customWidth="1"/>
    <col min="10741" max="10741" width="19.7109375" style="7" customWidth="1"/>
    <col min="10742" max="10993" width="7" style="7"/>
    <col min="10994" max="10994" width="15.5703125" style="7" customWidth="1"/>
    <col min="10995" max="10995" width="42.7109375" style="7" customWidth="1"/>
    <col min="10996" max="10996" width="18.28515625" style="7" customWidth="1"/>
    <col min="10997" max="10997" width="19.7109375" style="7" customWidth="1"/>
    <col min="10998" max="11249" width="7" style="7"/>
    <col min="11250" max="11250" width="15.5703125" style="7" customWidth="1"/>
    <col min="11251" max="11251" width="42.7109375" style="7" customWidth="1"/>
    <col min="11252" max="11252" width="18.28515625" style="7" customWidth="1"/>
    <col min="11253" max="11253" width="19.7109375" style="7" customWidth="1"/>
    <col min="11254" max="11505" width="7" style="7"/>
    <col min="11506" max="11506" width="15.5703125" style="7" customWidth="1"/>
    <col min="11507" max="11507" width="42.7109375" style="7" customWidth="1"/>
    <col min="11508" max="11508" width="18.28515625" style="7" customWidth="1"/>
    <col min="11509" max="11509" width="19.7109375" style="7" customWidth="1"/>
    <col min="11510" max="11761" width="7" style="7"/>
    <col min="11762" max="11762" width="15.5703125" style="7" customWidth="1"/>
    <col min="11763" max="11763" width="42.7109375" style="7" customWidth="1"/>
    <col min="11764" max="11764" width="18.28515625" style="7" customWidth="1"/>
    <col min="11765" max="11765" width="19.7109375" style="7" customWidth="1"/>
    <col min="11766" max="12017" width="7" style="7"/>
    <col min="12018" max="12018" width="15.5703125" style="7" customWidth="1"/>
    <col min="12019" max="12019" width="42.7109375" style="7" customWidth="1"/>
    <col min="12020" max="12020" width="18.28515625" style="7" customWidth="1"/>
    <col min="12021" max="12021" width="19.7109375" style="7" customWidth="1"/>
    <col min="12022" max="12273" width="7" style="7"/>
    <col min="12274" max="12274" width="15.5703125" style="7" customWidth="1"/>
    <col min="12275" max="12275" width="42.7109375" style="7" customWidth="1"/>
    <col min="12276" max="12276" width="18.28515625" style="7" customWidth="1"/>
    <col min="12277" max="12277" width="19.7109375" style="7" customWidth="1"/>
    <col min="12278" max="12529" width="7" style="7"/>
    <col min="12530" max="12530" width="15.5703125" style="7" customWidth="1"/>
    <col min="12531" max="12531" width="42.7109375" style="7" customWidth="1"/>
    <col min="12532" max="12532" width="18.28515625" style="7" customWidth="1"/>
    <col min="12533" max="12533" width="19.7109375" style="7" customWidth="1"/>
    <col min="12534" max="12785" width="7" style="7"/>
    <col min="12786" max="12786" width="15.5703125" style="7" customWidth="1"/>
    <col min="12787" max="12787" width="42.7109375" style="7" customWidth="1"/>
    <col min="12788" max="12788" width="18.28515625" style="7" customWidth="1"/>
    <col min="12789" max="12789" width="19.7109375" style="7" customWidth="1"/>
    <col min="12790" max="13041" width="7" style="7"/>
    <col min="13042" max="13042" width="15.5703125" style="7" customWidth="1"/>
    <col min="13043" max="13043" width="42.7109375" style="7" customWidth="1"/>
    <col min="13044" max="13044" width="18.28515625" style="7" customWidth="1"/>
    <col min="13045" max="13045" width="19.7109375" style="7" customWidth="1"/>
    <col min="13046" max="13297" width="7" style="7"/>
    <col min="13298" max="13298" width="15.5703125" style="7" customWidth="1"/>
    <col min="13299" max="13299" width="42.7109375" style="7" customWidth="1"/>
    <col min="13300" max="13300" width="18.28515625" style="7" customWidth="1"/>
    <col min="13301" max="13301" width="19.7109375" style="7" customWidth="1"/>
    <col min="13302" max="13553" width="7" style="7"/>
    <col min="13554" max="13554" width="15.5703125" style="7" customWidth="1"/>
    <col min="13555" max="13555" width="42.7109375" style="7" customWidth="1"/>
    <col min="13556" max="13556" width="18.28515625" style="7" customWidth="1"/>
    <col min="13557" max="13557" width="19.7109375" style="7" customWidth="1"/>
    <col min="13558" max="13809" width="7" style="7"/>
    <col min="13810" max="13810" width="15.5703125" style="7" customWidth="1"/>
    <col min="13811" max="13811" width="42.7109375" style="7" customWidth="1"/>
    <col min="13812" max="13812" width="18.28515625" style="7" customWidth="1"/>
    <col min="13813" max="13813" width="19.7109375" style="7" customWidth="1"/>
    <col min="13814" max="14065" width="7" style="7"/>
    <col min="14066" max="14066" width="15.5703125" style="7" customWidth="1"/>
    <col min="14067" max="14067" width="42.7109375" style="7" customWidth="1"/>
    <col min="14068" max="14068" width="18.28515625" style="7" customWidth="1"/>
    <col min="14069" max="14069" width="19.7109375" style="7" customWidth="1"/>
    <col min="14070" max="14321" width="7" style="7"/>
    <col min="14322" max="14322" width="15.5703125" style="7" customWidth="1"/>
    <col min="14323" max="14323" width="42.7109375" style="7" customWidth="1"/>
    <col min="14324" max="14324" width="18.28515625" style="7" customWidth="1"/>
    <col min="14325" max="14325" width="19.7109375" style="7" customWidth="1"/>
    <col min="14326" max="14577" width="7" style="7"/>
    <col min="14578" max="14578" width="15.5703125" style="7" customWidth="1"/>
    <col min="14579" max="14579" width="42.7109375" style="7" customWidth="1"/>
    <col min="14580" max="14580" width="18.28515625" style="7" customWidth="1"/>
    <col min="14581" max="14581" width="19.7109375" style="7" customWidth="1"/>
    <col min="14582" max="14833" width="7" style="7"/>
    <col min="14834" max="14834" width="15.5703125" style="7" customWidth="1"/>
    <col min="14835" max="14835" width="42.7109375" style="7" customWidth="1"/>
    <col min="14836" max="14836" width="18.28515625" style="7" customWidth="1"/>
    <col min="14837" max="14837" width="19.7109375" style="7" customWidth="1"/>
    <col min="14838" max="15089" width="7" style="7"/>
    <col min="15090" max="15090" width="15.5703125" style="7" customWidth="1"/>
    <col min="15091" max="15091" width="42.7109375" style="7" customWidth="1"/>
    <col min="15092" max="15092" width="18.28515625" style="7" customWidth="1"/>
    <col min="15093" max="15093" width="19.7109375" style="7" customWidth="1"/>
    <col min="15094" max="15345" width="7" style="7"/>
    <col min="15346" max="15346" width="15.5703125" style="7" customWidth="1"/>
    <col min="15347" max="15347" width="42.7109375" style="7" customWidth="1"/>
    <col min="15348" max="15348" width="18.28515625" style="7" customWidth="1"/>
    <col min="15349" max="15349" width="19.7109375" style="7" customWidth="1"/>
    <col min="15350" max="15601" width="7" style="7"/>
    <col min="15602" max="15602" width="15.5703125" style="7" customWidth="1"/>
    <col min="15603" max="15603" width="42.7109375" style="7" customWidth="1"/>
    <col min="15604" max="15604" width="18.28515625" style="7" customWidth="1"/>
    <col min="15605" max="15605" width="19.7109375" style="7" customWidth="1"/>
    <col min="15606" max="15857" width="7" style="7"/>
    <col min="15858" max="15858" width="15.5703125" style="7" customWidth="1"/>
    <col min="15859" max="15859" width="42.7109375" style="7" customWidth="1"/>
    <col min="15860" max="15860" width="18.28515625" style="7" customWidth="1"/>
    <col min="15861" max="15861" width="19.7109375" style="7" customWidth="1"/>
    <col min="15862" max="16113" width="7" style="7"/>
    <col min="16114" max="16114" width="15.5703125" style="7" customWidth="1"/>
    <col min="16115" max="16115" width="42.7109375" style="7" customWidth="1"/>
    <col min="16116" max="16116" width="18.28515625" style="7" customWidth="1"/>
    <col min="16117" max="16117" width="19.7109375" style="7" customWidth="1"/>
    <col min="16118" max="16384" width="7" style="7"/>
  </cols>
  <sheetData>
    <row r="1" spans="1:9" ht="15" customHeight="1" x14ac:dyDescent="0.25">
      <c r="A1" s="8"/>
      <c r="B1" s="8"/>
      <c r="C1" s="9"/>
      <c r="D1" s="9"/>
      <c r="E1" s="9"/>
      <c r="F1" s="9"/>
      <c r="G1" s="9"/>
      <c r="H1" s="9"/>
    </row>
    <row r="2" spans="1:9" s="10" customFormat="1" ht="15" customHeight="1" x14ac:dyDescent="0.25">
      <c r="A2" s="337" t="s">
        <v>52</v>
      </c>
      <c r="B2" s="338"/>
      <c r="C2" s="338"/>
      <c r="D2" s="338"/>
      <c r="E2" s="338"/>
      <c r="F2" s="338"/>
      <c r="G2" s="338"/>
      <c r="H2" s="338"/>
    </row>
    <row r="3" spans="1:9" ht="15" customHeight="1" thickBot="1" x14ac:dyDescent="0.3"/>
    <row r="4" spans="1:9" ht="15" customHeight="1" thickBot="1" x14ac:dyDescent="0.3">
      <c r="A4" s="11" t="s">
        <v>2</v>
      </c>
      <c r="B4" s="11"/>
      <c r="C4" s="54" t="s">
        <v>99</v>
      </c>
      <c r="D4" s="54">
        <v>2015</v>
      </c>
      <c r="E4" s="71">
        <v>2016</v>
      </c>
      <c r="F4" s="54">
        <v>2017</v>
      </c>
      <c r="G4" s="54">
        <v>2018</v>
      </c>
      <c r="H4" s="54">
        <v>2019</v>
      </c>
    </row>
    <row r="5" spans="1:9" ht="15" customHeight="1" x14ac:dyDescent="0.25">
      <c r="A5" s="66" t="s">
        <v>4</v>
      </c>
      <c r="B5" s="66"/>
      <c r="C5" s="70"/>
      <c r="D5" s="70"/>
      <c r="E5" s="72"/>
      <c r="F5" s="70"/>
      <c r="G5" s="70"/>
      <c r="H5" s="70"/>
    </row>
    <row r="6" spans="1:9" ht="15" customHeight="1" x14ac:dyDescent="0.25">
      <c r="A6" s="62" t="s">
        <v>96</v>
      </c>
      <c r="B6" s="62"/>
      <c r="C6" s="198">
        <f>18000*3.67</f>
        <v>66060</v>
      </c>
      <c r="D6" s="198">
        <f>18000*3.67</f>
        <v>66060</v>
      </c>
      <c r="E6" s="198">
        <f>18000*3.67</f>
        <v>66060</v>
      </c>
      <c r="F6" s="198">
        <f>19500*3.67</f>
        <v>71565</v>
      </c>
      <c r="G6" s="198">
        <f>21000*3.67</f>
        <v>77070</v>
      </c>
      <c r="H6" s="198">
        <f>22500*3.67</f>
        <v>82575</v>
      </c>
    </row>
    <row r="7" spans="1:9" ht="15" customHeight="1" x14ac:dyDescent="0.25">
      <c r="A7" s="62" t="s">
        <v>97</v>
      </c>
      <c r="B7" s="62"/>
      <c r="C7" s="198">
        <f t="shared" ref="C7:H7" si="0">10000*3.67</f>
        <v>36700</v>
      </c>
      <c r="D7" s="198">
        <f t="shared" si="0"/>
        <v>36700</v>
      </c>
      <c r="E7" s="198">
        <f t="shared" si="0"/>
        <v>36700</v>
      </c>
      <c r="F7" s="198">
        <f t="shared" si="0"/>
        <v>36700</v>
      </c>
      <c r="G7" s="198">
        <f t="shared" si="0"/>
        <v>36700</v>
      </c>
      <c r="H7" s="198">
        <f t="shared" si="0"/>
        <v>36700</v>
      </c>
    </row>
    <row r="8" spans="1:9" ht="15" customHeight="1" x14ac:dyDescent="0.25">
      <c r="A8" s="62" t="s">
        <v>6</v>
      </c>
      <c r="B8" s="62"/>
      <c r="C8" s="198">
        <v>0</v>
      </c>
      <c r="D8" s="198">
        <f>-6386*3.67</f>
        <v>-23436.62</v>
      </c>
      <c r="E8" s="198">
        <f>-12772*3.67</f>
        <v>-46873.24</v>
      </c>
      <c r="F8" s="198">
        <f>-19500*3.67</f>
        <v>-71565</v>
      </c>
      <c r="G8" s="198">
        <f>-26571*3.67</f>
        <v>-97515.569999999992</v>
      </c>
      <c r="H8" s="198">
        <f>-32500*3.67</f>
        <v>-119275</v>
      </c>
    </row>
    <row r="9" spans="1:9" ht="15" customHeight="1" x14ac:dyDescent="0.25">
      <c r="A9" s="67" t="s">
        <v>5</v>
      </c>
      <c r="B9" s="67"/>
      <c r="C9" s="199">
        <f t="shared" ref="C9:F9" si="1">SUM(C6:C8)</f>
        <v>102760</v>
      </c>
      <c r="D9" s="199">
        <f t="shared" si="1"/>
        <v>79323.38</v>
      </c>
      <c r="E9" s="199">
        <f t="shared" si="1"/>
        <v>55886.76</v>
      </c>
      <c r="F9" s="199">
        <f t="shared" si="1"/>
        <v>36700</v>
      </c>
      <c r="G9" s="199">
        <f>SUM(G6:G8)</f>
        <v>16254.430000000008</v>
      </c>
      <c r="H9" s="199">
        <f>SUM(H6:H8)</f>
        <v>0</v>
      </c>
    </row>
    <row r="10" spans="1:9" ht="15" customHeight="1" x14ac:dyDescent="0.25">
      <c r="A10" s="67" t="s">
        <v>8</v>
      </c>
      <c r="B10" s="67"/>
      <c r="C10" s="200"/>
      <c r="D10" s="200"/>
      <c r="E10" s="201"/>
      <c r="F10" s="200"/>
      <c r="G10" s="200"/>
      <c r="H10" s="200"/>
    </row>
    <row r="11" spans="1:9" ht="15" customHeight="1" x14ac:dyDescent="0.25">
      <c r="A11" s="62" t="s">
        <v>50</v>
      </c>
      <c r="B11" s="62"/>
      <c r="C11" s="198">
        <f>272000*3.67</f>
        <v>998240</v>
      </c>
      <c r="D11" s="198">
        <v>303560</v>
      </c>
      <c r="E11" s="198">
        <v>67208</v>
      </c>
      <c r="F11" s="198">
        <v>17398</v>
      </c>
      <c r="G11" s="198">
        <v>696526</v>
      </c>
      <c r="H11" s="198">
        <v>1545476</v>
      </c>
      <c r="I11" s="65"/>
    </row>
    <row r="12" spans="1:9" ht="15" customHeight="1" x14ac:dyDescent="0.25">
      <c r="A12" s="62" t="s">
        <v>9</v>
      </c>
      <c r="B12" s="62"/>
      <c r="C12" s="198">
        <v>0</v>
      </c>
      <c r="D12" s="198">
        <f>5000*3.67</f>
        <v>18350</v>
      </c>
      <c r="E12" s="198">
        <f>5000*3.67</f>
        <v>18350</v>
      </c>
      <c r="F12" s="198">
        <f>5000*3.67</f>
        <v>18350</v>
      </c>
      <c r="G12" s="198">
        <f>5000*3.67</f>
        <v>18350</v>
      </c>
      <c r="H12" s="198">
        <f>5000*3.67</f>
        <v>18350</v>
      </c>
    </row>
    <row r="13" spans="1:9" ht="15" customHeight="1" x14ac:dyDescent="0.25">
      <c r="A13" s="62" t="s">
        <v>10</v>
      </c>
      <c r="B13" s="62"/>
      <c r="C13" s="198">
        <v>0</v>
      </c>
      <c r="D13" s="198">
        <f>5600*3.67</f>
        <v>20552</v>
      </c>
      <c r="E13" s="198">
        <f>4900*3.67</f>
        <v>17983</v>
      </c>
      <c r="F13" s="198">
        <f>5145*3.67</f>
        <v>18882.149999999998</v>
      </c>
      <c r="G13" s="198">
        <f>5402*3.67</f>
        <v>19825.34</v>
      </c>
      <c r="H13" s="198">
        <f>5672*3.67</f>
        <v>20816.239999999998</v>
      </c>
    </row>
    <row r="14" spans="1:9" ht="15" customHeight="1" x14ac:dyDescent="0.25">
      <c r="A14" s="62" t="s">
        <v>11</v>
      </c>
      <c r="B14" s="62"/>
      <c r="C14" s="198">
        <v>0</v>
      </c>
      <c r="D14" s="243">
        <f>('P &amp; L-Summary '!C6/365)*60</f>
        <v>121982.65479452055</v>
      </c>
      <c r="E14" s="243">
        <f>('P &amp; L-Summary '!D6/365)*60</f>
        <v>360214.66849315068</v>
      </c>
      <c r="F14" s="243">
        <f>('P &amp; L-Summary '!E6/365)*60</f>
        <v>469723.33150684932</v>
      </c>
      <c r="G14" s="243">
        <f>('P &amp; L-Summary '!F6/365)*60</f>
        <v>630661.80821917811</v>
      </c>
      <c r="H14" s="243">
        <f>('P &amp; L-Summary '!G6/365)*60</f>
        <v>724994.92602739716</v>
      </c>
    </row>
    <row r="15" spans="1:9" ht="15" customHeight="1" x14ac:dyDescent="0.25">
      <c r="A15" s="62" t="s">
        <v>98</v>
      </c>
      <c r="B15" s="62"/>
      <c r="C15" s="198">
        <v>0</v>
      </c>
      <c r="D15" s="198">
        <f>5000*3.67</f>
        <v>18350</v>
      </c>
      <c r="E15" s="198">
        <f>5000*3.67</f>
        <v>18350</v>
      </c>
      <c r="F15" s="198">
        <f>5000*3.67</f>
        <v>18350</v>
      </c>
      <c r="G15" s="198">
        <f>5000*3.67</f>
        <v>18350</v>
      </c>
      <c r="H15" s="198">
        <f>5000*3.67</f>
        <v>18350</v>
      </c>
    </row>
    <row r="16" spans="1:9" ht="15" customHeight="1" x14ac:dyDescent="0.25">
      <c r="A16" s="67" t="s">
        <v>5</v>
      </c>
      <c r="B16" s="67"/>
      <c r="C16" s="199">
        <f>SUM(C11:C15)</f>
        <v>998240</v>
      </c>
      <c r="D16" s="199">
        <f>SUM(D11:D15)</f>
        <v>482794.65479452058</v>
      </c>
      <c r="E16" s="199">
        <f t="shared" ref="E16:H16" si="2">SUM(E11:E15)</f>
        <v>482105.66849315068</v>
      </c>
      <c r="F16" s="199">
        <f t="shared" si="2"/>
        <v>542703.48150684929</v>
      </c>
      <c r="G16" s="199">
        <f t="shared" si="2"/>
        <v>1383713.148219178</v>
      </c>
      <c r="H16" s="199">
        <f t="shared" si="2"/>
        <v>2327987.1660273969</v>
      </c>
    </row>
    <row r="17" spans="1:8" ht="15" customHeight="1" x14ac:dyDescent="0.25">
      <c r="A17" s="62"/>
      <c r="B17" s="62"/>
      <c r="C17" s="198"/>
      <c r="D17" s="198"/>
      <c r="E17" s="198"/>
      <c r="F17" s="198"/>
      <c r="G17" s="198"/>
      <c r="H17" s="198"/>
    </row>
    <row r="18" spans="1:8" ht="15" customHeight="1" thickBot="1" x14ac:dyDescent="0.3">
      <c r="A18" s="68" t="s">
        <v>7</v>
      </c>
      <c r="B18" s="68"/>
      <c r="C18" s="202">
        <f>C16+C9</f>
        <v>1101000</v>
      </c>
      <c r="D18" s="202">
        <f t="shared" ref="D18:H18" si="3">D16+D9</f>
        <v>562118.03479452059</v>
      </c>
      <c r="E18" s="202">
        <f t="shared" si="3"/>
        <v>537992.42849315063</v>
      </c>
      <c r="F18" s="202">
        <f t="shared" si="3"/>
        <v>579403.48150684929</v>
      </c>
      <c r="G18" s="202">
        <f t="shared" si="3"/>
        <v>1399967.5782191779</v>
      </c>
      <c r="H18" s="202">
        <f t="shared" si="3"/>
        <v>2327987.1660273969</v>
      </c>
    </row>
    <row r="19" spans="1:8" ht="15" customHeight="1" thickBot="1" x14ac:dyDescent="0.3">
      <c r="A19" s="63"/>
      <c r="B19" s="63"/>
      <c r="C19" s="203"/>
      <c r="D19" s="203"/>
      <c r="E19" s="204"/>
      <c r="F19" s="203"/>
      <c r="G19" s="203"/>
      <c r="H19" s="203"/>
    </row>
    <row r="20" spans="1:8" ht="15" customHeight="1" thickBot="1" x14ac:dyDescent="0.3">
      <c r="A20" s="12" t="s">
        <v>2</v>
      </c>
      <c r="B20" s="12"/>
      <c r="C20" s="205" t="s">
        <v>3</v>
      </c>
      <c r="D20" s="205" t="s">
        <v>3</v>
      </c>
      <c r="E20" s="206" t="s">
        <v>3</v>
      </c>
      <c r="F20" s="205" t="s">
        <v>3</v>
      </c>
      <c r="G20" s="205" t="s">
        <v>3</v>
      </c>
      <c r="H20" s="205" t="s">
        <v>3</v>
      </c>
    </row>
    <row r="21" spans="1:8" ht="15" customHeight="1" x14ac:dyDescent="0.25">
      <c r="A21" s="69" t="s">
        <v>12</v>
      </c>
      <c r="B21" s="69"/>
      <c r="C21" s="207"/>
      <c r="D21" s="207"/>
      <c r="E21" s="208"/>
      <c r="F21" s="207"/>
      <c r="G21" s="207"/>
      <c r="H21" s="207"/>
    </row>
    <row r="22" spans="1:8" ht="15" customHeight="1" x14ac:dyDescent="0.25">
      <c r="A22" s="62" t="s">
        <v>13</v>
      </c>
      <c r="B22" s="62"/>
      <c r="C22" s="243">
        <f>300000*3.67</f>
        <v>1101000</v>
      </c>
      <c r="D22" s="243">
        <f>300000*3.67</f>
        <v>1101000</v>
      </c>
      <c r="E22" s="243">
        <f t="shared" ref="E22:H22" si="4">300000*3.67</f>
        <v>1101000</v>
      </c>
      <c r="F22" s="243">
        <f t="shared" si="4"/>
        <v>1101000</v>
      </c>
      <c r="G22" s="243">
        <f t="shared" si="4"/>
        <v>1101000</v>
      </c>
      <c r="H22" s="243">
        <f t="shared" si="4"/>
        <v>1101000</v>
      </c>
    </row>
    <row r="23" spans="1:8" ht="15" customHeight="1" x14ac:dyDescent="0.25">
      <c r="A23" s="62" t="s">
        <v>14</v>
      </c>
      <c r="B23" s="62"/>
      <c r="C23" s="243">
        <v>0</v>
      </c>
      <c r="D23" s="243">
        <f>'P &amp; L-Summary '!C17</f>
        <v>-604769.04941000021</v>
      </c>
      <c r="E23" s="244">
        <f>'P &amp; L-Summary '!C17+'P &amp; L-Summary '!D17</f>
        <v>-705036.83347000042</v>
      </c>
      <c r="F23" s="243">
        <f>'P &amp; L-Summary '!C17+'P &amp; L-Summary '!D17+'P &amp; L-Summary '!E17</f>
        <v>-732046.51570999995</v>
      </c>
      <c r="G23" s="243">
        <f>'P &amp; L-Summary '!C17+'P &amp; L-Summary '!D17+'P &amp; L-Summary '!E17+'P &amp; L-Summary '!F17</f>
        <v>13948.739390000235</v>
      </c>
      <c r="H23" s="243">
        <f>'P &amp; L-Summary '!C17+'P &amp; L-Summary '!D17+'P &amp; L-Summary '!E17+'P &amp; L-Summary '!F17+'P &amp; L-Summary '!G17</f>
        <v>852028.22917000018</v>
      </c>
    </row>
    <row r="24" spans="1:8" ht="15" customHeight="1" x14ac:dyDescent="0.25">
      <c r="A24" s="67" t="s">
        <v>5</v>
      </c>
      <c r="B24" s="67"/>
      <c r="C24" s="199">
        <f>SUM(C22:C23)</f>
        <v>1101000</v>
      </c>
      <c r="D24" s="199">
        <f t="shared" ref="D24:H24" si="5">SUM(D22:D23)</f>
        <v>496230.95058999979</v>
      </c>
      <c r="E24" s="199">
        <f t="shared" si="5"/>
        <v>395963.16652999958</v>
      </c>
      <c r="F24" s="199">
        <f t="shared" si="5"/>
        <v>368953.48429000005</v>
      </c>
      <c r="G24" s="199">
        <f t="shared" si="5"/>
        <v>1114948.7393900002</v>
      </c>
      <c r="H24" s="199">
        <f t="shared" si="5"/>
        <v>1953028.2291700002</v>
      </c>
    </row>
    <row r="25" spans="1:8" ht="15" customHeight="1" x14ac:dyDescent="0.25">
      <c r="A25" s="67" t="s">
        <v>15</v>
      </c>
      <c r="B25" s="67"/>
      <c r="C25" s="200"/>
      <c r="D25" s="200"/>
      <c r="E25" s="201"/>
      <c r="F25" s="200"/>
      <c r="G25" s="200"/>
      <c r="H25" s="200"/>
    </row>
    <row r="26" spans="1:8" ht="15" customHeight="1" x14ac:dyDescent="0.25">
      <c r="A26" s="62" t="s">
        <v>16</v>
      </c>
      <c r="B26" s="62"/>
      <c r="C26" s="198">
        <v>0</v>
      </c>
      <c r="D26" s="198">
        <f>3880*3.67</f>
        <v>14239.6</v>
      </c>
      <c r="E26" s="198">
        <f>10255*3.67</f>
        <v>37635.85</v>
      </c>
      <c r="F26" s="198">
        <f>12950*3.67</f>
        <v>47526.5</v>
      </c>
      <c r="G26" s="198">
        <f>16250*3.67</f>
        <v>59637.5</v>
      </c>
      <c r="H26" s="198">
        <f>19300*3.67</f>
        <v>70831</v>
      </c>
    </row>
    <row r="27" spans="1:8" ht="15" customHeight="1" x14ac:dyDescent="0.25">
      <c r="A27" s="62" t="s">
        <v>17</v>
      </c>
      <c r="B27" s="62"/>
      <c r="C27" s="198">
        <v>0</v>
      </c>
      <c r="D27" s="198">
        <f>3920*3.67</f>
        <v>14386.4</v>
      </c>
      <c r="E27" s="209">
        <f>10170*3.67</f>
        <v>37323.9</v>
      </c>
      <c r="F27" s="198">
        <f>13300*3.67</f>
        <v>48811</v>
      </c>
      <c r="G27" s="198">
        <f>17500*3.67</f>
        <v>64225</v>
      </c>
      <c r="H27" s="198">
        <f>18200*3.67</f>
        <v>66794</v>
      </c>
    </row>
    <row r="28" spans="1:8" ht="15" customHeight="1" x14ac:dyDescent="0.25">
      <c r="A28" s="67" t="s">
        <v>5</v>
      </c>
      <c r="B28" s="67"/>
      <c r="C28" s="199">
        <f t="shared" ref="C28:H28" si="6">SUM(C26:C27)</f>
        <v>0</v>
      </c>
      <c r="D28" s="199">
        <f>SUM(D26:D27)</f>
        <v>28626</v>
      </c>
      <c r="E28" s="199">
        <f t="shared" si="6"/>
        <v>74959.75</v>
      </c>
      <c r="F28" s="199">
        <f t="shared" si="6"/>
        <v>96337.5</v>
      </c>
      <c r="G28" s="199">
        <f t="shared" si="6"/>
        <v>123862.5</v>
      </c>
      <c r="H28" s="199">
        <f t="shared" si="6"/>
        <v>137625</v>
      </c>
    </row>
    <row r="29" spans="1:8" ht="15" customHeight="1" x14ac:dyDescent="0.25">
      <c r="A29" s="67" t="s">
        <v>18</v>
      </c>
      <c r="B29" s="67"/>
      <c r="C29" s="200"/>
      <c r="D29" s="200"/>
      <c r="E29" s="201"/>
      <c r="F29" s="200"/>
      <c r="G29" s="200"/>
      <c r="H29" s="200"/>
    </row>
    <row r="30" spans="1:8" ht="15" customHeight="1" x14ac:dyDescent="0.25">
      <c r="A30" s="62" t="s">
        <v>19</v>
      </c>
      <c r="B30" s="62"/>
      <c r="C30" s="198">
        <v>0</v>
      </c>
      <c r="D30" s="198">
        <v>0</v>
      </c>
      <c r="E30" s="209">
        <v>0</v>
      </c>
      <c r="F30" s="198">
        <v>0</v>
      </c>
      <c r="G30" s="198">
        <v>0</v>
      </c>
      <c r="H30" s="198">
        <v>0</v>
      </c>
    </row>
    <row r="31" spans="1:8" ht="15" customHeight="1" x14ac:dyDescent="0.25">
      <c r="A31" s="62" t="s">
        <v>20</v>
      </c>
      <c r="B31" s="62"/>
      <c r="C31" s="198">
        <v>0</v>
      </c>
      <c r="D31" s="198">
        <f>5653*3.67</f>
        <v>20746.509999999998</v>
      </c>
      <c r="E31" s="209">
        <f>D31+(7622*3.67)</f>
        <v>48719.25</v>
      </c>
      <c r="F31" s="198">
        <f>E31+(12818.4*3.67)</f>
        <v>95762.777999999991</v>
      </c>
      <c r="G31" s="198">
        <f>F31+(12818.4*3.67)</f>
        <v>142806.30599999998</v>
      </c>
      <c r="H31" s="198">
        <f>G31+(20756.75*3.67)</f>
        <v>218983.57849999997</v>
      </c>
    </row>
    <row r="32" spans="1:8" ht="15" customHeight="1" x14ac:dyDescent="0.25">
      <c r="A32" s="62" t="s">
        <v>21</v>
      </c>
      <c r="B32" s="62"/>
      <c r="C32" s="198">
        <v>0</v>
      </c>
      <c r="D32" s="198">
        <f>4500*3.67</f>
        <v>16515</v>
      </c>
      <c r="E32" s="198">
        <f>5000*3.67</f>
        <v>18350</v>
      </c>
      <c r="F32" s="198">
        <f>5000*3.67</f>
        <v>18350</v>
      </c>
      <c r="G32" s="198">
        <f>5000*3.67</f>
        <v>18350</v>
      </c>
      <c r="H32" s="198">
        <f>5000*3.67</f>
        <v>18350</v>
      </c>
    </row>
    <row r="33" spans="1:8" ht="15" customHeight="1" x14ac:dyDescent="0.25">
      <c r="A33" s="67" t="s">
        <v>5</v>
      </c>
      <c r="B33" s="67"/>
      <c r="C33" s="199">
        <f>SUM(C30:C32)</f>
        <v>0</v>
      </c>
      <c r="D33" s="199">
        <f>SUM(D30:D32)</f>
        <v>37261.509999999995</v>
      </c>
      <c r="E33" s="199">
        <f t="shared" ref="E33" si="7">SUM(E30:E32)</f>
        <v>67069.25</v>
      </c>
      <c r="F33" s="199">
        <f t="shared" ref="F33" si="8">SUM(F30:F32)</f>
        <v>114112.77799999999</v>
      </c>
      <c r="G33" s="199">
        <f t="shared" ref="G33" si="9">SUM(G30:G32)</f>
        <v>161156.30599999998</v>
      </c>
      <c r="H33" s="199">
        <f t="shared" ref="H33" si="10">SUM(H30:H32)</f>
        <v>237333.57849999997</v>
      </c>
    </row>
    <row r="34" spans="1:8" ht="15" customHeight="1" thickBot="1" x14ac:dyDescent="0.3">
      <c r="A34" s="68" t="s">
        <v>7</v>
      </c>
      <c r="B34" s="68"/>
      <c r="C34" s="202">
        <f t="shared" ref="C34:H34" si="11">C33+C28+C24</f>
        <v>1101000</v>
      </c>
      <c r="D34" s="202">
        <f t="shared" si="11"/>
        <v>562118.4605899998</v>
      </c>
      <c r="E34" s="202">
        <f t="shared" si="11"/>
        <v>537992.16652999958</v>
      </c>
      <c r="F34" s="202">
        <f t="shared" si="11"/>
        <v>579403.76228999998</v>
      </c>
      <c r="G34" s="202">
        <f t="shared" si="11"/>
        <v>1399967.5453900001</v>
      </c>
      <c r="H34" s="202">
        <f t="shared" si="11"/>
        <v>2327986.80767</v>
      </c>
    </row>
    <row r="35" spans="1:8" s="13" customFormat="1" ht="20.25" customHeight="1" thickBot="1" x14ac:dyDescent="0.3">
      <c r="A35" s="64"/>
      <c r="B35" s="64"/>
      <c r="C35" s="197">
        <f>C18-C34</f>
        <v>0</v>
      </c>
      <c r="D35" s="197">
        <f t="shared" ref="D35:H35" si="12">D18-D34</f>
        <v>-0.42579547921195626</v>
      </c>
      <c r="E35" s="197">
        <f t="shared" si="12"/>
        <v>0.26196315104607493</v>
      </c>
      <c r="F35" s="197">
        <f t="shared" si="12"/>
        <v>-0.28078315069433302</v>
      </c>
      <c r="G35" s="197">
        <f t="shared" si="12"/>
        <v>3.2829177798703313E-2</v>
      </c>
      <c r="H35" s="197">
        <f t="shared" si="12"/>
        <v>0.35835739690810442</v>
      </c>
    </row>
    <row r="38" spans="1:8" ht="15" customHeight="1" x14ac:dyDescent="0.25">
      <c r="C38" s="14"/>
      <c r="D38" s="14"/>
      <c r="E38" s="242"/>
      <c r="F38" s="14"/>
      <c r="G38" s="14"/>
      <c r="H38" s="242"/>
    </row>
    <row r="39" spans="1:8" ht="15" customHeight="1" x14ac:dyDescent="0.25">
      <c r="D39" s="241">
        <f>D16-D11</f>
        <v>179234.65479452058</v>
      </c>
      <c r="E39" s="241">
        <f t="shared" ref="E39:H39" si="13">E16-E11</f>
        <v>414897.66849315068</v>
      </c>
      <c r="F39" s="241">
        <f t="shared" si="13"/>
        <v>525305.48150684929</v>
      </c>
      <c r="G39" s="241">
        <f t="shared" si="13"/>
        <v>687187.14821917797</v>
      </c>
      <c r="H39" s="241">
        <f t="shared" si="13"/>
        <v>782511.16602739692</v>
      </c>
    </row>
    <row r="40" spans="1:8" ht="15" customHeight="1" x14ac:dyDescent="0.25">
      <c r="D40" s="241"/>
      <c r="E40" s="241">
        <f>E39-D39</f>
        <v>235663.01369863009</v>
      </c>
      <c r="F40" s="241">
        <f>F39-E39</f>
        <v>110407.81301369861</v>
      </c>
      <c r="G40" s="241">
        <f>G39-F39</f>
        <v>161881.66671232868</v>
      </c>
      <c r="H40" s="241">
        <f>H39-G39</f>
        <v>95324.017808218952</v>
      </c>
    </row>
    <row r="41" spans="1:8" ht="15" customHeight="1" x14ac:dyDescent="0.25">
      <c r="E41" s="241"/>
      <c r="F41" s="241"/>
      <c r="G41" s="241"/>
      <c r="H41" s="241"/>
    </row>
  </sheetData>
  <mergeCells count="1">
    <mergeCell ref="A2:H2"/>
  </mergeCells>
  <pageMargins left="0.4" right="0" top="0.31" bottom="0.27" header="0" footer="0"/>
  <pageSetup scale="80" fitToWidth="0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6"/>
  <sheetViews>
    <sheetView topLeftCell="B1" workbookViewId="0">
      <pane xSplit="3" ySplit="8" topLeftCell="E39" activePane="bottomRight" state="frozen"/>
      <selection activeCell="B1" sqref="B1"/>
      <selection pane="topRight" activeCell="E1" sqref="E1"/>
      <selection pane="bottomLeft" activeCell="B9" sqref="B9"/>
      <selection pane="bottomRight" activeCell="G63" sqref="G63"/>
    </sheetView>
  </sheetViews>
  <sheetFormatPr defaultRowHeight="15" customHeight="1" x14ac:dyDescent="0.2"/>
  <cols>
    <col min="1" max="1" width="9.140625" style="15"/>
    <col min="2" max="2" width="8.42578125" style="15" customWidth="1"/>
    <col min="3" max="3" width="3.85546875" style="15" customWidth="1"/>
    <col min="4" max="4" width="52.5703125" style="15" customWidth="1"/>
    <col min="5" max="5" width="13.85546875" style="53" customWidth="1"/>
    <col min="6" max="6" width="15.140625" style="53" customWidth="1"/>
    <col min="7" max="9" width="15.140625" style="74" customWidth="1"/>
    <col min="10" max="247" width="9.140625" style="15"/>
    <col min="248" max="248" width="8.42578125" style="15" customWidth="1"/>
    <col min="249" max="249" width="3.85546875" style="15" customWidth="1"/>
    <col min="250" max="250" width="52.5703125" style="15" customWidth="1"/>
    <col min="251" max="251" width="13.85546875" style="15" customWidth="1"/>
    <col min="252" max="252" width="2.7109375" style="15" customWidth="1"/>
    <col min="253" max="253" width="9.140625" style="15"/>
    <col min="254" max="254" width="14.5703125" style="15" bestFit="1" customWidth="1"/>
    <col min="255" max="503" width="9.140625" style="15"/>
    <col min="504" max="504" width="8.42578125" style="15" customWidth="1"/>
    <col min="505" max="505" width="3.85546875" style="15" customWidth="1"/>
    <col min="506" max="506" width="52.5703125" style="15" customWidth="1"/>
    <col min="507" max="507" width="13.85546875" style="15" customWidth="1"/>
    <col min="508" max="508" width="2.7109375" style="15" customWidth="1"/>
    <col min="509" max="509" width="9.140625" style="15"/>
    <col min="510" max="510" width="14.5703125" style="15" bestFit="1" customWidth="1"/>
    <col min="511" max="759" width="9.140625" style="15"/>
    <col min="760" max="760" width="8.42578125" style="15" customWidth="1"/>
    <col min="761" max="761" width="3.85546875" style="15" customWidth="1"/>
    <col min="762" max="762" width="52.5703125" style="15" customWidth="1"/>
    <col min="763" max="763" width="13.85546875" style="15" customWidth="1"/>
    <col min="764" max="764" width="2.7109375" style="15" customWidth="1"/>
    <col min="765" max="765" width="9.140625" style="15"/>
    <col min="766" max="766" width="14.5703125" style="15" bestFit="1" customWidth="1"/>
    <col min="767" max="1015" width="9.140625" style="15"/>
    <col min="1016" max="1016" width="8.42578125" style="15" customWidth="1"/>
    <col min="1017" max="1017" width="3.85546875" style="15" customWidth="1"/>
    <col min="1018" max="1018" width="52.5703125" style="15" customWidth="1"/>
    <col min="1019" max="1019" width="13.85546875" style="15" customWidth="1"/>
    <col min="1020" max="1020" width="2.7109375" style="15" customWidth="1"/>
    <col min="1021" max="1021" width="9.140625" style="15"/>
    <col min="1022" max="1022" width="14.5703125" style="15" bestFit="1" customWidth="1"/>
    <col min="1023" max="1271" width="9.140625" style="15"/>
    <col min="1272" max="1272" width="8.42578125" style="15" customWidth="1"/>
    <col min="1273" max="1273" width="3.85546875" style="15" customWidth="1"/>
    <col min="1274" max="1274" width="52.5703125" style="15" customWidth="1"/>
    <col min="1275" max="1275" width="13.85546875" style="15" customWidth="1"/>
    <col min="1276" max="1276" width="2.7109375" style="15" customWidth="1"/>
    <col min="1277" max="1277" width="9.140625" style="15"/>
    <col min="1278" max="1278" width="14.5703125" style="15" bestFit="1" customWidth="1"/>
    <col min="1279" max="1527" width="9.140625" style="15"/>
    <col min="1528" max="1528" width="8.42578125" style="15" customWidth="1"/>
    <col min="1529" max="1529" width="3.85546875" style="15" customWidth="1"/>
    <col min="1530" max="1530" width="52.5703125" style="15" customWidth="1"/>
    <col min="1531" max="1531" width="13.85546875" style="15" customWidth="1"/>
    <col min="1532" max="1532" width="2.7109375" style="15" customWidth="1"/>
    <col min="1533" max="1533" width="9.140625" style="15"/>
    <col min="1534" max="1534" width="14.5703125" style="15" bestFit="1" customWidth="1"/>
    <col min="1535" max="1783" width="9.140625" style="15"/>
    <col min="1784" max="1784" width="8.42578125" style="15" customWidth="1"/>
    <col min="1785" max="1785" width="3.85546875" style="15" customWidth="1"/>
    <col min="1786" max="1786" width="52.5703125" style="15" customWidth="1"/>
    <col min="1787" max="1787" width="13.85546875" style="15" customWidth="1"/>
    <col min="1788" max="1788" width="2.7109375" style="15" customWidth="1"/>
    <col min="1789" max="1789" width="9.140625" style="15"/>
    <col min="1790" max="1790" width="14.5703125" style="15" bestFit="1" customWidth="1"/>
    <col min="1791" max="2039" width="9.140625" style="15"/>
    <col min="2040" max="2040" width="8.42578125" style="15" customWidth="1"/>
    <col min="2041" max="2041" width="3.85546875" style="15" customWidth="1"/>
    <col min="2042" max="2042" width="52.5703125" style="15" customWidth="1"/>
    <col min="2043" max="2043" width="13.85546875" style="15" customWidth="1"/>
    <col min="2044" max="2044" width="2.7109375" style="15" customWidth="1"/>
    <col min="2045" max="2045" width="9.140625" style="15"/>
    <col min="2046" max="2046" width="14.5703125" style="15" bestFit="1" customWidth="1"/>
    <col min="2047" max="2295" width="9.140625" style="15"/>
    <col min="2296" max="2296" width="8.42578125" style="15" customWidth="1"/>
    <col min="2297" max="2297" width="3.85546875" style="15" customWidth="1"/>
    <col min="2298" max="2298" width="52.5703125" style="15" customWidth="1"/>
    <col min="2299" max="2299" width="13.85546875" style="15" customWidth="1"/>
    <col min="2300" max="2300" width="2.7109375" style="15" customWidth="1"/>
    <col min="2301" max="2301" width="9.140625" style="15"/>
    <col min="2302" max="2302" width="14.5703125" style="15" bestFit="1" customWidth="1"/>
    <col min="2303" max="2551" width="9.140625" style="15"/>
    <col min="2552" max="2552" width="8.42578125" style="15" customWidth="1"/>
    <col min="2553" max="2553" width="3.85546875" style="15" customWidth="1"/>
    <col min="2554" max="2554" width="52.5703125" style="15" customWidth="1"/>
    <col min="2555" max="2555" width="13.85546875" style="15" customWidth="1"/>
    <col min="2556" max="2556" width="2.7109375" style="15" customWidth="1"/>
    <col min="2557" max="2557" width="9.140625" style="15"/>
    <col min="2558" max="2558" width="14.5703125" style="15" bestFit="1" customWidth="1"/>
    <col min="2559" max="2807" width="9.140625" style="15"/>
    <col min="2808" max="2808" width="8.42578125" style="15" customWidth="1"/>
    <col min="2809" max="2809" width="3.85546875" style="15" customWidth="1"/>
    <col min="2810" max="2810" width="52.5703125" style="15" customWidth="1"/>
    <col min="2811" max="2811" width="13.85546875" style="15" customWidth="1"/>
    <col min="2812" max="2812" width="2.7109375" style="15" customWidth="1"/>
    <col min="2813" max="2813" width="9.140625" style="15"/>
    <col min="2814" max="2814" width="14.5703125" style="15" bestFit="1" customWidth="1"/>
    <col min="2815" max="3063" width="9.140625" style="15"/>
    <col min="3064" max="3064" width="8.42578125" style="15" customWidth="1"/>
    <col min="3065" max="3065" width="3.85546875" style="15" customWidth="1"/>
    <col min="3066" max="3066" width="52.5703125" style="15" customWidth="1"/>
    <col min="3067" max="3067" width="13.85546875" style="15" customWidth="1"/>
    <col min="3068" max="3068" width="2.7109375" style="15" customWidth="1"/>
    <col min="3069" max="3069" width="9.140625" style="15"/>
    <col min="3070" max="3070" width="14.5703125" style="15" bestFit="1" customWidth="1"/>
    <col min="3071" max="3319" width="9.140625" style="15"/>
    <col min="3320" max="3320" width="8.42578125" style="15" customWidth="1"/>
    <col min="3321" max="3321" width="3.85546875" style="15" customWidth="1"/>
    <col min="3322" max="3322" width="52.5703125" style="15" customWidth="1"/>
    <col min="3323" max="3323" width="13.85546875" style="15" customWidth="1"/>
    <col min="3324" max="3324" width="2.7109375" style="15" customWidth="1"/>
    <col min="3325" max="3325" width="9.140625" style="15"/>
    <col min="3326" max="3326" width="14.5703125" style="15" bestFit="1" customWidth="1"/>
    <col min="3327" max="3575" width="9.140625" style="15"/>
    <col min="3576" max="3576" width="8.42578125" style="15" customWidth="1"/>
    <col min="3577" max="3577" width="3.85546875" style="15" customWidth="1"/>
    <col min="3578" max="3578" width="52.5703125" style="15" customWidth="1"/>
    <col min="3579" max="3579" width="13.85546875" style="15" customWidth="1"/>
    <col min="3580" max="3580" width="2.7109375" style="15" customWidth="1"/>
    <col min="3581" max="3581" width="9.140625" style="15"/>
    <col min="3582" max="3582" width="14.5703125" style="15" bestFit="1" customWidth="1"/>
    <col min="3583" max="3831" width="9.140625" style="15"/>
    <col min="3832" max="3832" width="8.42578125" style="15" customWidth="1"/>
    <col min="3833" max="3833" width="3.85546875" style="15" customWidth="1"/>
    <col min="3834" max="3834" width="52.5703125" style="15" customWidth="1"/>
    <col min="3835" max="3835" width="13.85546875" style="15" customWidth="1"/>
    <col min="3836" max="3836" width="2.7109375" style="15" customWidth="1"/>
    <col min="3837" max="3837" width="9.140625" style="15"/>
    <col min="3838" max="3838" width="14.5703125" style="15" bestFit="1" customWidth="1"/>
    <col min="3839" max="4087" width="9.140625" style="15"/>
    <col min="4088" max="4088" width="8.42578125" style="15" customWidth="1"/>
    <col min="4089" max="4089" width="3.85546875" style="15" customWidth="1"/>
    <col min="4090" max="4090" width="52.5703125" style="15" customWidth="1"/>
    <col min="4091" max="4091" width="13.85546875" style="15" customWidth="1"/>
    <col min="4092" max="4092" width="2.7109375" style="15" customWidth="1"/>
    <col min="4093" max="4093" width="9.140625" style="15"/>
    <col min="4094" max="4094" width="14.5703125" style="15" bestFit="1" customWidth="1"/>
    <col min="4095" max="4343" width="9.140625" style="15"/>
    <col min="4344" max="4344" width="8.42578125" style="15" customWidth="1"/>
    <col min="4345" max="4345" width="3.85546875" style="15" customWidth="1"/>
    <col min="4346" max="4346" width="52.5703125" style="15" customWidth="1"/>
    <col min="4347" max="4347" width="13.85546875" style="15" customWidth="1"/>
    <col min="4348" max="4348" width="2.7109375" style="15" customWidth="1"/>
    <col min="4349" max="4349" width="9.140625" style="15"/>
    <col min="4350" max="4350" width="14.5703125" style="15" bestFit="1" customWidth="1"/>
    <col min="4351" max="4599" width="9.140625" style="15"/>
    <col min="4600" max="4600" width="8.42578125" style="15" customWidth="1"/>
    <col min="4601" max="4601" width="3.85546875" style="15" customWidth="1"/>
    <col min="4602" max="4602" width="52.5703125" style="15" customWidth="1"/>
    <col min="4603" max="4603" width="13.85546875" style="15" customWidth="1"/>
    <col min="4604" max="4604" width="2.7109375" style="15" customWidth="1"/>
    <col min="4605" max="4605" width="9.140625" style="15"/>
    <col min="4606" max="4606" width="14.5703125" style="15" bestFit="1" customWidth="1"/>
    <col min="4607" max="4855" width="9.140625" style="15"/>
    <col min="4856" max="4856" width="8.42578125" style="15" customWidth="1"/>
    <col min="4857" max="4857" width="3.85546875" style="15" customWidth="1"/>
    <col min="4858" max="4858" width="52.5703125" style="15" customWidth="1"/>
    <col min="4859" max="4859" width="13.85546875" style="15" customWidth="1"/>
    <col min="4860" max="4860" width="2.7109375" style="15" customWidth="1"/>
    <col min="4861" max="4861" width="9.140625" style="15"/>
    <col min="4862" max="4862" width="14.5703125" style="15" bestFit="1" customWidth="1"/>
    <col min="4863" max="5111" width="9.140625" style="15"/>
    <col min="5112" max="5112" width="8.42578125" style="15" customWidth="1"/>
    <col min="5113" max="5113" width="3.85546875" style="15" customWidth="1"/>
    <col min="5114" max="5114" width="52.5703125" style="15" customWidth="1"/>
    <col min="5115" max="5115" width="13.85546875" style="15" customWidth="1"/>
    <col min="5116" max="5116" width="2.7109375" style="15" customWidth="1"/>
    <col min="5117" max="5117" width="9.140625" style="15"/>
    <col min="5118" max="5118" width="14.5703125" style="15" bestFit="1" customWidth="1"/>
    <col min="5119" max="5367" width="9.140625" style="15"/>
    <col min="5368" max="5368" width="8.42578125" style="15" customWidth="1"/>
    <col min="5369" max="5369" width="3.85546875" style="15" customWidth="1"/>
    <col min="5370" max="5370" width="52.5703125" style="15" customWidth="1"/>
    <col min="5371" max="5371" width="13.85546875" style="15" customWidth="1"/>
    <col min="5372" max="5372" width="2.7109375" style="15" customWidth="1"/>
    <col min="5373" max="5373" width="9.140625" style="15"/>
    <col min="5374" max="5374" width="14.5703125" style="15" bestFit="1" customWidth="1"/>
    <col min="5375" max="5623" width="9.140625" style="15"/>
    <col min="5624" max="5624" width="8.42578125" style="15" customWidth="1"/>
    <col min="5625" max="5625" width="3.85546875" style="15" customWidth="1"/>
    <col min="5626" max="5626" width="52.5703125" style="15" customWidth="1"/>
    <col min="5627" max="5627" width="13.85546875" style="15" customWidth="1"/>
    <col min="5628" max="5628" width="2.7109375" style="15" customWidth="1"/>
    <col min="5629" max="5629" width="9.140625" style="15"/>
    <col min="5630" max="5630" width="14.5703125" style="15" bestFit="1" customWidth="1"/>
    <col min="5631" max="5879" width="9.140625" style="15"/>
    <col min="5880" max="5880" width="8.42578125" style="15" customWidth="1"/>
    <col min="5881" max="5881" width="3.85546875" style="15" customWidth="1"/>
    <col min="5882" max="5882" width="52.5703125" style="15" customWidth="1"/>
    <col min="5883" max="5883" width="13.85546875" style="15" customWidth="1"/>
    <col min="5884" max="5884" width="2.7109375" style="15" customWidth="1"/>
    <col min="5885" max="5885" width="9.140625" style="15"/>
    <col min="5886" max="5886" width="14.5703125" style="15" bestFit="1" customWidth="1"/>
    <col min="5887" max="6135" width="9.140625" style="15"/>
    <col min="6136" max="6136" width="8.42578125" style="15" customWidth="1"/>
    <col min="6137" max="6137" width="3.85546875" style="15" customWidth="1"/>
    <col min="6138" max="6138" width="52.5703125" style="15" customWidth="1"/>
    <col min="6139" max="6139" width="13.85546875" style="15" customWidth="1"/>
    <col min="6140" max="6140" width="2.7109375" style="15" customWidth="1"/>
    <col min="6141" max="6141" width="9.140625" style="15"/>
    <col min="6142" max="6142" width="14.5703125" style="15" bestFit="1" customWidth="1"/>
    <col min="6143" max="6391" width="9.140625" style="15"/>
    <col min="6392" max="6392" width="8.42578125" style="15" customWidth="1"/>
    <col min="6393" max="6393" width="3.85546875" style="15" customWidth="1"/>
    <col min="6394" max="6394" width="52.5703125" style="15" customWidth="1"/>
    <col min="6395" max="6395" width="13.85546875" style="15" customWidth="1"/>
    <col min="6396" max="6396" width="2.7109375" style="15" customWidth="1"/>
    <col min="6397" max="6397" width="9.140625" style="15"/>
    <col min="6398" max="6398" width="14.5703125" style="15" bestFit="1" customWidth="1"/>
    <col min="6399" max="6647" width="9.140625" style="15"/>
    <col min="6648" max="6648" width="8.42578125" style="15" customWidth="1"/>
    <col min="6649" max="6649" width="3.85546875" style="15" customWidth="1"/>
    <col min="6650" max="6650" width="52.5703125" style="15" customWidth="1"/>
    <col min="6651" max="6651" width="13.85546875" style="15" customWidth="1"/>
    <col min="6652" max="6652" width="2.7109375" style="15" customWidth="1"/>
    <col min="6653" max="6653" width="9.140625" style="15"/>
    <col min="6654" max="6654" width="14.5703125" style="15" bestFit="1" customWidth="1"/>
    <col min="6655" max="6903" width="9.140625" style="15"/>
    <col min="6904" max="6904" width="8.42578125" style="15" customWidth="1"/>
    <col min="6905" max="6905" width="3.85546875" style="15" customWidth="1"/>
    <col min="6906" max="6906" width="52.5703125" style="15" customWidth="1"/>
    <col min="6907" max="6907" width="13.85546875" style="15" customWidth="1"/>
    <col min="6908" max="6908" width="2.7109375" style="15" customWidth="1"/>
    <col min="6909" max="6909" width="9.140625" style="15"/>
    <col min="6910" max="6910" width="14.5703125" style="15" bestFit="1" customWidth="1"/>
    <col min="6911" max="7159" width="9.140625" style="15"/>
    <col min="7160" max="7160" width="8.42578125" style="15" customWidth="1"/>
    <col min="7161" max="7161" width="3.85546875" style="15" customWidth="1"/>
    <col min="7162" max="7162" width="52.5703125" style="15" customWidth="1"/>
    <col min="7163" max="7163" width="13.85546875" style="15" customWidth="1"/>
    <col min="7164" max="7164" width="2.7109375" style="15" customWidth="1"/>
    <col min="7165" max="7165" width="9.140625" style="15"/>
    <col min="7166" max="7166" width="14.5703125" style="15" bestFit="1" customWidth="1"/>
    <col min="7167" max="7415" width="9.140625" style="15"/>
    <col min="7416" max="7416" width="8.42578125" style="15" customWidth="1"/>
    <col min="7417" max="7417" width="3.85546875" style="15" customWidth="1"/>
    <col min="7418" max="7418" width="52.5703125" style="15" customWidth="1"/>
    <col min="7419" max="7419" width="13.85546875" style="15" customWidth="1"/>
    <col min="7420" max="7420" width="2.7109375" style="15" customWidth="1"/>
    <col min="7421" max="7421" width="9.140625" style="15"/>
    <col min="7422" max="7422" width="14.5703125" style="15" bestFit="1" customWidth="1"/>
    <col min="7423" max="7671" width="9.140625" style="15"/>
    <col min="7672" max="7672" width="8.42578125" style="15" customWidth="1"/>
    <col min="7673" max="7673" width="3.85546875" style="15" customWidth="1"/>
    <col min="7674" max="7674" width="52.5703125" style="15" customWidth="1"/>
    <col min="7675" max="7675" width="13.85546875" style="15" customWidth="1"/>
    <col min="7676" max="7676" width="2.7109375" style="15" customWidth="1"/>
    <col min="7677" max="7677" width="9.140625" style="15"/>
    <col min="7678" max="7678" width="14.5703125" style="15" bestFit="1" customWidth="1"/>
    <col min="7679" max="7927" width="9.140625" style="15"/>
    <col min="7928" max="7928" width="8.42578125" style="15" customWidth="1"/>
    <col min="7929" max="7929" width="3.85546875" style="15" customWidth="1"/>
    <col min="7930" max="7930" width="52.5703125" style="15" customWidth="1"/>
    <col min="7931" max="7931" width="13.85546875" style="15" customWidth="1"/>
    <col min="7932" max="7932" width="2.7109375" style="15" customWidth="1"/>
    <col min="7933" max="7933" width="9.140625" style="15"/>
    <col min="7934" max="7934" width="14.5703125" style="15" bestFit="1" customWidth="1"/>
    <col min="7935" max="8183" width="9.140625" style="15"/>
    <col min="8184" max="8184" width="8.42578125" style="15" customWidth="1"/>
    <col min="8185" max="8185" width="3.85546875" style="15" customWidth="1"/>
    <col min="8186" max="8186" width="52.5703125" style="15" customWidth="1"/>
    <col min="8187" max="8187" width="13.85546875" style="15" customWidth="1"/>
    <col min="8188" max="8188" width="2.7109375" style="15" customWidth="1"/>
    <col min="8189" max="8189" width="9.140625" style="15"/>
    <col min="8190" max="8190" width="14.5703125" style="15" bestFit="1" customWidth="1"/>
    <col min="8191" max="8439" width="9.140625" style="15"/>
    <col min="8440" max="8440" width="8.42578125" style="15" customWidth="1"/>
    <col min="8441" max="8441" width="3.85546875" style="15" customWidth="1"/>
    <col min="8442" max="8442" width="52.5703125" style="15" customWidth="1"/>
    <col min="8443" max="8443" width="13.85546875" style="15" customWidth="1"/>
    <col min="8444" max="8444" width="2.7109375" style="15" customWidth="1"/>
    <col min="8445" max="8445" width="9.140625" style="15"/>
    <col min="8446" max="8446" width="14.5703125" style="15" bestFit="1" customWidth="1"/>
    <col min="8447" max="8695" width="9.140625" style="15"/>
    <col min="8696" max="8696" width="8.42578125" style="15" customWidth="1"/>
    <col min="8697" max="8697" width="3.85546875" style="15" customWidth="1"/>
    <col min="8698" max="8698" width="52.5703125" style="15" customWidth="1"/>
    <col min="8699" max="8699" width="13.85546875" style="15" customWidth="1"/>
    <col min="8700" max="8700" width="2.7109375" style="15" customWidth="1"/>
    <col min="8701" max="8701" width="9.140625" style="15"/>
    <col min="8702" max="8702" width="14.5703125" style="15" bestFit="1" customWidth="1"/>
    <col min="8703" max="8951" width="9.140625" style="15"/>
    <col min="8952" max="8952" width="8.42578125" style="15" customWidth="1"/>
    <col min="8953" max="8953" width="3.85546875" style="15" customWidth="1"/>
    <col min="8954" max="8954" width="52.5703125" style="15" customWidth="1"/>
    <col min="8955" max="8955" width="13.85546875" style="15" customWidth="1"/>
    <col min="8956" max="8956" width="2.7109375" style="15" customWidth="1"/>
    <col min="8957" max="8957" width="9.140625" style="15"/>
    <col min="8958" max="8958" width="14.5703125" style="15" bestFit="1" customWidth="1"/>
    <col min="8959" max="9207" width="9.140625" style="15"/>
    <col min="9208" max="9208" width="8.42578125" style="15" customWidth="1"/>
    <col min="9209" max="9209" width="3.85546875" style="15" customWidth="1"/>
    <col min="9210" max="9210" width="52.5703125" style="15" customWidth="1"/>
    <col min="9211" max="9211" width="13.85546875" style="15" customWidth="1"/>
    <col min="9212" max="9212" width="2.7109375" style="15" customWidth="1"/>
    <col min="9213" max="9213" width="9.140625" style="15"/>
    <col min="9214" max="9214" width="14.5703125" style="15" bestFit="1" customWidth="1"/>
    <col min="9215" max="9463" width="9.140625" style="15"/>
    <col min="9464" max="9464" width="8.42578125" style="15" customWidth="1"/>
    <col min="9465" max="9465" width="3.85546875" style="15" customWidth="1"/>
    <col min="9466" max="9466" width="52.5703125" style="15" customWidth="1"/>
    <col min="9467" max="9467" width="13.85546875" style="15" customWidth="1"/>
    <col min="9468" max="9468" width="2.7109375" style="15" customWidth="1"/>
    <col min="9469" max="9469" width="9.140625" style="15"/>
    <col min="9470" max="9470" width="14.5703125" style="15" bestFit="1" customWidth="1"/>
    <col min="9471" max="9719" width="9.140625" style="15"/>
    <col min="9720" max="9720" width="8.42578125" style="15" customWidth="1"/>
    <col min="9721" max="9721" width="3.85546875" style="15" customWidth="1"/>
    <col min="9722" max="9722" width="52.5703125" style="15" customWidth="1"/>
    <col min="9723" max="9723" width="13.85546875" style="15" customWidth="1"/>
    <col min="9724" max="9724" width="2.7109375" style="15" customWidth="1"/>
    <col min="9725" max="9725" width="9.140625" style="15"/>
    <col min="9726" max="9726" width="14.5703125" style="15" bestFit="1" customWidth="1"/>
    <col min="9727" max="9975" width="9.140625" style="15"/>
    <col min="9976" max="9976" width="8.42578125" style="15" customWidth="1"/>
    <col min="9977" max="9977" width="3.85546875" style="15" customWidth="1"/>
    <col min="9978" max="9978" width="52.5703125" style="15" customWidth="1"/>
    <col min="9979" max="9979" width="13.85546875" style="15" customWidth="1"/>
    <col min="9980" max="9980" width="2.7109375" style="15" customWidth="1"/>
    <col min="9981" max="9981" width="9.140625" style="15"/>
    <col min="9982" max="9982" width="14.5703125" style="15" bestFit="1" customWidth="1"/>
    <col min="9983" max="10231" width="9.140625" style="15"/>
    <col min="10232" max="10232" width="8.42578125" style="15" customWidth="1"/>
    <col min="10233" max="10233" width="3.85546875" style="15" customWidth="1"/>
    <col min="10234" max="10234" width="52.5703125" style="15" customWidth="1"/>
    <col min="10235" max="10235" width="13.85546875" style="15" customWidth="1"/>
    <col min="10236" max="10236" width="2.7109375" style="15" customWidth="1"/>
    <col min="10237" max="10237" width="9.140625" style="15"/>
    <col min="10238" max="10238" width="14.5703125" style="15" bestFit="1" customWidth="1"/>
    <col min="10239" max="10487" width="9.140625" style="15"/>
    <col min="10488" max="10488" width="8.42578125" style="15" customWidth="1"/>
    <col min="10489" max="10489" width="3.85546875" style="15" customWidth="1"/>
    <col min="10490" max="10490" width="52.5703125" style="15" customWidth="1"/>
    <col min="10491" max="10491" width="13.85546875" style="15" customWidth="1"/>
    <col min="10492" max="10492" width="2.7109375" style="15" customWidth="1"/>
    <col min="10493" max="10493" width="9.140625" style="15"/>
    <col min="10494" max="10494" width="14.5703125" style="15" bestFit="1" customWidth="1"/>
    <col min="10495" max="10743" width="9.140625" style="15"/>
    <col min="10744" max="10744" width="8.42578125" style="15" customWidth="1"/>
    <col min="10745" max="10745" width="3.85546875" style="15" customWidth="1"/>
    <col min="10746" max="10746" width="52.5703125" style="15" customWidth="1"/>
    <col min="10747" max="10747" width="13.85546875" style="15" customWidth="1"/>
    <col min="10748" max="10748" width="2.7109375" style="15" customWidth="1"/>
    <col min="10749" max="10749" width="9.140625" style="15"/>
    <col min="10750" max="10750" width="14.5703125" style="15" bestFit="1" customWidth="1"/>
    <col min="10751" max="10999" width="9.140625" style="15"/>
    <col min="11000" max="11000" width="8.42578125" style="15" customWidth="1"/>
    <col min="11001" max="11001" width="3.85546875" style="15" customWidth="1"/>
    <col min="11002" max="11002" width="52.5703125" style="15" customWidth="1"/>
    <col min="11003" max="11003" width="13.85546875" style="15" customWidth="1"/>
    <col min="11004" max="11004" width="2.7109375" style="15" customWidth="1"/>
    <col min="11005" max="11005" width="9.140625" style="15"/>
    <col min="11006" max="11006" width="14.5703125" style="15" bestFit="1" customWidth="1"/>
    <col min="11007" max="11255" width="9.140625" style="15"/>
    <col min="11256" max="11256" width="8.42578125" style="15" customWidth="1"/>
    <col min="11257" max="11257" width="3.85546875" style="15" customWidth="1"/>
    <col min="11258" max="11258" width="52.5703125" style="15" customWidth="1"/>
    <col min="11259" max="11259" width="13.85546875" style="15" customWidth="1"/>
    <col min="11260" max="11260" width="2.7109375" style="15" customWidth="1"/>
    <col min="11261" max="11261" width="9.140625" style="15"/>
    <col min="11262" max="11262" width="14.5703125" style="15" bestFit="1" customWidth="1"/>
    <col min="11263" max="11511" width="9.140625" style="15"/>
    <col min="11512" max="11512" width="8.42578125" style="15" customWidth="1"/>
    <col min="11513" max="11513" width="3.85546875" style="15" customWidth="1"/>
    <col min="11514" max="11514" width="52.5703125" style="15" customWidth="1"/>
    <col min="11515" max="11515" width="13.85546875" style="15" customWidth="1"/>
    <col min="11516" max="11516" width="2.7109375" style="15" customWidth="1"/>
    <col min="11517" max="11517" width="9.140625" style="15"/>
    <col min="11518" max="11518" width="14.5703125" style="15" bestFit="1" customWidth="1"/>
    <col min="11519" max="11767" width="9.140625" style="15"/>
    <col min="11768" max="11768" width="8.42578125" style="15" customWidth="1"/>
    <col min="11769" max="11769" width="3.85546875" style="15" customWidth="1"/>
    <col min="11770" max="11770" width="52.5703125" style="15" customWidth="1"/>
    <col min="11771" max="11771" width="13.85546875" style="15" customWidth="1"/>
    <col min="11772" max="11772" width="2.7109375" style="15" customWidth="1"/>
    <col min="11773" max="11773" width="9.140625" style="15"/>
    <col min="11774" max="11774" width="14.5703125" style="15" bestFit="1" customWidth="1"/>
    <col min="11775" max="12023" width="9.140625" style="15"/>
    <col min="12024" max="12024" width="8.42578125" style="15" customWidth="1"/>
    <col min="12025" max="12025" width="3.85546875" style="15" customWidth="1"/>
    <col min="12026" max="12026" width="52.5703125" style="15" customWidth="1"/>
    <col min="12027" max="12027" width="13.85546875" style="15" customWidth="1"/>
    <col min="12028" max="12028" width="2.7109375" style="15" customWidth="1"/>
    <col min="12029" max="12029" width="9.140625" style="15"/>
    <col min="12030" max="12030" width="14.5703125" style="15" bestFit="1" customWidth="1"/>
    <col min="12031" max="12279" width="9.140625" style="15"/>
    <col min="12280" max="12280" width="8.42578125" style="15" customWidth="1"/>
    <col min="12281" max="12281" width="3.85546875" style="15" customWidth="1"/>
    <col min="12282" max="12282" width="52.5703125" style="15" customWidth="1"/>
    <col min="12283" max="12283" width="13.85546875" style="15" customWidth="1"/>
    <col min="12284" max="12284" width="2.7109375" style="15" customWidth="1"/>
    <col min="12285" max="12285" width="9.140625" style="15"/>
    <col min="12286" max="12286" width="14.5703125" style="15" bestFit="1" customWidth="1"/>
    <col min="12287" max="12535" width="9.140625" style="15"/>
    <col min="12536" max="12536" width="8.42578125" style="15" customWidth="1"/>
    <col min="12537" max="12537" width="3.85546875" style="15" customWidth="1"/>
    <col min="12538" max="12538" width="52.5703125" style="15" customWidth="1"/>
    <col min="12539" max="12539" width="13.85546875" style="15" customWidth="1"/>
    <col min="12540" max="12540" width="2.7109375" style="15" customWidth="1"/>
    <col min="12541" max="12541" width="9.140625" style="15"/>
    <col min="12542" max="12542" width="14.5703125" style="15" bestFit="1" customWidth="1"/>
    <col min="12543" max="12791" width="9.140625" style="15"/>
    <col min="12792" max="12792" width="8.42578125" style="15" customWidth="1"/>
    <col min="12793" max="12793" width="3.85546875" style="15" customWidth="1"/>
    <col min="12794" max="12794" width="52.5703125" style="15" customWidth="1"/>
    <col min="12795" max="12795" width="13.85546875" style="15" customWidth="1"/>
    <col min="12796" max="12796" width="2.7109375" style="15" customWidth="1"/>
    <col min="12797" max="12797" width="9.140625" style="15"/>
    <col min="12798" max="12798" width="14.5703125" style="15" bestFit="1" customWidth="1"/>
    <col min="12799" max="13047" width="9.140625" style="15"/>
    <col min="13048" max="13048" width="8.42578125" style="15" customWidth="1"/>
    <col min="13049" max="13049" width="3.85546875" style="15" customWidth="1"/>
    <col min="13050" max="13050" width="52.5703125" style="15" customWidth="1"/>
    <col min="13051" max="13051" width="13.85546875" style="15" customWidth="1"/>
    <col min="13052" max="13052" width="2.7109375" style="15" customWidth="1"/>
    <col min="13053" max="13053" width="9.140625" style="15"/>
    <col min="13054" max="13054" width="14.5703125" style="15" bestFit="1" customWidth="1"/>
    <col min="13055" max="13303" width="9.140625" style="15"/>
    <col min="13304" max="13304" width="8.42578125" style="15" customWidth="1"/>
    <col min="13305" max="13305" width="3.85546875" style="15" customWidth="1"/>
    <col min="13306" max="13306" width="52.5703125" style="15" customWidth="1"/>
    <col min="13307" max="13307" width="13.85546875" style="15" customWidth="1"/>
    <col min="13308" max="13308" width="2.7109375" style="15" customWidth="1"/>
    <col min="13309" max="13309" width="9.140625" style="15"/>
    <col min="13310" max="13310" width="14.5703125" style="15" bestFit="1" customWidth="1"/>
    <col min="13311" max="13559" width="9.140625" style="15"/>
    <col min="13560" max="13560" width="8.42578125" style="15" customWidth="1"/>
    <col min="13561" max="13561" width="3.85546875" style="15" customWidth="1"/>
    <col min="13562" max="13562" width="52.5703125" style="15" customWidth="1"/>
    <col min="13563" max="13563" width="13.85546875" style="15" customWidth="1"/>
    <col min="13564" max="13564" width="2.7109375" style="15" customWidth="1"/>
    <col min="13565" max="13565" width="9.140625" style="15"/>
    <col min="13566" max="13566" width="14.5703125" style="15" bestFit="1" customWidth="1"/>
    <col min="13567" max="13815" width="9.140625" style="15"/>
    <col min="13816" max="13816" width="8.42578125" style="15" customWidth="1"/>
    <col min="13817" max="13817" width="3.85546875" style="15" customWidth="1"/>
    <col min="13818" max="13818" width="52.5703125" style="15" customWidth="1"/>
    <col min="13819" max="13819" width="13.85546875" style="15" customWidth="1"/>
    <col min="13820" max="13820" width="2.7109375" style="15" customWidth="1"/>
    <col min="13821" max="13821" width="9.140625" style="15"/>
    <col min="13822" max="13822" width="14.5703125" style="15" bestFit="1" customWidth="1"/>
    <col min="13823" max="14071" width="9.140625" style="15"/>
    <col min="14072" max="14072" width="8.42578125" style="15" customWidth="1"/>
    <col min="14073" max="14073" width="3.85546875" style="15" customWidth="1"/>
    <col min="14074" max="14074" width="52.5703125" style="15" customWidth="1"/>
    <col min="14075" max="14075" width="13.85546875" style="15" customWidth="1"/>
    <col min="14076" max="14076" width="2.7109375" style="15" customWidth="1"/>
    <col min="14077" max="14077" width="9.140625" style="15"/>
    <col min="14078" max="14078" width="14.5703125" style="15" bestFit="1" customWidth="1"/>
    <col min="14079" max="14327" width="9.140625" style="15"/>
    <col min="14328" max="14328" width="8.42578125" style="15" customWidth="1"/>
    <col min="14329" max="14329" width="3.85546875" style="15" customWidth="1"/>
    <col min="14330" max="14330" width="52.5703125" style="15" customWidth="1"/>
    <col min="14331" max="14331" width="13.85546875" style="15" customWidth="1"/>
    <col min="14332" max="14332" width="2.7109375" style="15" customWidth="1"/>
    <col min="14333" max="14333" width="9.140625" style="15"/>
    <col min="14334" max="14334" width="14.5703125" style="15" bestFit="1" customWidth="1"/>
    <col min="14335" max="14583" width="9.140625" style="15"/>
    <col min="14584" max="14584" width="8.42578125" style="15" customWidth="1"/>
    <col min="14585" max="14585" width="3.85546875" style="15" customWidth="1"/>
    <col min="14586" max="14586" width="52.5703125" style="15" customWidth="1"/>
    <col min="14587" max="14587" width="13.85546875" style="15" customWidth="1"/>
    <col min="14588" max="14588" width="2.7109375" style="15" customWidth="1"/>
    <col min="14589" max="14589" width="9.140625" style="15"/>
    <col min="14590" max="14590" width="14.5703125" style="15" bestFit="1" customWidth="1"/>
    <col min="14591" max="14839" width="9.140625" style="15"/>
    <col min="14840" max="14840" width="8.42578125" style="15" customWidth="1"/>
    <col min="14841" max="14841" width="3.85546875" style="15" customWidth="1"/>
    <col min="14842" max="14842" width="52.5703125" style="15" customWidth="1"/>
    <col min="14843" max="14843" width="13.85546875" style="15" customWidth="1"/>
    <col min="14844" max="14844" width="2.7109375" style="15" customWidth="1"/>
    <col min="14845" max="14845" width="9.140625" style="15"/>
    <col min="14846" max="14846" width="14.5703125" style="15" bestFit="1" customWidth="1"/>
    <col min="14847" max="15095" width="9.140625" style="15"/>
    <col min="15096" max="15096" width="8.42578125" style="15" customWidth="1"/>
    <col min="15097" max="15097" width="3.85546875" style="15" customWidth="1"/>
    <col min="15098" max="15098" width="52.5703125" style="15" customWidth="1"/>
    <col min="15099" max="15099" width="13.85546875" style="15" customWidth="1"/>
    <col min="15100" max="15100" width="2.7109375" style="15" customWidth="1"/>
    <col min="15101" max="15101" width="9.140625" style="15"/>
    <col min="15102" max="15102" width="14.5703125" style="15" bestFit="1" customWidth="1"/>
    <col min="15103" max="15351" width="9.140625" style="15"/>
    <col min="15352" max="15352" width="8.42578125" style="15" customWidth="1"/>
    <col min="15353" max="15353" width="3.85546875" style="15" customWidth="1"/>
    <col min="15354" max="15354" width="52.5703125" style="15" customWidth="1"/>
    <col min="15355" max="15355" width="13.85546875" style="15" customWidth="1"/>
    <col min="15356" max="15356" width="2.7109375" style="15" customWidth="1"/>
    <col min="15357" max="15357" width="9.140625" style="15"/>
    <col min="15358" max="15358" width="14.5703125" style="15" bestFit="1" customWidth="1"/>
    <col min="15359" max="15607" width="9.140625" style="15"/>
    <col min="15608" max="15608" width="8.42578125" style="15" customWidth="1"/>
    <col min="15609" max="15609" width="3.85546875" style="15" customWidth="1"/>
    <col min="15610" max="15610" width="52.5703125" style="15" customWidth="1"/>
    <col min="15611" max="15611" width="13.85546875" style="15" customWidth="1"/>
    <col min="15612" max="15612" width="2.7109375" style="15" customWidth="1"/>
    <col min="15613" max="15613" width="9.140625" style="15"/>
    <col min="15614" max="15614" width="14.5703125" style="15" bestFit="1" customWidth="1"/>
    <col min="15615" max="15863" width="9.140625" style="15"/>
    <col min="15864" max="15864" width="8.42578125" style="15" customWidth="1"/>
    <col min="15865" max="15865" width="3.85546875" style="15" customWidth="1"/>
    <col min="15866" max="15866" width="52.5703125" style="15" customWidth="1"/>
    <col min="15867" max="15867" width="13.85546875" style="15" customWidth="1"/>
    <col min="15868" max="15868" width="2.7109375" style="15" customWidth="1"/>
    <col min="15869" max="15869" width="9.140625" style="15"/>
    <col min="15870" max="15870" width="14.5703125" style="15" bestFit="1" customWidth="1"/>
    <col min="15871" max="16119" width="9.140625" style="15"/>
    <col min="16120" max="16120" width="8.42578125" style="15" customWidth="1"/>
    <col min="16121" max="16121" width="3.85546875" style="15" customWidth="1"/>
    <col min="16122" max="16122" width="52.5703125" style="15" customWidth="1"/>
    <col min="16123" max="16123" width="13.85546875" style="15" customWidth="1"/>
    <col min="16124" max="16124" width="2.7109375" style="15" customWidth="1"/>
    <col min="16125" max="16125" width="9.140625" style="15"/>
    <col min="16126" max="16126" width="14.5703125" style="15" bestFit="1" customWidth="1"/>
    <col min="16127" max="16384" width="9.140625" style="15"/>
  </cols>
  <sheetData>
    <row r="1" spans="2:9" ht="15" customHeight="1" x14ac:dyDescent="0.2">
      <c r="B1" s="342"/>
      <c r="C1" s="342"/>
      <c r="D1" s="342"/>
      <c r="E1" s="342"/>
      <c r="F1" s="342"/>
      <c r="I1" s="15"/>
    </row>
    <row r="2" spans="2:9" ht="15" customHeight="1" x14ac:dyDescent="0.2">
      <c r="B2" s="342"/>
      <c r="C2" s="342"/>
      <c r="D2" s="342"/>
      <c r="E2" s="342"/>
      <c r="F2" s="342"/>
      <c r="I2" s="15"/>
    </row>
    <row r="4" spans="2:9" ht="15" customHeight="1" x14ac:dyDescent="0.2">
      <c r="B4" s="343"/>
      <c r="C4" s="343"/>
      <c r="D4" s="343"/>
      <c r="E4" s="343"/>
      <c r="F4" s="343"/>
      <c r="G4" s="16"/>
      <c r="H4" s="15"/>
      <c r="I4" s="15"/>
    </row>
    <row r="5" spans="2:9" ht="15" customHeight="1" x14ac:dyDescent="0.2">
      <c r="B5" s="344" t="s">
        <v>53</v>
      </c>
      <c r="C5" s="345"/>
      <c r="D5" s="345"/>
      <c r="E5" s="345"/>
      <c r="F5" s="345"/>
      <c r="G5" s="345"/>
      <c r="H5" s="345"/>
      <c r="I5" s="345"/>
    </row>
    <row r="6" spans="2:9" ht="15" customHeight="1" thickBot="1" x14ac:dyDescent="0.25"/>
    <row r="7" spans="2:9" ht="15" customHeight="1" x14ac:dyDescent="0.2">
      <c r="B7" s="17"/>
      <c r="C7" s="18"/>
      <c r="D7" s="55"/>
      <c r="E7" s="19">
        <v>2015</v>
      </c>
      <c r="F7" s="19">
        <v>2016</v>
      </c>
      <c r="G7" s="19">
        <v>2017</v>
      </c>
      <c r="H7" s="19">
        <v>2018</v>
      </c>
      <c r="I7" s="19">
        <v>2019</v>
      </c>
    </row>
    <row r="8" spans="2:9" ht="15" customHeight="1" x14ac:dyDescent="0.2">
      <c r="B8" s="20"/>
      <c r="C8" s="21"/>
      <c r="D8" s="56"/>
      <c r="E8" s="247" t="s">
        <v>22</v>
      </c>
      <c r="F8" s="247" t="s">
        <v>22</v>
      </c>
      <c r="G8" s="247" t="s">
        <v>22</v>
      </c>
      <c r="H8" s="247" t="s">
        <v>22</v>
      </c>
      <c r="I8" s="247" t="s">
        <v>22</v>
      </c>
    </row>
    <row r="9" spans="2:9" ht="15" customHeight="1" x14ac:dyDescent="0.2">
      <c r="B9" s="22" t="s">
        <v>23</v>
      </c>
      <c r="C9" s="23"/>
      <c r="D9" s="57"/>
      <c r="E9" s="24"/>
      <c r="F9" s="24"/>
      <c r="G9" s="24"/>
      <c r="H9" s="24"/>
      <c r="I9" s="24"/>
    </row>
    <row r="10" spans="2:9" ht="15" customHeight="1" x14ac:dyDescent="0.2">
      <c r="B10" s="20"/>
      <c r="C10" s="21" t="s">
        <v>102</v>
      </c>
      <c r="D10" s="56"/>
      <c r="E10" s="25">
        <f>'P &amp; L-Summary '!C17</f>
        <v>-604769.04941000021</v>
      </c>
      <c r="F10" s="25">
        <f>'P &amp; L-Summary '!D17</f>
        <v>-100267.78406000021</v>
      </c>
      <c r="G10" s="25">
        <f>'P &amp; L-Summary '!E17</f>
        <v>-27009.682239999529</v>
      </c>
      <c r="H10" s="25">
        <f>'P &amp; L-Summary '!F17</f>
        <v>745995.25510000018</v>
      </c>
      <c r="I10" s="25">
        <f>'P &amp; L-Summary '!G17</f>
        <v>838079.48977999995</v>
      </c>
    </row>
    <row r="11" spans="2:9" ht="15" customHeight="1" x14ac:dyDescent="0.2">
      <c r="B11" s="20"/>
      <c r="C11" s="21" t="s">
        <v>24</v>
      </c>
      <c r="D11" s="56"/>
      <c r="E11" s="26"/>
      <c r="F11" s="26"/>
      <c r="G11" s="26"/>
      <c r="H11" s="26"/>
      <c r="I11" s="26"/>
    </row>
    <row r="12" spans="2:9" ht="15" customHeight="1" x14ac:dyDescent="0.2">
      <c r="B12" s="20"/>
      <c r="C12" s="21"/>
      <c r="D12" s="56" t="s">
        <v>25</v>
      </c>
      <c r="E12" s="27">
        <v>23437</v>
      </c>
      <c r="F12" s="27">
        <v>23436</v>
      </c>
      <c r="G12" s="27">
        <v>24692</v>
      </c>
      <c r="H12" s="27">
        <v>25951</v>
      </c>
      <c r="I12" s="27">
        <v>21759</v>
      </c>
    </row>
    <row r="13" spans="2:9" ht="15" customHeight="1" x14ac:dyDescent="0.2">
      <c r="B13" s="20"/>
      <c r="C13" s="21"/>
      <c r="D13" s="56" t="s">
        <v>26</v>
      </c>
      <c r="E13" s="27">
        <f>Income!C51</f>
        <v>20746.509999999998</v>
      </c>
      <c r="F13" s="27">
        <f>Income!E51</f>
        <v>27972.739999999998</v>
      </c>
      <c r="G13" s="27">
        <f>Income!G51</f>
        <v>47043.527999999998</v>
      </c>
      <c r="H13" s="27">
        <f>Income!I51</f>
        <v>47043.527999999998</v>
      </c>
      <c r="I13" s="27">
        <f>Income!K51</f>
        <v>76177.272499999992</v>
      </c>
    </row>
    <row r="14" spans="2:9" ht="15" customHeight="1" x14ac:dyDescent="0.2">
      <c r="B14" s="20"/>
      <c r="C14" s="21"/>
      <c r="D14" s="56" t="s">
        <v>27</v>
      </c>
      <c r="E14" s="27">
        <f>-'P &amp; L-Summary '!C14</f>
        <v>4771</v>
      </c>
      <c r="F14" s="27">
        <f>-'P &amp; L-Summary '!D14</f>
        <v>4771</v>
      </c>
      <c r="G14" s="27">
        <f>-'P &amp; L-Summary '!E14</f>
        <v>6239</v>
      </c>
      <c r="H14" s="27">
        <f>-'P &amp; L-Summary '!F14</f>
        <v>7340</v>
      </c>
      <c r="I14" s="27">
        <f>-'P &amp; L-Summary '!G14</f>
        <v>7340</v>
      </c>
    </row>
    <row r="15" spans="2:9" ht="15" customHeight="1" x14ac:dyDescent="0.2">
      <c r="B15" s="20"/>
      <c r="C15" s="21"/>
      <c r="D15" s="56" t="s">
        <v>28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</row>
    <row r="16" spans="2:9" ht="15" customHeight="1" x14ac:dyDescent="0.2">
      <c r="B16" s="20"/>
      <c r="C16" s="21"/>
      <c r="D16" s="56" t="s">
        <v>29</v>
      </c>
      <c r="E16" s="27">
        <v>0</v>
      </c>
      <c r="F16" s="27">
        <v>0</v>
      </c>
      <c r="G16" s="27">
        <v>0</v>
      </c>
      <c r="H16" s="27">
        <v>0</v>
      </c>
      <c r="I16" s="27">
        <v>0</v>
      </c>
    </row>
    <row r="17" spans="2:9" ht="15" customHeight="1" x14ac:dyDescent="0.2">
      <c r="B17" s="20"/>
      <c r="C17" s="21"/>
      <c r="D17" s="56" t="s">
        <v>30</v>
      </c>
      <c r="E17" s="27">
        <v>0</v>
      </c>
      <c r="F17" s="27">
        <v>0</v>
      </c>
      <c r="G17" s="27">
        <v>0</v>
      </c>
      <c r="H17" s="27">
        <v>0</v>
      </c>
      <c r="I17" s="27">
        <v>0</v>
      </c>
    </row>
    <row r="18" spans="2:9" ht="15" customHeight="1" x14ac:dyDescent="0.2">
      <c r="B18" s="344" t="s">
        <v>100</v>
      </c>
      <c r="C18" s="345"/>
      <c r="D18" s="346"/>
      <c r="E18" s="25">
        <f>SUM(E10:E17)</f>
        <v>-555814.5394100002</v>
      </c>
      <c r="F18" s="25">
        <f>SUM(F10:F17)</f>
        <v>-44088.044060000211</v>
      </c>
      <c r="G18" s="25">
        <f>SUM(G10:G17)</f>
        <v>50964.845760000469</v>
      </c>
      <c r="H18" s="25">
        <f>SUM(H10:H17)</f>
        <v>826329.78310000023</v>
      </c>
      <c r="I18" s="25">
        <f>SUM(I10:I17)</f>
        <v>943355.76227999991</v>
      </c>
    </row>
    <row r="19" spans="2:9" ht="15" customHeight="1" x14ac:dyDescent="0.2">
      <c r="B19" s="20"/>
      <c r="C19" s="21"/>
      <c r="D19" s="56" t="s">
        <v>31</v>
      </c>
      <c r="E19" s="27">
        <v>0</v>
      </c>
      <c r="F19" s="27">
        <v>0</v>
      </c>
      <c r="G19" s="27">
        <v>0</v>
      </c>
      <c r="H19" s="27">
        <v>0</v>
      </c>
      <c r="I19" s="27">
        <v>0</v>
      </c>
    </row>
    <row r="20" spans="2:9" ht="15" customHeight="1" x14ac:dyDescent="0.2">
      <c r="B20" s="20"/>
      <c r="C20" s="21"/>
      <c r="D20" s="56" t="s">
        <v>32</v>
      </c>
      <c r="E20" s="27">
        <v>-179235</v>
      </c>
      <c r="F20" s="27">
        <v>-235662</v>
      </c>
      <c r="G20" s="27">
        <v>-110409</v>
      </c>
      <c r="H20" s="27">
        <v>-161882</v>
      </c>
      <c r="I20" s="27">
        <v>-95324</v>
      </c>
    </row>
    <row r="21" spans="2:9" ht="15" customHeight="1" x14ac:dyDescent="0.2">
      <c r="B21" s="20"/>
      <c r="C21" s="21"/>
      <c r="D21" s="56" t="s">
        <v>33</v>
      </c>
      <c r="E21" s="27">
        <v>45141</v>
      </c>
      <c r="F21" s="27">
        <v>48169</v>
      </c>
      <c r="G21" s="27">
        <v>21378</v>
      </c>
      <c r="H21" s="27">
        <v>27525</v>
      </c>
      <c r="I21" s="27">
        <v>13763</v>
      </c>
    </row>
    <row r="22" spans="2:9" ht="15" customHeight="1" x14ac:dyDescent="0.2">
      <c r="B22" s="20"/>
      <c r="C22" s="21"/>
      <c r="D22" s="31"/>
      <c r="E22" s="28"/>
      <c r="F22" s="28"/>
      <c r="G22" s="28"/>
      <c r="H22" s="28"/>
      <c r="I22" s="28"/>
    </row>
    <row r="23" spans="2:9" ht="15" customHeight="1" x14ac:dyDescent="0.2">
      <c r="B23" s="20"/>
      <c r="C23" s="21" t="s">
        <v>34</v>
      </c>
      <c r="D23" s="56"/>
      <c r="E23" s="25">
        <f>SUM(E18:E22)</f>
        <v>-689908.5394100002</v>
      </c>
      <c r="F23" s="25">
        <f>SUM(F18:F22)</f>
        <v>-231581.04406000022</v>
      </c>
      <c r="G23" s="25">
        <f>SUM(G18:G22)</f>
        <v>-38066.154239999531</v>
      </c>
      <c r="H23" s="25">
        <f>SUM(H18:H22)</f>
        <v>691972.78310000023</v>
      </c>
      <c r="I23" s="25">
        <f>SUM(I18:I22)</f>
        <v>861794.76227999991</v>
      </c>
    </row>
    <row r="24" spans="2:9" ht="15" customHeight="1" x14ac:dyDescent="0.2">
      <c r="B24" s="20"/>
      <c r="C24" s="21"/>
      <c r="D24" s="56"/>
      <c r="E24" s="26"/>
      <c r="F24" s="26"/>
      <c r="G24" s="26"/>
      <c r="H24" s="26"/>
      <c r="I24" s="26"/>
    </row>
    <row r="25" spans="2:9" ht="15" customHeight="1" x14ac:dyDescent="0.2">
      <c r="B25" s="339" t="s">
        <v>35</v>
      </c>
      <c r="C25" s="340"/>
      <c r="D25" s="341"/>
      <c r="E25" s="24"/>
      <c r="F25" s="24"/>
      <c r="G25" s="24"/>
      <c r="H25" s="24"/>
      <c r="I25" s="24"/>
    </row>
    <row r="26" spans="2:9" ht="15" customHeight="1" x14ac:dyDescent="0.2">
      <c r="B26" s="29"/>
      <c r="C26" s="21"/>
      <c r="D26" s="56" t="s">
        <v>36</v>
      </c>
      <c r="E26" s="27">
        <v>0</v>
      </c>
      <c r="F26" s="27">
        <v>0</v>
      </c>
      <c r="G26" s="27">
        <v>0</v>
      </c>
      <c r="H26" s="27">
        <v>0</v>
      </c>
      <c r="I26" s="27">
        <v>0</v>
      </c>
    </row>
    <row r="27" spans="2:9" ht="15" customHeight="1" x14ac:dyDescent="0.2">
      <c r="B27" s="29"/>
      <c r="C27" s="21"/>
      <c r="D27" s="56" t="s">
        <v>37</v>
      </c>
      <c r="E27" s="27">
        <v>0</v>
      </c>
      <c r="F27" s="27">
        <v>0</v>
      </c>
      <c r="G27" s="27">
        <v>0</v>
      </c>
      <c r="H27" s="27">
        <v>0</v>
      </c>
      <c r="I27" s="27">
        <v>0</v>
      </c>
    </row>
    <row r="28" spans="2:9" ht="15" customHeight="1" x14ac:dyDescent="0.2">
      <c r="B28" s="29"/>
      <c r="C28" s="21"/>
      <c r="D28" s="56" t="s">
        <v>38</v>
      </c>
      <c r="E28" s="27">
        <f>-E15</f>
        <v>0</v>
      </c>
      <c r="F28" s="27">
        <f>-F15</f>
        <v>0</v>
      </c>
      <c r="G28" s="27">
        <f>-G15</f>
        <v>0</v>
      </c>
      <c r="H28" s="27">
        <f>-H15</f>
        <v>0</v>
      </c>
      <c r="I28" s="27">
        <f>-I15</f>
        <v>0</v>
      </c>
    </row>
    <row r="29" spans="2:9" ht="15" customHeight="1" x14ac:dyDescent="0.2">
      <c r="B29" s="20"/>
      <c r="C29" s="21"/>
      <c r="D29" s="31"/>
      <c r="E29" s="30"/>
      <c r="F29" s="30"/>
      <c r="G29" s="30"/>
      <c r="H29" s="30"/>
      <c r="I29" s="30"/>
    </row>
    <row r="30" spans="2:9" ht="15" customHeight="1" x14ac:dyDescent="0.2">
      <c r="B30" s="20"/>
      <c r="C30" s="21"/>
      <c r="D30" s="31"/>
      <c r="E30" s="31"/>
      <c r="F30" s="31"/>
      <c r="G30" s="31"/>
      <c r="H30" s="31"/>
      <c r="I30" s="31"/>
    </row>
    <row r="31" spans="2:9" ht="15" customHeight="1" x14ac:dyDescent="0.2">
      <c r="B31" s="32"/>
      <c r="C31" s="33" t="s">
        <v>39</v>
      </c>
      <c r="D31" s="58"/>
      <c r="E31" s="25">
        <f>SUM(E26:E30)</f>
        <v>0</v>
      </c>
      <c r="F31" s="25">
        <f t="shared" ref="F31" si="0">SUM(F26:F30)</f>
        <v>0</v>
      </c>
      <c r="G31" s="25">
        <f t="shared" ref="G31:I31" si="1">SUM(G26:G30)</f>
        <v>0</v>
      </c>
      <c r="H31" s="25">
        <f t="shared" si="1"/>
        <v>0</v>
      </c>
      <c r="I31" s="25">
        <f t="shared" si="1"/>
        <v>0</v>
      </c>
    </row>
    <row r="32" spans="2:9" ht="15" customHeight="1" x14ac:dyDescent="0.2">
      <c r="B32" s="32"/>
      <c r="C32" s="33"/>
      <c r="D32" s="58"/>
      <c r="E32" s="26"/>
      <c r="F32" s="26"/>
      <c r="G32" s="26"/>
      <c r="H32" s="26"/>
      <c r="I32" s="26"/>
    </row>
    <row r="33" spans="2:9" ht="15" customHeight="1" x14ac:dyDescent="0.2">
      <c r="B33" s="22" t="s">
        <v>40</v>
      </c>
      <c r="C33" s="23"/>
      <c r="D33" s="34"/>
      <c r="E33" s="34"/>
      <c r="F33" s="34"/>
      <c r="G33" s="34"/>
      <c r="H33" s="34"/>
      <c r="I33" s="34"/>
    </row>
    <row r="34" spans="2:9" ht="15" customHeight="1" x14ac:dyDescent="0.2">
      <c r="B34" s="35"/>
      <c r="C34" s="21"/>
      <c r="D34" s="31"/>
      <c r="E34" s="31"/>
      <c r="F34" s="31"/>
      <c r="G34" s="31"/>
      <c r="H34" s="31"/>
      <c r="I34" s="31"/>
    </row>
    <row r="35" spans="2:9" ht="15" customHeight="1" x14ac:dyDescent="0.2">
      <c r="B35" s="35"/>
      <c r="C35" s="21"/>
      <c r="D35" s="59" t="s">
        <v>41</v>
      </c>
      <c r="E35" s="245">
        <v>0</v>
      </c>
      <c r="F35" s="245">
        <v>0</v>
      </c>
      <c r="G35" s="27">
        <f>-1500*3.67</f>
        <v>-5505</v>
      </c>
      <c r="H35" s="27">
        <f t="shared" ref="H35:I35" si="2">-1500*3.67</f>
        <v>-5505</v>
      </c>
      <c r="I35" s="27">
        <f t="shared" si="2"/>
        <v>-5505</v>
      </c>
    </row>
    <row r="36" spans="2:9" ht="15" customHeight="1" x14ac:dyDescent="0.2">
      <c r="B36" s="20"/>
      <c r="C36" s="21"/>
      <c r="D36" s="56" t="s">
        <v>42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</row>
    <row r="37" spans="2:9" ht="15" customHeight="1" x14ac:dyDescent="0.2">
      <c r="B37" s="20"/>
      <c r="C37" s="21"/>
      <c r="D37" s="56" t="s">
        <v>27</v>
      </c>
      <c r="E37" s="27">
        <f>-E14</f>
        <v>-4771</v>
      </c>
      <c r="F37" s="27">
        <f>-F14</f>
        <v>-4771</v>
      </c>
      <c r="G37" s="27">
        <f>-G14</f>
        <v>-6239</v>
      </c>
      <c r="H37" s="27">
        <f>-H14</f>
        <v>-7340</v>
      </c>
      <c r="I37" s="27">
        <f>-I14</f>
        <v>-7340</v>
      </c>
    </row>
    <row r="38" spans="2:9" ht="15" customHeight="1" x14ac:dyDescent="0.2">
      <c r="B38" s="20"/>
      <c r="C38" s="21"/>
      <c r="D38" s="31"/>
      <c r="E38" s="245"/>
      <c r="F38" s="245"/>
      <c r="G38" s="245"/>
      <c r="H38" s="245"/>
      <c r="I38" s="245"/>
    </row>
    <row r="39" spans="2:9" ht="15" customHeight="1" x14ac:dyDescent="0.2">
      <c r="B39" s="32"/>
      <c r="C39" s="33" t="s">
        <v>43</v>
      </c>
      <c r="D39" s="31"/>
      <c r="E39" s="246">
        <f>SUM(E35:E38)</f>
        <v>-4771</v>
      </c>
      <c r="F39" s="246">
        <f t="shared" ref="F39" si="3">SUM(F35:F38)</f>
        <v>-4771</v>
      </c>
      <c r="G39" s="246">
        <f t="shared" ref="G39:I39" si="4">SUM(G35:G38)</f>
        <v>-11744</v>
      </c>
      <c r="H39" s="246">
        <f t="shared" si="4"/>
        <v>-12845</v>
      </c>
      <c r="I39" s="246">
        <f t="shared" si="4"/>
        <v>-12845</v>
      </c>
    </row>
    <row r="40" spans="2:9" ht="15" customHeight="1" x14ac:dyDescent="0.2">
      <c r="B40" s="32"/>
      <c r="C40" s="33"/>
      <c r="D40" s="31"/>
      <c r="E40" s="31"/>
      <c r="F40" s="31"/>
      <c r="G40" s="31"/>
      <c r="H40" s="31"/>
      <c r="I40" s="31"/>
    </row>
    <row r="41" spans="2:9" ht="15" customHeight="1" x14ac:dyDescent="0.2">
      <c r="B41" s="35" t="s">
        <v>44</v>
      </c>
      <c r="C41" s="36"/>
      <c r="D41" s="60"/>
      <c r="E41" s="25">
        <f>E39+E31+E23</f>
        <v>-694679.5394100002</v>
      </c>
      <c r="F41" s="25">
        <f>F39+F31+F23</f>
        <v>-236352.04406000022</v>
      </c>
      <c r="G41" s="25">
        <f>G39+G31+G23</f>
        <v>-49810.154239999531</v>
      </c>
      <c r="H41" s="25">
        <f t="shared" ref="H41:I41" si="5">H39+H31+H23</f>
        <v>679127.78310000023</v>
      </c>
      <c r="I41" s="25">
        <f t="shared" si="5"/>
        <v>848949.76227999991</v>
      </c>
    </row>
    <row r="42" spans="2:9" ht="15" customHeight="1" x14ac:dyDescent="0.2">
      <c r="B42" s="37"/>
      <c r="C42" s="21"/>
      <c r="D42" s="56"/>
      <c r="E42" s="26"/>
      <c r="F42" s="26"/>
      <c r="G42" s="26"/>
      <c r="H42" s="26"/>
      <c r="I42" s="26"/>
    </row>
    <row r="43" spans="2:9" ht="15" customHeight="1" x14ac:dyDescent="0.2">
      <c r="B43" s="38" t="s">
        <v>45</v>
      </c>
      <c r="C43" s="36"/>
      <c r="D43" s="60"/>
      <c r="E43" s="25">
        <f>'B.S  '!C11</f>
        <v>998240</v>
      </c>
      <c r="F43" s="25">
        <f>E52</f>
        <v>303560</v>
      </c>
      <c r="G43" s="25">
        <f t="shared" ref="G43" si="6">F52</f>
        <v>67208</v>
      </c>
      <c r="H43" s="25">
        <f t="shared" ref="H43" si="7">G52</f>
        <v>17398</v>
      </c>
      <c r="I43" s="25">
        <f>H52</f>
        <v>696526</v>
      </c>
    </row>
    <row r="44" spans="2:9" ht="15" customHeight="1" x14ac:dyDescent="0.2">
      <c r="B44" s="20"/>
      <c r="C44" s="21"/>
      <c r="D44" s="31"/>
      <c r="E44" s="31"/>
      <c r="F44" s="31"/>
      <c r="G44" s="31"/>
      <c r="H44" s="31"/>
      <c r="I44" s="31"/>
    </row>
    <row r="45" spans="2:9" ht="15" customHeight="1" thickBot="1" x14ac:dyDescent="0.25">
      <c r="B45" s="20"/>
      <c r="C45" s="21"/>
      <c r="D45" s="31"/>
      <c r="E45" s="31"/>
      <c r="F45" s="31"/>
      <c r="G45" s="31"/>
      <c r="H45" s="31"/>
      <c r="I45" s="31"/>
    </row>
    <row r="46" spans="2:9" ht="15" customHeight="1" thickBot="1" x14ac:dyDescent="0.25">
      <c r="B46" s="35" t="s">
        <v>46</v>
      </c>
      <c r="C46" s="21"/>
      <c r="D46" s="56"/>
      <c r="E46" s="39">
        <f>SUM(E41:E45)</f>
        <v>303560.4605899998</v>
      </c>
      <c r="F46" s="39">
        <f>SUM(F41:F45)</f>
        <v>67207.955939999782</v>
      </c>
      <c r="G46" s="39">
        <f t="shared" ref="G46:I46" si="8">SUM(G41:G45)</f>
        <v>17397.845760000469</v>
      </c>
      <c r="H46" s="39">
        <f t="shared" si="8"/>
        <v>696525.78310000023</v>
      </c>
      <c r="I46" s="39">
        <f t="shared" si="8"/>
        <v>1545475.7622799999</v>
      </c>
    </row>
    <row r="47" spans="2:9" ht="15" customHeight="1" x14ac:dyDescent="0.2">
      <c r="B47" s="20"/>
      <c r="C47" s="21"/>
      <c r="D47" s="56"/>
      <c r="E47" s="40"/>
      <c r="F47" s="40"/>
      <c r="G47" s="40"/>
      <c r="H47" s="40"/>
      <c r="I47" s="40"/>
    </row>
    <row r="48" spans="2:9" ht="15" customHeight="1" x14ac:dyDescent="0.2">
      <c r="B48" s="41" t="s">
        <v>47</v>
      </c>
      <c r="C48" s="42"/>
      <c r="D48" s="43"/>
      <c r="E48" s="43"/>
      <c r="F48" s="43"/>
      <c r="G48" s="43"/>
      <c r="H48" s="43"/>
      <c r="I48" s="43"/>
    </row>
    <row r="49" spans="2:9" ht="15" customHeight="1" x14ac:dyDescent="0.2">
      <c r="B49" s="41" t="s">
        <v>101</v>
      </c>
      <c r="C49" s="42"/>
      <c r="D49" s="43"/>
      <c r="E49" s="27">
        <f>'B.S  '!D11</f>
        <v>303560</v>
      </c>
      <c r="F49" s="27">
        <f>'B.S  '!E11</f>
        <v>67208</v>
      </c>
      <c r="G49" s="27">
        <f>'B.S  '!F11</f>
        <v>17398</v>
      </c>
      <c r="H49" s="27">
        <f>'B.S  '!G11</f>
        <v>696526</v>
      </c>
      <c r="I49" s="27">
        <f>'B.S  '!H11</f>
        <v>1545476</v>
      </c>
    </row>
    <row r="50" spans="2:9" ht="15" customHeight="1" x14ac:dyDescent="0.2">
      <c r="B50" s="41" t="s">
        <v>48</v>
      </c>
      <c r="C50" s="42"/>
      <c r="D50" s="43"/>
      <c r="E50" s="44"/>
      <c r="F50" s="44"/>
      <c r="G50" s="44"/>
      <c r="H50" s="44"/>
      <c r="I50" s="44"/>
    </row>
    <row r="51" spans="2:9" ht="15" customHeight="1" thickBot="1" x14ac:dyDescent="0.25">
      <c r="B51" s="41"/>
      <c r="C51" s="42"/>
      <c r="D51" s="43"/>
      <c r="E51" s="40"/>
      <c r="F51" s="40"/>
      <c r="G51" s="40"/>
      <c r="H51" s="40"/>
      <c r="I51" s="40"/>
    </row>
    <row r="52" spans="2:9" ht="15" customHeight="1" thickBot="1" x14ac:dyDescent="0.25">
      <c r="B52" s="41"/>
      <c r="C52" s="42"/>
      <c r="D52" s="43"/>
      <c r="E52" s="45">
        <f>SUM(E49:E50)</f>
        <v>303560</v>
      </c>
      <c r="F52" s="45">
        <f>SUM(F49:F50)</f>
        <v>67208</v>
      </c>
      <c r="G52" s="45">
        <f>SUM(G49:G50)</f>
        <v>17398</v>
      </c>
      <c r="H52" s="45">
        <f>SUM(H49:H50)</f>
        <v>696526</v>
      </c>
      <c r="I52" s="45">
        <f>SUM(I49:I50)</f>
        <v>1545476</v>
      </c>
    </row>
    <row r="53" spans="2:9" ht="15" customHeight="1" x14ac:dyDescent="0.2">
      <c r="B53" s="41"/>
      <c r="C53" s="42"/>
      <c r="D53" s="43"/>
      <c r="E53" s="44">
        <f>E52-E46</f>
        <v>-0.46058999979868531</v>
      </c>
      <c r="F53" s="44">
        <f>F52-F46</f>
        <v>4.4060000218451023E-2</v>
      </c>
      <c r="G53" s="44">
        <f>G52-G46</f>
        <v>0.1542399995305459</v>
      </c>
      <c r="H53" s="44">
        <f>H52-H46</f>
        <v>0.21689999976661056</v>
      </c>
      <c r="I53" s="44">
        <f>I52-I46</f>
        <v>0.23772000009194016</v>
      </c>
    </row>
    <row r="54" spans="2:9" ht="15" customHeight="1" thickBot="1" x14ac:dyDescent="0.25">
      <c r="B54" s="46"/>
      <c r="C54" s="47"/>
      <c r="D54" s="61"/>
      <c r="E54" s="48"/>
      <c r="F54" s="48"/>
      <c r="G54" s="48"/>
      <c r="H54" s="48"/>
      <c r="I54" s="48"/>
    </row>
    <row r="55" spans="2:9" ht="15" customHeight="1" x14ac:dyDescent="0.2">
      <c r="B55" s="49"/>
      <c r="C55" s="49"/>
      <c r="D55" s="49"/>
      <c r="E55" s="50"/>
      <c r="F55" s="50"/>
      <c r="G55" s="50"/>
      <c r="H55" s="50"/>
      <c r="I55" s="50"/>
    </row>
    <row r="56" spans="2:9" ht="15" customHeight="1" x14ac:dyDescent="0.2">
      <c r="E56" s="51"/>
      <c r="F56" s="51"/>
      <c r="G56" s="51"/>
      <c r="H56" s="51"/>
      <c r="I56" s="51"/>
    </row>
  </sheetData>
  <mergeCells count="6">
    <mergeCell ref="B25:D25"/>
    <mergeCell ref="B1:F1"/>
    <mergeCell ref="B2:F2"/>
    <mergeCell ref="B4:F4"/>
    <mergeCell ref="B5:I5"/>
    <mergeCell ref="B18:D18"/>
  </mergeCells>
  <pageMargins left="0.56000000000000005" right="0.75" top="0.23" bottom="0.27" header="0.44" footer="0.28000000000000003"/>
  <pageSetup scale="7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57"/>
  <sheetViews>
    <sheetView zoomScaleNormal="100" workbookViewId="0">
      <pane xSplit="3" ySplit="4" topLeftCell="O5" activePane="bottomRight" state="frozen"/>
      <selection pane="topRight" activeCell="D1" sqref="D1"/>
      <selection pane="bottomLeft" activeCell="A5" sqref="A5"/>
      <selection pane="bottomRight" activeCell="W23" sqref="W23"/>
    </sheetView>
  </sheetViews>
  <sheetFormatPr defaultColWidth="11.28515625" defaultRowHeight="12.75" x14ac:dyDescent="0.2"/>
  <cols>
    <col min="1" max="1" width="5.140625" style="102" bestFit="1" customWidth="1"/>
    <col min="2" max="2" width="28.42578125" style="102" customWidth="1"/>
    <col min="3" max="3" width="8.5703125" style="102" bestFit="1" customWidth="1"/>
    <col min="4" max="4" width="10.42578125" style="102" customWidth="1"/>
    <col min="5" max="5" width="12.28515625" style="102" customWidth="1"/>
    <col min="6" max="6" width="11.140625" style="102" customWidth="1"/>
    <col min="7" max="7" width="12" style="102" customWidth="1"/>
    <col min="8" max="8" width="14.140625" style="103" customWidth="1"/>
    <col min="9" max="9" width="33.85546875" style="102" customWidth="1"/>
    <col min="10" max="10" width="12" style="102" customWidth="1"/>
    <col min="11" max="11" width="13.85546875" style="102" customWidth="1"/>
    <col min="12" max="12" width="14.7109375" style="102" customWidth="1"/>
    <col min="13" max="13" width="12.42578125" style="102" bestFit="1" customWidth="1"/>
    <col min="14" max="14" width="12.42578125" style="102" customWidth="1"/>
    <col min="15" max="15" width="14.140625" style="102" customWidth="1"/>
    <col min="16" max="16" width="19.7109375" style="102" customWidth="1"/>
    <col min="17" max="17" width="14.85546875" style="102" customWidth="1"/>
    <col min="18" max="18" width="13.28515625" style="102" customWidth="1"/>
    <col min="19" max="19" width="15.28515625" style="102" customWidth="1"/>
    <col min="20" max="20" width="13.28515625" style="102" customWidth="1"/>
    <col min="21" max="21" width="12.140625" style="102" customWidth="1"/>
    <col min="22" max="22" width="12.42578125" style="104" bestFit="1" customWidth="1"/>
    <col min="23" max="23" width="14" style="105" customWidth="1"/>
    <col min="24" max="24" width="11.28515625" style="106" customWidth="1"/>
    <col min="25" max="25" width="14.5703125" style="105" bestFit="1" customWidth="1"/>
    <col min="26" max="26" width="9.42578125" style="107" bestFit="1" customWidth="1"/>
    <col min="27" max="62" width="11.28515625" style="105"/>
    <col min="63" max="16384" width="11.28515625" style="108"/>
  </cols>
  <sheetData>
    <row r="1" spans="1:63" ht="13.5" thickBot="1" x14ac:dyDescent="0.25">
      <c r="A1" s="353" t="s">
        <v>92</v>
      </c>
      <c r="B1" s="354"/>
      <c r="C1" s="355"/>
      <c r="O1" s="248" t="s">
        <v>210</v>
      </c>
    </row>
    <row r="2" spans="1:63" s="119" customFormat="1" ht="13.5" thickBot="1" x14ac:dyDescent="0.25">
      <c r="A2" s="109"/>
      <c r="B2" s="110" t="s">
        <v>62</v>
      </c>
      <c r="C2" s="110"/>
      <c r="D2" s="111">
        <v>42369</v>
      </c>
      <c r="E2" s="109"/>
      <c r="F2" s="112"/>
      <c r="G2" s="112"/>
      <c r="H2" s="113"/>
      <c r="I2" s="114"/>
      <c r="J2" s="115"/>
      <c r="K2" s="116"/>
      <c r="L2" s="347" t="s">
        <v>63</v>
      </c>
      <c r="M2" s="349"/>
      <c r="N2" s="349"/>
      <c r="O2" s="348"/>
      <c r="P2" s="350" t="s">
        <v>64</v>
      </c>
      <c r="Q2" s="351"/>
      <c r="R2" s="351"/>
      <c r="S2" s="352"/>
      <c r="T2" s="347" t="s">
        <v>65</v>
      </c>
      <c r="U2" s="348"/>
      <c r="V2" s="117"/>
      <c r="W2" s="115"/>
      <c r="X2" s="118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5"/>
      <c r="AM2" s="115"/>
      <c r="AN2" s="115"/>
      <c r="AO2" s="115"/>
      <c r="AP2" s="115"/>
      <c r="AQ2" s="115"/>
      <c r="AR2" s="115"/>
      <c r="AS2" s="115"/>
      <c r="AT2" s="115"/>
      <c r="AU2" s="115"/>
      <c r="AV2" s="115"/>
      <c r="AW2" s="115"/>
      <c r="AX2" s="115"/>
      <c r="AY2" s="115"/>
      <c r="AZ2" s="115"/>
      <c r="BA2" s="115"/>
      <c r="BB2" s="115"/>
      <c r="BC2" s="115"/>
      <c r="BD2" s="115"/>
      <c r="BE2" s="115"/>
      <c r="BF2" s="115"/>
      <c r="BG2" s="115"/>
      <c r="BH2" s="115"/>
      <c r="BI2" s="115"/>
      <c r="BJ2" s="115"/>
    </row>
    <row r="3" spans="1:63" s="119" customFormat="1" x14ac:dyDescent="0.2">
      <c r="A3" s="109"/>
      <c r="B3" s="120"/>
      <c r="C3" s="120"/>
      <c r="D3" s="120"/>
      <c r="E3" s="120"/>
      <c r="F3" s="121"/>
      <c r="G3" s="121"/>
      <c r="H3" s="122"/>
      <c r="I3" s="123"/>
      <c r="J3" s="123"/>
      <c r="K3" s="124"/>
      <c r="L3" s="125">
        <v>42005</v>
      </c>
      <c r="M3" s="125"/>
      <c r="N3" s="125"/>
      <c r="O3" s="125">
        <v>42369</v>
      </c>
      <c r="P3" s="126">
        <f>L3</f>
        <v>42005</v>
      </c>
      <c r="Q3" s="127"/>
      <c r="R3" s="127"/>
      <c r="S3" s="127">
        <f>O3</f>
        <v>42369</v>
      </c>
      <c r="T3" s="128"/>
      <c r="U3" s="129"/>
      <c r="V3" s="117"/>
      <c r="W3" s="115"/>
      <c r="X3" s="130">
        <v>42004</v>
      </c>
      <c r="Y3" s="131"/>
      <c r="Z3" s="131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</row>
    <row r="4" spans="1:63" s="119" customFormat="1" ht="19.5" customHeight="1" x14ac:dyDescent="0.2">
      <c r="A4" s="132" t="s">
        <v>66</v>
      </c>
      <c r="B4" s="132" t="s">
        <v>67</v>
      </c>
      <c r="C4" s="132" t="s">
        <v>68</v>
      </c>
      <c r="D4" s="132" t="s">
        <v>69</v>
      </c>
      <c r="E4" s="132" t="s">
        <v>70</v>
      </c>
      <c r="F4" s="133" t="s">
        <v>71</v>
      </c>
      <c r="G4" s="133" t="s">
        <v>72</v>
      </c>
      <c r="H4" s="134" t="s">
        <v>73</v>
      </c>
      <c r="I4" s="133" t="s">
        <v>74</v>
      </c>
      <c r="J4" s="132" t="s">
        <v>75</v>
      </c>
      <c r="K4" s="135" t="s">
        <v>76</v>
      </c>
      <c r="L4" s="135" t="s">
        <v>77</v>
      </c>
      <c r="M4" s="135" t="s">
        <v>78</v>
      </c>
      <c r="N4" s="135" t="s">
        <v>79</v>
      </c>
      <c r="O4" s="135" t="s">
        <v>80</v>
      </c>
      <c r="P4" s="135" t="s">
        <v>81</v>
      </c>
      <c r="Q4" s="135" t="s">
        <v>82</v>
      </c>
      <c r="R4" s="135" t="s">
        <v>83</v>
      </c>
      <c r="S4" s="135" t="s">
        <v>84</v>
      </c>
      <c r="T4" s="135" t="s">
        <v>85</v>
      </c>
      <c r="U4" s="136" t="s">
        <v>86</v>
      </c>
      <c r="V4" s="117"/>
      <c r="W4" s="115"/>
      <c r="X4" s="118" t="s">
        <v>84</v>
      </c>
      <c r="Y4" s="137"/>
      <c r="Z4" s="137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</row>
    <row r="5" spans="1:63" s="150" customFormat="1" x14ac:dyDescent="0.2">
      <c r="A5" s="138">
        <v>2015</v>
      </c>
      <c r="B5" s="106" t="s">
        <v>89</v>
      </c>
      <c r="C5" s="138"/>
      <c r="D5" s="139">
        <v>42036</v>
      </c>
      <c r="E5" s="106"/>
      <c r="F5" s="139">
        <f>D5</f>
        <v>42036</v>
      </c>
      <c r="G5" s="138"/>
      <c r="H5" s="140">
        <f t="shared" ref="H5:H6" si="0">+$D$2-F5</f>
        <v>333</v>
      </c>
      <c r="I5" s="138" t="s">
        <v>87</v>
      </c>
      <c r="J5" s="141">
        <v>0.25</v>
      </c>
      <c r="K5" s="142">
        <v>18000</v>
      </c>
      <c r="L5" s="142">
        <f t="shared" ref="L5:L6" si="1">K5</f>
        <v>18000</v>
      </c>
      <c r="M5" s="143">
        <v>0</v>
      </c>
      <c r="N5" s="143">
        <v>0</v>
      </c>
      <c r="O5" s="143">
        <f t="shared" ref="O5:O6" si="2">+L5+M5-N5</f>
        <v>18000</v>
      </c>
      <c r="P5" s="144">
        <f t="shared" ref="P5:P6" si="3">X5</f>
        <v>0</v>
      </c>
      <c r="Q5" s="145">
        <f>O5*J5/365*H5</f>
        <v>4105.4794520547948</v>
      </c>
      <c r="R5" s="146">
        <v>0</v>
      </c>
      <c r="S5" s="146">
        <f t="shared" ref="S5:S6" si="4">+P5+Q5-R5</f>
        <v>4105.4794520547948</v>
      </c>
      <c r="T5" s="146">
        <f t="shared" ref="T5:T6" si="5">+L5-P5</f>
        <v>18000</v>
      </c>
      <c r="U5" s="196">
        <f>+O5-S5</f>
        <v>13894.520547945205</v>
      </c>
      <c r="V5" s="147"/>
      <c r="W5" s="148"/>
      <c r="X5" s="143">
        <v>0</v>
      </c>
      <c r="Y5" s="149"/>
      <c r="Z5" s="148"/>
      <c r="AA5" s="14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  <c r="AX5" s="107"/>
      <c r="AY5" s="107"/>
      <c r="AZ5" s="107"/>
      <c r="BA5" s="107"/>
      <c r="BB5" s="107"/>
      <c r="BC5" s="107"/>
      <c r="BD5" s="107"/>
      <c r="BE5" s="107"/>
      <c r="BF5" s="107"/>
      <c r="BG5" s="107"/>
      <c r="BH5" s="107"/>
      <c r="BI5" s="107"/>
      <c r="BJ5" s="107"/>
    </row>
    <row r="6" spans="1:63" s="150" customFormat="1" x14ac:dyDescent="0.2">
      <c r="A6" s="138">
        <v>2015</v>
      </c>
      <c r="B6" s="106" t="s">
        <v>90</v>
      </c>
      <c r="C6" s="138"/>
      <c r="D6" s="139">
        <v>42036</v>
      </c>
      <c r="E6" s="106"/>
      <c r="F6" s="139">
        <f t="shared" ref="F6" si="6">D6</f>
        <v>42036</v>
      </c>
      <c r="G6" s="138"/>
      <c r="H6" s="140">
        <f t="shared" si="0"/>
        <v>333</v>
      </c>
      <c r="I6" s="151" t="s">
        <v>88</v>
      </c>
      <c r="J6" s="141">
        <v>0.25</v>
      </c>
      <c r="K6" s="142">
        <v>10000</v>
      </c>
      <c r="L6" s="142">
        <f t="shared" si="1"/>
        <v>10000</v>
      </c>
      <c r="M6" s="143">
        <v>0</v>
      </c>
      <c r="N6" s="143">
        <v>0</v>
      </c>
      <c r="O6" s="143">
        <f t="shared" si="2"/>
        <v>10000</v>
      </c>
      <c r="P6" s="144">
        <f t="shared" si="3"/>
        <v>0</v>
      </c>
      <c r="Q6" s="145">
        <f t="shared" ref="Q6" si="7">O6*J6/365*H6</f>
        <v>2280.821917808219</v>
      </c>
      <c r="R6" s="146">
        <v>0</v>
      </c>
      <c r="S6" s="146">
        <f t="shared" si="4"/>
        <v>2280.821917808219</v>
      </c>
      <c r="T6" s="146">
        <f t="shared" si="5"/>
        <v>10000</v>
      </c>
      <c r="U6" s="146">
        <f t="shared" ref="U6" si="8">+O6-S6</f>
        <v>7719.178082191781</v>
      </c>
      <c r="V6" s="147"/>
      <c r="W6" s="148"/>
      <c r="X6" s="143">
        <v>0</v>
      </c>
      <c r="Y6" s="149"/>
      <c r="Z6" s="148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  <c r="AX6" s="107"/>
      <c r="AY6" s="107"/>
      <c r="AZ6" s="107"/>
      <c r="BA6" s="107"/>
      <c r="BB6" s="107"/>
      <c r="BC6" s="107"/>
      <c r="BD6" s="107"/>
      <c r="BE6" s="107"/>
      <c r="BF6" s="107"/>
      <c r="BG6" s="107"/>
      <c r="BH6" s="107"/>
      <c r="BI6" s="107"/>
      <c r="BJ6" s="107"/>
    </row>
    <row r="7" spans="1:63" s="166" customFormat="1" x14ac:dyDescent="0.2">
      <c r="A7" s="138"/>
      <c r="B7" s="106"/>
      <c r="C7" s="138"/>
      <c r="D7" s="139"/>
      <c r="E7" s="106"/>
      <c r="F7" s="139"/>
      <c r="G7" s="106"/>
      <c r="H7" s="140"/>
      <c r="I7" s="106"/>
      <c r="J7" s="141"/>
      <c r="K7" s="142"/>
      <c r="L7" s="161"/>
      <c r="M7" s="143"/>
      <c r="N7" s="143"/>
      <c r="O7" s="164"/>
      <c r="P7" s="144"/>
      <c r="Q7" s="145"/>
      <c r="R7" s="146"/>
      <c r="S7" s="146"/>
      <c r="T7" s="146"/>
      <c r="U7" s="146"/>
      <c r="V7" s="147"/>
      <c r="W7" s="148"/>
      <c r="X7" s="143"/>
      <c r="Y7" s="149"/>
      <c r="Z7" s="148"/>
      <c r="AA7" s="14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  <c r="AX7" s="107"/>
      <c r="AY7" s="107"/>
      <c r="AZ7" s="107"/>
      <c r="BA7" s="107"/>
      <c r="BB7" s="107"/>
      <c r="BC7" s="107"/>
      <c r="BD7" s="107"/>
      <c r="BE7" s="107"/>
      <c r="BF7" s="107"/>
      <c r="BG7" s="107"/>
      <c r="BH7" s="107"/>
      <c r="BI7" s="107"/>
      <c r="BJ7" s="107"/>
      <c r="BK7" s="165"/>
    </row>
    <row r="8" spans="1:63" s="152" customFormat="1" x14ac:dyDescent="0.2">
      <c r="B8" s="153"/>
      <c r="D8" s="167"/>
      <c r="E8" s="153"/>
      <c r="F8" s="167"/>
      <c r="G8" s="153"/>
      <c r="H8" s="154"/>
      <c r="I8" s="153"/>
      <c r="J8" s="155"/>
      <c r="K8" s="156">
        <f t="shared" ref="K8:U8" si="9">SUM(K5:K7)</f>
        <v>28000</v>
      </c>
      <c r="L8" s="156">
        <f t="shared" si="9"/>
        <v>28000</v>
      </c>
      <c r="M8" s="156">
        <f t="shared" si="9"/>
        <v>0</v>
      </c>
      <c r="N8" s="156">
        <f t="shared" si="9"/>
        <v>0</v>
      </c>
      <c r="O8" s="156">
        <f t="shared" si="9"/>
        <v>28000</v>
      </c>
      <c r="P8" s="156">
        <f t="shared" si="9"/>
        <v>0</v>
      </c>
      <c r="Q8" s="156">
        <f t="shared" si="9"/>
        <v>6386.3013698630139</v>
      </c>
      <c r="R8" s="156">
        <f t="shared" si="9"/>
        <v>0</v>
      </c>
      <c r="S8" s="156">
        <f t="shared" si="9"/>
        <v>6386.3013698630139</v>
      </c>
      <c r="T8" s="156">
        <f t="shared" si="9"/>
        <v>28000</v>
      </c>
      <c r="U8" s="156">
        <f t="shared" si="9"/>
        <v>21613.698630136987</v>
      </c>
      <c r="V8" s="157"/>
      <c r="W8" s="158"/>
      <c r="X8" s="159"/>
      <c r="Y8" s="160"/>
      <c r="Z8" s="158"/>
      <c r="AA8" s="157"/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160"/>
      <c r="AN8" s="160"/>
      <c r="AO8" s="160"/>
      <c r="AP8" s="160"/>
      <c r="AQ8" s="160"/>
      <c r="AR8" s="160"/>
      <c r="AS8" s="160"/>
      <c r="AT8" s="160"/>
      <c r="AU8" s="160"/>
      <c r="AV8" s="160"/>
      <c r="AW8" s="160"/>
      <c r="AX8" s="160"/>
      <c r="AY8" s="160"/>
      <c r="AZ8" s="160"/>
      <c r="BA8" s="160"/>
      <c r="BB8" s="160"/>
      <c r="BC8" s="160"/>
      <c r="BD8" s="160"/>
      <c r="BE8" s="160"/>
      <c r="BF8" s="160"/>
      <c r="BG8" s="160"/>
      <c r="BH8" s="160"/>
      <c r="BI8" s="160"/>
      <c r="BJ8" s="160"/>
      <c r="BK8" s="163"/>
    </row>
    <row r="9" spans="1:63" s="107" customFormat="1" x14ac:dyDescent="0.2">
      <c r="A9" s="168"/>
      <c r="B9" s="169"/>
      <c r="C9" s="168"/>
      <c r="D9" s="170"/>
      <c r="E9" s="169"/>
      <c r="F9" s="170"/>
      <c r="G9" s="169"/>
      <c r="H9" s="140"/>
      <c r="I9" s="106"/>
      <c r="J9" s="171"/>
      <c r="K9" s="172"/>
      <c r="L9" s="173"/>
      <c r="M9" s="174"/>
      <c r="N9" s="174"/>
      <c r="O9" s="164"/>
      <c r="P9" s="175"/>
      <c r="Q9" s="176"/>
      <c r="R9" s="177"/>
      <c r="S9" s="177"/>
      <c r="T9" s="177"/>
      <c r="U9" s="177"/>
      <c r="V9" s="147"/>
      <c r="W9" s="148"/>
      <c r="X9" s="143"/>
      <c r="Y9" s="178"/>
      <c r="Z9" s="148"/>
      <c r="AA9" s="147"/>
    </row>
    <row r="10" spans="1:63" s="186" customFormat="1" x14ac:dyDescent="0.2">
      <c r="A10" s="179"/>
      <c r="B10" s="179" t="s">
        <v>49</v>
      </c>
      <c r="C10" s="179"/>
      <c r="D10" s="179"/>
      <c r="E10" s="179"/>
      <c r="F10" s="179"/>
      <c r="G10" s="179"/>
      <c r="H10" s="180"/>
      <c r="I10" s="179"/>
      <c r="J10" s="179"/>
      <c r="K10" s="181">
        <f>K8</f>
        <v>28000</v>
      </c>
      <c r="L10" s="181">
        <f t="shared" ref="L10:U10" si="10">L8</f>
        <v>28000</v>
      </c>
      <c r="M10" s="181">
        <f t="shared" si="10"/>
        <v>0</v>
      </c>
      <c r="N10" s="181">
        <f t="shared" si="10"/>
        <v>0</v>
      </c>
      <c r="O10" s="181">
        <f t="shared" si="10"/>
        <v>28000</v>
      </c>
      <c r="P10" s="181">
        <f t="shared" si="10"/>
        <v>0</v>
      </c>
      <c r="Q10" s="181">
        <f t="shared" si="10"/>
        <v>6386.3013698630139</v>
      </c>
      <c r="R10" s="181">
        <f t="shared" si="10"/>
        <v>0</v>
      </c>
      <c r="S10" s="181">
        <f t="shared" si="10"/>
        <v>6386.3013698630139</v>
      </c>
      <c r="T10" s="181">
        <f t="shared" si="10"/>
        <v>28000</v>
      </c>
      <c r="U10" s="181">
        <f t="shared" si="10"/>
        <v>21613.698630136987</v>
      </c>
      <c r="V10" s="182"/>
      <c r="W10" s="183"/>
      <c r="X10" s="184">
        <v>4834623.4951205477</v>
      </c>
      <c r="Y10" s="162"/>
      <c r="Z10" s="183"/>
      <c r="AA10" s="185"/>
      <c r="AB10" s="185"/>
      <c r="AC10" s="185"/>
      <c r="AD10" s="185"/>
      <c r="AE10" s="185"/>
      <c r="AF10" s="185"/>
      <c r="AG10" s="185"/>
      <c r="AH10" s="185"/>
      <c r="AI10" s="185"/>
      <c r="AJ10" s="185"/>
      <c r="AK10" s="185"/>
      <c r="AL10" s="185"/>
      <c r="AM10" s="185"/>
      <c r="AN10" s="185"/>
      <c r="AO10" s="185"/>
      <c r="AP10" s="185"/>
      <c r="AQ10" s="185"/>
      <c r="AR10" s="185"/>
      <c r="AS10" s="185"/>
      <c r="AT10" s="185"/>
      <c r="AU10" s="185"/>
      <c r="AV10" s="185"/>
      <c r="AW10" s="185"/>
      <c r="AX10" s="185"/>
      <c r="AY10" s="185"/>
      <c r="AZ10" s="185"/>
      <c r="BA10" s="185"/>
      <c r="BB10" s="185"/>
      <c r="BC10" s="185"/>
      <c r="BD10" s="185"/>
      <c r="BE10" s="185"/>
      <c r="BF10" s="185"/>
      <c r="BG10" s="185"/>
      <c r="BH10" s="185"/>
      <c r="BI10" s="185"/>
      <c r="BJ10" s="185"/>
    </row>
    <row r="11" spans="1:63" ht="13.5" thickBot="1" x14ac:dyDescent="0.25">
      <c r="F11" s="187"/>
      <c r="I11" s="188"/>
      <c r="J11" s="189"/>
      <c r="K11" s="190"/>
      <c r="L11" s="191"/>
      <c r="M11" s="190"/>
      <c r="N11" s="191"/>
      <c r="O11" s="191"/>
      <c r="P11" s="191"/>
      <c r="Q11" s="190"/>
      <c r="R11" s="191"/>
      <c r="S11" s="191"/>
      <c r="T11" s="191"/>
      <c r="U11" s="191"/>
      <c r="V11" s="192"/>
      <c r="W11" s="193"/>
      <c r="X11" s="194"/>
      <c r="Y11" s="193"/>
      <c r="Z11" s="148"/>
    </row>
    <row r="12" spans="1:63" ht="13.5" thickBot="1" x14ac:dyDescent="0.25">
      <c r="A12" s="353" t="s">
        <v>91</v>
      </c>
      <c r="B12" s="354"/>
      <c r="C12" s="355"/>
      <c r="O12" s="195"/>
      <c r="S12" s="195"/>
      <c r="U12" s="195"/>
    </row>
    <row r="13" spans="1:63" s="119" customFormat="1" ht="13.5" thickBot="1" x14ac:dyDescent="0.25">
      <c r="A13" s="109"/>
      <c r="B13" s="110" t="s">
        <v>62</v>
      </c>
      <c r="C13" s="110"/>
      <c r="D13" s="111">
        <v>42735</v>
      </c>
      <c r="E13" s="109"/>
      <c r="F13" s="112"/>
      <c r="G13" s="112"/>
      <c r="H13" s="113"/>
      <c r="I13" s="114"/>
      <c r="J13" s="115"/>
      <c r="K13" s="116"/>
      <c r="L13" s="347" t="s">
        <v>63</v>
      </c>
      <c r="M13" s="349"/>
      <c r="N13" s="349"/>
      <c r="O13" s="348"/>
      <c r="P13" s="350" t="s">
        <v>64</v>
      </c>
      <c r="Q13" s="351"/>
      <c r="R13" s="351"/>
      <c r="S13" s="352"/>
      <c r="T13" s="347" t="s">
        <v>65</v>
      </c>
      <c r="U13" s="348"/>
      <c r="V13" s="117"/>
      <c r="W13" s="115"/>
      <c r="X13" s="118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115"/>
      <c r="AQ13" s="115"/>
      <c r="AR13" s="115"/>
      <c r="AS13" s="115"/>
      <c r="AT13" s="115"/>
      <c r="AU13" s="115"/>
      <c r="AV13" s="115"/>
      <c r="AW13" s="115"/>
      <c r="AX13" s="115"/>
      <c r="AY13" s="115"/>
      <c r="AZ13" s="115"/>
      <c r="BA13" s="115"/>
      <c r="BB13" s="115"/>
      <c r="BC13" s="115"/>
      <c r="BD13" s="115"/>
      <c r="BE13" s="115"/>
      <c r="BF13" s="115"/>
      <c r="BG13" s="115"/>
      <c r="BH13" s="115"/>
      <c r="BI13" s="115"/>
      <c r="BJ13" s="115"/>
    </row>
    <row r="14" spans="1:63" s="119" customFormat="1" x14ac:dyDescent="0.2">
      <c r="A14" s="109"/>
      <c r="B14" s="120"/>
      <c r="C14" s="120"/>
      <c r="D14" s="120"/>
      <c r="E14" s="120"/>
      <c r="F14" s="121"/>
      <c r="G14" s="121"/>
      <c r="H14" s="122"/>
      <c r="I14" s="123"/>
      <c r="J14" s="123"/>
      <c r="K14" s="124"/>
      <c r="L14" s="125">
        <v>42370</v>
      </c>
      <c r="M14" s="125"/>
      <c r="N14" s="125"/>
      <c r="O14" s="125">
        <v>42735</v>
      </c>
      <c r="P14" s="126">
        <f>L14</f>
        <v>42370</v>
      </c>
      <c r="Q14" s="127"/>
      <c r="R14" s="127"/>
      <c r="S14" s="127">
        <f>O14</f>
        <v>42735</v>
      </c>
      <c r="T14" s="128"/>
      <c r="U14" s="129"/>
      <c r="V14" s="117"/>
      <c r="W14" s="115"/>
      <c r="X14" s="130">
        <v>42369</v>
      </c>
      <c r="Y14" s="131"/>
      <c r="Z14" s="131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115"/>
      <c r="AQ14" s="115"/>
      <c r="AR14" s="115"/>
      <c r="AS14" s="115"/>
      <c r="AT14" s="115"/>
      <c r="AU14" s="115"/>
      <c r="AV14" s="115"/>
      <c r="AW14" s="115"/>
      <c r="AX14" s="115"/>
      <c r="AY14" s="115"/>
      <c r="AZ14" s="115"/>
      <c r="BA14" s="115"/>
      <c r="BB14" s="115"/>
      <c r="BC14" s="115"/>
      <c r="BD14" s="115"/>
      <c r="BE14" s="115"/>
      <c r="BF14" s="115"/>
      <c r="BG14" s="115"/>
      <c r="BH14" s="115"/>
      <c r="BI14" s="115"/>
      <c r="BJ14" s="115"/>
    </row>
    <row r="15" spans="1:63" s="119" customFormat="1" ht="19.5" customHeight="1" x14ac:dyDescent="0.2">
      <c r="A15" s="132" t="s">
        <v>66</v>
      </c>
      <c r="B15" s="132" t="s">
        <v>67</v>
      </c>
      <c r="C15" s="132" t="s">
        <v>68</v>
      </c>
      <c r="D15" s="132" t="s">
        <v>69</v>
      </c>
      <c r="E15" s="132" t="s">
        <v>70</v>
      </c>
      <c r="F15" s="133" t="s">
        <v>71</v>
      </c>
      <c r="G15" s="133" t="s">
        <v>72</v>
      </c>
      <c r="H15" s="134" t="s">
        <v>73</v>
      </c>
      <c r="I15" s="133" t="s">
        <v>74</v>
      </c>
      <c r="J15" s="132" t="s">
        <v>75</v>
      </c>
      <c r="K15" s="135" t="s">
        <v>76</v>
      </c>
      <c r="L15" s="135" t="s">
        <v>77</v>
      </c>
      <c r="M15" s="135" t="s">
        <v>78</v>
      </c>
      <c r="N15" s="135" t="s">
        <v>79</v>
      </c>
      <c r="O15" s="135" t="s">
        <v>80</v>
      </c>
      <c r="P15" s="135" t="s">
        <v>81</v>
      </c>
      <c r="Q15" s="135" t="s">
        <v>82</v>
      </c>
      <c r="R15" s="135" t="s">
        <v>83</v>
      </c>
      <c r="S15" s="135" t="s">
        <v>84</v>
      </c>
      <c r="T15" s="135" t="s">
        <v>85</v>
      </c>
      <c r="U15" s="136" t="s">
        <v>86</v>
      </c>
      <c r="V15" s="117"/>
      <c r="W15" s="115"/>
      <c r="X15" s="118" t="s">
        <v>84</v>
      </c>
      <c r="Y15" s="137"/>
      <c r="Z15" s="137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115"/>
      <c r="AQ15" s="115"/>
      <c r="AR15" s="115"/>
      <c r="AS15" s="115"/>
      <c r="AT15" s="115"/>
      <c r="AU15" s="115"/>
      <c r="AV15" s="115"/>
      <c r="AW15" s="115"/>
      <c r="AX15" s="115"/>
      <c r="AY15" s="115"/>
      <c r="AZ15" s="115"/>
      <c r="BA15" s="115"/>
      <c r="BB15" s="115"/>
      <c r="BC15" s="115"/>
      <c r="BD15" s="115"/>
      <c r="BE15" s="115"/>
      <c r="BF15" s="115"/>
      <c r="BG15" s="115"/>
      <c r="BH15" s="115"/>
      <c r="BI15" s="115"/>
      <c r="BJ15" s="115"/>
    </row>
    <row r="16" spans="1:63" s="150" customFormat="1" x14ac:dyDescent="0.2">
      <c r="A16" s="138">
        <v>2015</v>
      </c>
      <c r="B16" s="106" t="s">
        <v>89</v>
      </c>
      <c r="C16" s="138"/>
      <c r="D16" s="139">
        <v>42036</v>
      </c>
      <c r="E16" s="106"/>
      <c r="F16" s="139">
        <f>D16</f>
        <v>42036</v>
      </c>
      <c r="G16" s="138"/>
      <c r="H16" s="140">
        <f t="shared" ref="H16:H17" si="11">+$D$2-F16</f>
        <v>333</v>
      </c>
      <c r="I16" s="138" t="s">
        <v>87</v>
      </c>
      <c r="J16" s="141">
        <v>0.25</v>
      </c>
      <c r="K16" s="142">
        <v>18000</v>
      </c>
      <c r="L16" s="142">
        <f t="shared" ref="L16:L17" si="12">K16</f>
        <v>18000</v>
      </c>
      <c r="M16" s="143">
        <v>0</v>
      </c>
      <c r="N16" s="143">
        <v>0</v>
      </c>
      <c r="O16" s="143">
        <f t="shared" ref="O16:O17" si="13">+L16+M16-N16</f>
        <v>18000</v>
      </c>
      <c r="P16" s="144">
        <f>X16</f>
        <v>4105.4794520547948</v>
      </c>
      <c r="Q16" s="145">
        <f>O16*J16/365*H16</f>
        <v>4105.4794520547948</v>
      </c>
      <c r="R16" s="146">
        <v>0</v>
      </c>
      <c r="S16" s="146">
        <f>+P16+Q16-R16</f>
        <v>8210.9589041095896</v>
      </c>
      <c r="T16" s="196">
        <f>+L16-P16</f>
        <v>13894.520547945205</v>
      </c>
      <c r="U16" s="146">
        <f t="shared" ref="U16:U17" si="14">+O16-S16</f>
        <v>9789.0410958904104</v>
      </c>
      <c r="V16" s="147"/>
      <c r="W16" s="148"/>
      <c r="X16" s="143">
        <v>4105.4794520547948</v>
      </c>
      <c r="Y16" s="149"/>
      <c r="Z16" s="148"/>
      <c r="AA16" s="14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  <c r="AW16" s="107"/>
      <c r="AX16" s="107"/>
      <c r="AY16" s="107"/>
      <c r="AZ16" s="107"/>
      <c r="BA16" s="107"/>
      <c r="BB16" s="107"/>
      <c r="BC16" s="107"/>
      <c r="BD16" s="107"/>
      <c r="BE16" s="107"/>
      <c r="BF16" s="107"/>
      <c r="BG16" s="107"/>
      <c r="BH16" s="107"/>
      <c r="BI16" s="107"/>
      <c r="BJ16" s="107"/>
    </row>
    <row r="17" spans="1:63" s="150" customFormat="1" x14ac:dyDescent="0.2">
      <c r="A17" s="138">
        <v>2015</v>
      </c>
      <c r="B17" s="106" t="s">
        <v>90</v>
      </c>
      <c r="C17" s="138"/>
      <c r="D17" s="139">
        <v>42036</v>
      </c>
      <c r="E17" s="106"/>
      <c r="F17" s="139">
        <f t="shared" ref="F17" si="15">D17</f>
        <v>42036</v>
      </c>
      <c r="G17" s="138"/>
      <c r="H17" s="140">
        <f t="shared" si="11"/>
        <v>333</v>
      </c>
      <c r="I17" s="151" t="s">
        <v>88</v>
      </c>
      <c r="J17" s="141">
        <v>0.25</v>
      </c>
      <c r="K17" s="142">
        <v>10000</v>
      </c>
      <c r="L17" s="142">
        <f t="shared" si="12"/>
        <v>10000</v>
      </c>
      <c r="M17" s="143">
        <v>0</v>
      </c>
      <c r="N17" s="143">
        <v>0</v>
      </c>
      <c r="O17" s="143">
        <f t="shared" si="13"/>
        <v>10000</v>
      </c>
      <c r="P17" s="144">
        <f t="shared" ref="P17" si="16">X17</f>
        <v>2280.821917808219</v>
      </c>
      <c r="Q17" s="145">
        <f t="shared" ref="Q17" si="17">O17*J17/365*H17</f>
        <v>2280.821917808219</v>
      </c>
      <c r="R17" s="146">
        <v>0</v>
      </c>
      <c r="S17" s="146">
        <f t="shared" ref="S17" si="18">+P17+Q17-R17</f>
        <v>4561.6438356164381</v>
      </c>
      <c r="T17" s="146">
        <f t="shared" ref="T17" si="19">+L17-P17</f>
        <v>7719.178082191781</v>
      </c>
      <c r="U17" s="146">
        <f t="shared" si="14"/>
        <v>5438.3561643835619</v>
      </c>
      <c r="V17" s="147"/>
      <c r="W17" s="148"/>
      <c r="X17" s="143">
        <v>2280.821917808219</v>
      </c>
      <c r="Y17" s="149"/>
      <c r="Z17" s="148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  <c r="AV17" s="107"/>
      <c r="AW17" s="107"/>
      <c r="AX17" s="107"/>
      <c r="AY17" s="107"/>
      <c r="AZ17" s="107"/>
      <c r="BA17" s="107"/>
      <c r="BB17" s="107"/>
      <c r="BC17" s="107"/>
      <c r="BD17" s="107"/>
      <c r="BE17" s="107"/>
      <c r="BF17" s="107"/>
      <c r="BG17" s="107"/>
      <c r="BH17" s="107"/>
      <c r="BI17" s="107"/>
      <c r="BJ17" s="107"/>
    </row>
    <row r="18" spans="1:63" s="166" customFormat="1" x14ac:dyDescent="0.2">
      <c r="A18" s="138"/>
      <c r="B18" s="106"/>
      <c r="C18" s="138"/>
      <c r="D18" s="139"/>
      <c r="E18" s="106"/>
      <c r="F18" s="139"/>
      <c r="G18" s="106"/>
      <c r="H18" s="140"/>
      <c r="I18" s="106"/>
      <c r="J18" s="141"/>
      <c r="K18" s="142"/>
      <c r="L18" s="161"/>
      <c r="M18" s="143"/>
      <c r="N18" s="143"/>
      <c r="O18" s="164"/>
      <c r="P18" s="144"/>
      <c r="Q18" s="145"/>
      <c r="R18" s="146"/>
      <c r="S18" s="146"/>
      <c r="T18" s="146"/>
      <c r="U18" s="146"/>
      <c r="V18" s="147"/>
      <c r="W18" s="148"/>
      <c r="X18" s="143"/>
      <c r="Y18" s="149"/>
      <c r="Z18" s="148"/>
      <c r="AA18" s="147"/>
      <c r="AB18" s="107"/>
      <c r="AC18" s="107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  <c r="AV18" s="107"/>
      <c r="AW18" s="107"/>
      <c r="AX18" s="107"/>
      <c r="AY18" s="107"/>
      <c r="AZ18" s="107"/>
      <c r="BA18" s="107"/>
      <c r="BB18" s="107"/>
      <c r="BC18" s="107"/>
      <c r="BD18" s="107"/>
      <c r="BE18" s="107"/>
      <c r="BF18" s="107"/>
      <c r="BG18" s="107"/>
      <c r="BH18" s="107"/>
      <c r="BI18" s="107"/>
      <c r="BJ18" s="107"/>
      <c r="BK18" s="165"/>
    </row>
    <row r="19" spans="1:63" s="152" customFormat="1" x14ac:dyDescent="0.2">
      <c r="B19" s="153"/>
      <c r="D19" s="167"/>
      <c r="E19" s="153"/>
      <c r="F19" s="167"/>
      <c r="G19" s="153"/>
      <c r="H19" s="154"/>
      <c r="I19" s="153"/>
      <c r="J19" s="155"/>
      <c r="K19" s="156">
        <f t="shared" ref="K19:U19" si="20">SUM(K16:K18)</f>
        <v>28000</v>
      </c>
      <c r="L19" s="156">
        <f t="shared" si="20"/>
        <v>28000</v>
      </c>
      <c r="M19" s="156">
        <f t="shared" si="20"/>
        <v>0</v>
      </c>
      <c r="N19" s="156">
        <f t="shared" si="20"/>
        <v>0</v>
      </c>
      <c r="O19" s="156">
        <f t="shared" si="20"/>
        <v>28000</v>
      </c>
      <c r="P19" s="156">
        <f t="shared" si="20"/>
        <v>6386.3013698630139</v>
      </c>
      <c r="Q19" s="156">
        <f t="shared" si="20"/>
        <v>6386.3013698630139</v>
      </c>
      <c r="R19" s="156">
        <f t="shared" si="20"/>
        <v>0</v>
      </c>
      <c r="S19" s="156">
        <f t="shared" si="20"/>
        <v>12772.602739726028</v>
      </c>
      <c r="T19" s="156">
        <f t="shared" si="20"/>
        <v>21613.698630136987</v>
      </c>
      <c r="U19" s="156">
        <f t="shared" si="20"/>
        <v>15227.397260273972</v>
      </c>
      <c r="V19" s="157"/>
      <c r="W19" s="158"/>
      <c r="X19" s="159"/>
      <c r="Y19" s="160"/>
      <c r="Z19" s="158"/>
      <c r="AA19" s="157"/>
      <c r="AB19" s="160"/>
      <c r="AC19" s="160"/>
      <c r="AD19" s="160"/>
      <c r="AE19" s="160"/>
      <c r="AF19" s="160"/>
      <c r="AG19" s="160"/>
      <c r="AH19" s="160"/>
      <c r="AI19" s="160"/>
      <c r="AJ19" s="160"/>
      <c r="AK19" s="160"/>
      <c r="AL19" s="160"/>
      <c r="AM19" s="160"/>
      <c r="AN19" s="160"/>
      <c r="AO19" s="160"/>
      <c r="AP19" s="160"/>
      <c r="AQ19" s="160"/>
      <c r="AR19" s="160"/>
      <c r="AS19" s="160"/>
      <c r="AT19" s="160"/>
      <c r="AU19" s="160"/>
      <c r="AV19" s="160"/>
      <c r="AW19" s="160"/>
      <c r="AX19" s="160"/>
      <c r="AY19" s="160"/>
      <c r="AZ19" s="160"/>
      <c r="BA19" s="160"/>
      <c r="BB19" s="160"/>
      <c r="BC19" s="160"/>
      <c r="BD19" s="160"/>
      <c r="BE19" s="160"/>
      <c r="BF19" s="160"/>
      <c r="BG19" s="160"/>
      <c r="BH19" s="160"/>
      <c r="BI19" s="160"/>
      <c r="BJ19" s="160"/>
      <c r="BK19" s="163"/>
    </row>
    <row r="20" spans="1:63" s="107" customFormat="1" x14ac:dyDescent="0.2">
      <c r="A20" s="168"/>
      <c r="B20" s="169"/>
      <c r="C20" s="168"/>
      <c r="D20" s="170"/>
      <c r="E20" s="169"/>
      <c r="F20" s="170"/>
      <c r="G20" s="169"/>
      <c r="H20" s="140"/>
      <c r="I20" s="106"/>
      <c r="J20" s="171"/>
      <c r="K20" s="172"/>
      <c r="L20" s="173"/>
      <c r="M20" s="174"/>
      <c r="N20" s="174"/>
      <c r="O20" s="164"/>
      <c r="P20" s="175"/>
      <c r="Q20" s="176"/>
      <c r="R20" s="177"/>
      <c r="S20" s="177"/>
      <c r="T20" s="177"/>
      <c r="U20" s="177"/>
      <c r="V20" s="147"/>
      <c r="W20" s="148"/>
      <c r="X20" s="143"/>
      <c r="Y20" s="178"/>
      <c r="Z20" s="148"/>
      <c r="AA20" s="147"/>
    </row>
    <row r="21" spans="1:63" s="186" customFormat="1" x14ac:dyDescent="0.2">
      <c r="A21" s="179"/>
      <c r="B21" s="179" t="s">
        <v>49</v>
      </c>
      <c r="C21" s="179"/>
      <c r="D21" s="179"/>
      <c r="E21" s="179"/>
      <c r="F21" s="179"/>
      <c r="G21" s="179"/>
      <c r="H21" s="180"/>
      <c r="I21" s="179"/>
      <c r="J21" s="179"/>
      <c r="K21" s="181">
        <f>K19</f>
        <v>28000</v>
      </c>
      <c r="L21" s="181">
        <f t="shared" ref="L21:U21" si="21">L19</f>
        <v>28000</v>
      </c>
      <c r="M21" s="181">
        <f t="shared" si="21"/>
        <v>0</v>
      </c>
      <c r="N21" s="181">
        <f t="shared" si="21"/>
        <v>0</v>
      </c>
      <c r="O21" s="181">
        <f t="shared" si="21"/>
        <v>28000</v>
      </c>
      <c r="P21" s="181">
        <f t="shared" si="21"/>
        <v>6386.3013698630139</v>
      </c>
      <c r="Q21" s="181">
        <f t="shared" si="21"/>
        <v>6386.3013698630139</v>
      </c>
      <c r="R21" s="181">
        <f t="shared" si="21"/>
        <v>0</v>
      </c>
      <c r="S21" s="181">
        <f t="shared" si="21"/>
        <v>12772.602739726028</v>
      </c>
      <c r="T21" s="181">
        <f t="shared" si="21"/>
        <v>21613.698630136987</v>
      </c>
      <c r="U21" s="181">
        <f t="shared" si="21"/>
        <v>15227.397260273972</v>
      </c>
      <c r="V21" s="182"/>
      <c r="W21" s="183"/>
      <c r="X21" s="184">
        <v>4834623.4951205477</v>
      </c>
      <c r="Y21" s="162"/>
      <c r="Z21" s="183"/>
      <c r="AA21" s="185"/>
      <c r="AB21" s="185"/>
      <c r="AC21" s="185"/>
      <c r="AD21" s="185"/>
      <c r="AE21" s="185"/>
      <c r="AF21" s="185"/>
      <c r="AG21" s="185"/>
      <c r="AH21" s="185"/>
      <c r="AI21" s="185"/>
      <c r="AJ21" s="185"/>
      <c r="AK21" s="185"/>
      <c r="AL21" s="185"/>
      <c r="AM21" s="185"/>
      <c r="AN21" s="185"/>
      <c r="AO21" s="185"/>
      <c r="AP21" s="185"/>
      <c r="AQ21" s="185"/>
      <c r="AR21" s="185"/>
      <c r="AS21" s="185"/>
      <c r="AT21" s="185"/>
      <c r="AU21" s="185"/>
      <c r="AV21" s="185"/>
      <c r="AW21" s="185"/>
      <c r="AX21" s="185"/>
      <c r="AY21" s="185"/>
      <c r="AZ21" s="185"/>
      <c r="BA21" s="185"/>
      <c r="BB21" s="185"/>
      <c r="BC21" s="185"/>
      <c r="BD21" s="185"/>
      <c r="BE21" s="185"/>
      <c r="BF21" s="185"/>
      <c r="BG21" s="185"/>
      <c r="BH21" s="185"/>
      <c r="BI21" s="185"/>
      <c r="BJ21" s="185"/>
    </row>
    <row r="22" spans="1:63" x14ac:dyDescent="0.2">
      <c r="T22" s="195"/>
    </row>
    <row r="23" spans="1:63" ht="13.5" thickBot="1" x14ac:dyDescent="0.25"/>
    <row r="24" spans="1:63" ht="13.5" thickBot="1" x14ac:dyDescent="0.25">
      <c r="A24" s="353" t="s">
        <v>93</v>
      </c>
      <c r="B24" s="354"/>
      <c r="C24" s="355"/>
    </row>
    <row r="25" spans="1:63" s="119" customFormat="1" ht="13.5" thickBot="1" x14ac:dyDescent="0.25">
      <c r="A25" s="109"/>
      <c r="B25" s="110" t="s">
        <v>62</v>
      </c>
      <c r="C25" s="110"/>
      <c r="D25" s="111">
        <v>43100</v>
      </c>
      <c r="E25" s="109"/>
      <c r="F25" s="112"/>
      <c r="G25" s="112"/>
      <c r="H25" s="113"/>
      <c r="I25" s="114"/>
      <c r="J25" s="115"/>
      <c r="K25" s="116"/>
      <c r="L25" s="347" t="s">
        <v>63</v>
      </c>
      <c r="M25" s="349"/>
      <c r="N25" s="349"/>
      <c r="O25" s="348"/>
      <c r="P25" s="350" t="s">
        <v>64</v>
      </c>
      <c r="Q25" s="351"/>
      <c r="R25" s="351"/>
      <c r="S25" s="352"/>
      <c r="T25" s="347" t="s">
        <v>65</v>
      </c>
      <c r="U25" s="348"/>
      <c r="V25" s="117"/>
      <c r="W25" s="115"/>
      <c r="X25" s="118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115"/>
      <c r="AQ25" s="115"/>
      <c r="AR25" s="115"/>
      <c r="AS25" s="115"/>
      <c r="AT25" s="115"/>
      <c r="AU25" s="115"/>
      <c r="AV25" s="115"/>
      <c r="AW25" s="115"/>
      <c r="AX25" s="115"/>
      <c r="AY25" s="115"/>
      <c r="AZ25" s="115"/>
      <c r="BA25" s="115"/>
      <c r="BB25" s="115"/>
      <c r="BC25" s="115"/>
      <c r="BD25" s="115"/>
      <c r="BE25" s="115"/>
      <c r="BF25" s="115"/>
      <c r="BG25" s="115"/>
      <c r="BH25" s="115"/>
      <c r="BI25" s="115"/>
      <c r="BJ25" s="115"/>
    </row>
    <row r="26" spans="1:63" s="119" customFormat="1" x14ac:dyDescent="0.2">
      <c r="A26" s="109"/>
      <c r="B26" s="120"/>
      <c r="C26" s="120"/>
      <c r="D26" s="120"/>
      <c r="E26" s="120"/>
      <c r="F26" s="121"/>
      <c r="G26" s="121"/>
      <c r="H26" s="122"/>
      <c r="I26" s="123"/>
      <c r="J26" s="123"/>
      <c r="K26" s="124"/>
      <c r="L26" s="125">
        <v>42736</v>
      </c>
      <c r="M26" s="125"/>
      <c r="N26" s="125"/>
      <c r="O26" s="125">
        <v>43100</v>
      </c>
      <c r="P26" s="126">
        <f>L26</f>
        <v>42736</v>
      </c>
      <c r="Q26" s="127"/>
      <c r="R26" s="127"/>
      <c r="S26" s="127">
        <f>O26</f>
        <v>43100</v>
      </c>
      <c r="T26" s="128"/>
      <c r="U26" s="129"/>
      <c r="V26" s="117"/>
      <c r="W26" s="115"/>
      <c r="X26" s="130">
        <v>42369</v>
      </c>
      <c r="Y26" s="131"/>
      <c r="Z26" s="131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115"/>
      <c r="AQ26" s="115"/>
      <c r="AR26" s="115"/>
      <c r="AS26" s="115"/>
      <c r="AT26" s="115"/>
      <c r="AU26" s="115"/>
      <c r="AV26" s="115"/>
      <c r="AW26" s="115"/>
      <c r="AX26" s="115"/>
      <c r="AY26" s="115"/>
      <c r="AZ26" s="115"/>
      <c r="BA26" s="115"/>
      <c r="BB26" s="115"/>
      <c r="BC26" s="115"/>
      <c r="BD26" s="115"/>
      <c r="BE26" s="115"/>
      <c r="BF26" s="115"/>
      <c r="BG26" s="115"/>
      <c r="BH26" s="115"/>
      <c r="BI26" s="115"/>
      <c r="BJ26" s="115"/>
    </row>
    <row r="27" spans="1:63" s="119" customFormat="1" ht="19.5" customHeight="1" x14ac:dyDescent="0.2">
      <c r="A27" s="132" t="s">
        <v>66</v>
      </c>
      <c r="B27" s="132" t="s">
        <v>67</v>
      </c>
      <c r="C27" s="132" t="s">
        <v>68</v>
      </c>
      <c r="D27" s="132" t="s">
        <v>69</v>
      </c>
      <c r="E27" s="132" t="s">
        <v>70</v>
      </c>
      <c r="F27" s="133" t="s">
        <v>71</v>
      </c>
      <c r="G27" s="133" t="s">
        <v>72</v>
      </c>
      <c r="H27" s="134" t="s">
        <v>73</v>
      </c>
      <c r="I27" s="133" t="s">
        <v>74</v>
      </c>
      <c r="J27" s="132" t="s">
        <v>75</v>
      </c>
      <c r="K27" s="135" t="s">
        <v>76</v>
      </c>
      <c r="L27" s="135" t="s">
        <v>77</v>
      </c>
      <c r="M27" s="135" t="s">
        <v>78</v>
      </c>
      <c r="N27" s="135" t="s">
        <v>79</v>
      </c>
      <c r="O27" s="135" t="s">
        <v>80</v>
      </c>
      <c r="P27" s="135" t="s">
        <v>81</v>
      </c>
      <c r="Q27" s="135" t="s">
        <v>82</v>
      </c>
      <c r="R27" s="135" t="s">
        <v>83</v>
      </c>
      <c r="S27" s="135" t="s">
        <v>84</v>
      </c>
      <c r="T27" s="135" t="s">
        <v>85</v>
      </c>
      <c r="U27" s="136" t="s">
        <v>86</v>
      </c>
      <c r="V27" s="117"/>
      <c r="W27" s="115"/>
      <c r="X27" s="118" t="s">
        <v>84</v>
      </c>
      <c r="Y27" s="137"/>
      <c r="Z27" s="137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5"/>
      <c r="AT27" s="115"/>
      <c r="AU27" s="115"/>
      <c r="AV27" s="115"/>
      <c r="AW27" s="115"/>
      <c r="AX27" s="115"/>
      <c r="AY27" s="115"/>
      <c r="AZ27" s="115"/>
      <c r="BA27" s="115"/>
      <c r="BB27" s="115"/>
      <c r="BC27" s="115"/>
      <c r="BD27" s="115"/>
      <c r="BE27" s="115"/>
      <c r="BF27" s="115"/>
      <c r="BG27" s="115"/>
      <c r="BH27" s="115"/>
      <c r="BI27" s="115"/>
      <c r="BJ27" s="115"/>
    </row>
    <row r="28" spans="1:63" s="150" customFormat="1" x14ac:dyDescent="0.2">
      <c r="A28" s="138">
        <v>2015</v>
      </c>
      <c r="B28" s="106" t="s">
        <v>89</v>
      </c>
      <c r="C28" s="138"/>
      <c r="D28" s="139">
        <v>42036</v>
      </c>
      <c r="E28" s="106"/>
      <c r="F28" s="139">
        <f>D28</f>
        <v>42036</v>
      </c>
      <c r="G28" s="138"/>
      <c r="H28" s="140">
        <f t="shared" ref="H28:H29" si="22">+$D$2-F28</f>
        <v>333</v>
      </c>
      <c r="I28" s="138" t="s">
        <v>87</v>
      </c>
      <c r="J28" s="141">
        <v>0.25</v>
      </c>
      <c r="K28" s="142">
        <v>18000</v>
      </c>
      <c r="L28" s="142">
        <f t="shared" ref="L28:L29" si="23">K28</f>
        <v>18000</v>
      </c>
      <c r="M28" s="143">
        <v>1500</v>
      </c>
      <c r="N28" s="143">
        <v>0</v>
      </c>
      <c r="O28" s="143">
        <f t="shared" ref="O28:O29" si="24">+L28+M28-N28</f>
        <v>19500</v>
      </c>
      <c r="P28" s="144">
        <f t="shared" ref="P28:P29" si="25">X28</f>
        <v>8210.9589041095896</v>
      </c>
      <c r="Q28" s="145">
        <f>O28*J28/365*H28</f>
        <v>4447.6027397260277</v>
      </c>
      <c r="R28" s="146">
        <v>0</v>
      </c>
      <c r="S28" s="146">
        <f t="shared" ref="S28:S29" si="26">+P28+Q28-R28</f>
        <v>12658.561643835617</v>
      </c>
      <c r="T28" s="146">
        <f t="shared" ref="T28:T29" si="27">+L28-P28</f>
        <v>9789.0410958904104</v>
      </c>
      <c r="U28" s="146">
        <f t="shared" ref="U28:U29" si="28">+O28-S28</f>
        <v>6841.4383561643826</v>
      </c>
      <c r="V28" s="147"/>
      <c r="W28" s="148"/>
      <c r="X28" s="143">
        <v>8210.9589041095896</v>
      </c>
      <c r="Y28" s="149"/>
      <c r="Z28" s="148"/>
      <c r="AA28" s="147"/>
      <c r="AB28" s="107"/>
      <c r="AC28" s="107"/>
      <c r="AD28" s="107"/>
      <c r="AE28" s="107"/>
      <c r="AF28" s="107"/>
      <c r="AG28" s="107"/>
      <c r="AH28" s="107"/>
      <c r="AI28" s="107"/>
      <c r="AJ28" s="107"/>
      <c r="AK28" s="107"/>
      <c r="AL28" s="107"/>
      <c r="AM28" s="107"/>
      <c r="AN28" s="107"/>
      <c r="AO28" s="107"/>
      <c r="AP28" s="107"/>
      <c r="AQ28" s="107"/>
      <c r="AR28" s="107"/>
      <c r="AS28" s="107"/>
      <c r="AT28" s="107"/>
      <c r="AU28" s="107"/>
      <c r="AV28" s="107"/>
      <c r="AW28" s="107"/>
      <c r="AX28" s="107"/>
      <c r="AY28" s="107"/>
      <c r="AZ28" s="107"/>
      <c r="BA28" s="107"/>
      <c r="BB28" s="107"/>
      <c r="BC28" s="107"/>
      <c r="BD28" s="107"/>
      <c r="BE28" s="107"/>
      <c r="BF28" s="107"/>
      <c r="BG28" s="107"/>
      <c r="BH28" s="107"/>
      <c r="BI28" s="107"/>
      <c r="BJ28" s="107"/>
    </row>
    <row r="29" spans="1:63" s="150" customFormat="1" x14ac:dyDescent="0.2">
      <c r="A29" s="138">
        <v>2015</v>
      </c>
      <c r="B29" s="106" t="s">
        <v>90</v>
      </c>
      <c r="C29" s="138"/>
      <c r="D29" s="139">
        <v>42036</v>
      </c>
      <c r="E29" s="106"/>
      <c r="F29" s="139">
        <f t="shared" ref="F29" si="29">D29</f>
        <v>42036</v>
      </c>
      <c r="G29" s="138"/>
      <c r="H29" s="140">
        <f t="shared" si="22"/>
        <v>333</v>
      </c>
      <c r="I29" s="151" t="s">
        <v>88</v>
      </c>
      <c r="J29" s="141">
        <v>0.25</v>
      </c>
      <c r="K29" s="142">
        <v>10000</v>
      </c>
      <c r="L29" s="142">
        <f t="shared" si="23"/>
        <v>10000</v>
      </c>
      <c r="M29" s="143">
        <v>0</v>
      </c>
      <c r="N29" s="143">
        <v>0</v>
      </c>
      <c r="O29" s="143">
        <f t="shared" si="24"/>
        <v>10000</v>
      </c>
      <c r="P29" s="144">
        <f t="shared" si="25"/>
        <v>4561.6438356164381</v>
      </c>
      <c r="Q29" s="145">
        <f t="shared" ref="Q29" si="30">O29*J29/365*H29</f>
        <v>2280.821917808219</v>
      </c>
      <c r="R29" s="146">
        <v>0</v>
      </c>
      <c r="S29" s="146">
        <f t="shared" si="26"/>
        <v>6842.4657534246571</v>
      </c>
      <c r="T29" s="146">
        <f t="shared" si="27"/>
        <v>5438.3561643835619</v>
      </c>
      <c r="U29" s="146">
        <f t="shared" si="28"/>
        <v>3157.5342465753429</v>
      </c>
      <c r="V29" s="147"/>
      <c r="W29" s="148"/>
      <c r="X29" s="143">
        <v>4561.6438356164381</v>
      </c>
      <c r="Y29" s="149"/>
      <c r="Z29" s="148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  <c r="AK29" s="107"/>
      <c r="AL29" s="107"/>
      <c r="AM29" s="107"/>
      <c r="AN29" s="107"/>
      <c r="AO29" s="107"/>
      <c r="AP29" s="107"/>
      <c r="AQ29" s="107"/>
      <c r="AR29" s="107"/>
      <c r="AS29" s="107"/>
      <c r="AT29" s="107"/>
      <c r="AU29" s="107"/>
      <c r="AV29" s="107"/>
      <c r="AW29" s="107"/>
      <c r="AX29" s="107"/>
      <c r="AY29" s="107"/>
      <c r="AZ29" s="107"/>
      <c r="BA29" s="107"/>
      <c r="BB29" s="107"/>
      <c r="BC29" s="107"/>
      <c r="BD29" s="107"/>
      <c r="BE29" s="107"/>
      <c r="BF29" s="107"/>
      <c r="BG29" s="107"/>
      <c r="BH29" s="107"/>
      <c r="BI29" s="107"/>
      <c r="BJ29" s="107"/>
    </row>
    <row r="30" spans="1:63" s="166" customFormat="1" x14ac:dyDescent="0.2">
      <c r="A30" s="138"/>
      <c r="B30" s="106"/>
      <c r="C30" s="138"/>
      <c r="D30" s="139"/>
      <c r="E30" s="106"/>
      <c r="F30" s="139"/>
      <c r="G30" s="106"/>
      <c r="H30" s="140"/>
      <c r="I30" s="106"/>
      <c r="J30" s="141"/>
      <c r="K30" s="142"/>
      <c r="L30" s="161"/>
      <c r="M30" s="143"/>
      <c r="N30" s="143"/>
      <c r="O30" s="164"/>
      <c r="P30" s="144"/>
      <c r="Q30" s="145"/>
      <c r="R30" s="146"/>
      <c r="S30" s="146"/>
      <c r="T30" s="146"/>
      <c r="U30" s="146"/>
      <c r="V30" s="147"/>
      <c r="W30" s="148"/>
      <c r="X30" s="143"/>
      <c r="Y30" s="149"/>
      <c r="Z30" s="148"/>
      <c r="AA30" s="147"/>
      <c r="AB30" s="107"/>
      <c r="AC30" s="107"/>
      <c r="AD30" s="107"/>
      <c r="AE30" s="107"/>
      <c r="AF30" s="107"/>
      <c r="AG30" s="107"/>
      <c r="AH30" s="107"/>
      <c r="AI30" s="107"/>
      <c r="AJ30" s="107"/>
      <c r="AK30" s="107"/>
      <c r="AL30" s="107"/>
      <c r="AM30" s="107"/>
      <c r="AN30" s="107"/>
      <c r="AO30" s="107"/>
      <c r="AP30" s="107"/>
      <c r="AQ30" s="107"/>
      <c r="AR30" s="107"/>
      <c r="AS30" s="107"/>
      <c r="AT30" s="107"/>
      <c r="AU30" s="107"/>
      <c r="AV30" s="107"/>
      <c r="AW30" s="107"/>
      <c r="AX30" s="107"/>
      <c r="AY30" s="107"/>
      <c r="AZ30" s="107"/>
      <c r="BA30" s="107"/>
      <c r="BB30" s="107"/>
      <c r="BC30" s="107"/>
      <c r="BD30" s="107"/>
      <c r="BE30" s="107"/>
      <c r="BF30" s="107"/>
      <c r="BG30" s="107"/>
      <c r="BH30" s="107"/>
      <c r="BI30" s="107"/>
      <c r="BJ30" s="107"/>
      <c r="BK30" s="165"/>
    </row>
    <row r="31" spans="1:63" s="152" customFormat="1" x14ac:dyDescent="0.2">
      <c r="B31" s="153"/>
      <c r="D31" s="167"/>
      <c r="E31" s="153"/>
      <c r="F31" s="167"/>
      <c r="G31" s="153"/>
      <c r="H31" s="154"/>
      <c r="I31" s="153"/>
      <c r="J31" s="155"/>
      <c r="K31" s="156">
        <f t="shared" ref="K31:U31" si="31">SUM(K28:K30)</f>
        <v>28000</v>
      </c>
      <c r="L31" s="156">
        <f t="shared" si="31"/>
        <v>28000</v>
      </c>
      <c r="M31" s="156">
        <f t="shared" si="31"/>
        <v>1500</v>
      </c>
      <c r="N31" s="156">
        <f t="shared" si="31"/>
        <v>0</v>
      </c>
      <c r="O31" s="156">
        <f t="shared" si="31"/>
        <v>29500</v>
      </c>
      <c r="P31" s="156">
        <f t="shared" si="31"/>
        <v>12772.602739726028</v>
      </c>
      <c r="Q31" s="156">
        <f t="shared" si="31"/>
        <v>6728.4246575342468</v>
      </c>
      <c r="R31" s="156">
        <f t="shared" si="31"/>
        <v>0</v>
      </c>
      <c r="S31" s="156">
        <f t="shared" si="31"/>
        <v>19501.027397260274</v>
      </c>
      <c r="T31" s="156">
        <f t="shared" si="31"/>
        <v>15227.397260273972</v>
      </c>
      <c r="U31" s="156">
        <f t="shared" si="31"/>
        <v>9998.9726027397264</v>
      </c>
      <c r="V31" s="157"/>
      <c r="W31" s="158"/>
      <c r="X31" s="159"/>
      <c r="Y31" s="160"/>
      <c r="Z31" s="158"/>
      <c r="AA31" s="157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60"/>
      <c r="AO31" s="160"/>
      <c r="AP31" s="160"/>
      <c r="AQ31" s="160"/>
      <c r="AR31" s="160"/>
      <c r="AS31" s="160"/>
      <c r="AT31" s="160"/>
      <c r="AU31" s="160"/>
      <c r="AV31" s="160"/>
      <c r="AW31" s="160"/>
      <c r="AX31" s="160"/>
      <c r="AY31" s="160"/>
      <c r="AZ31" s="160"/>
      <c r="BA31" s="160"/>
      <c r="BB31" s="160"/>
      <c r="BC31" s="160"/>
      <c r="BD31" s="160"/>
      <c r="BE31" s="160"/>
      <c r="BF31" s="160"/>
      <c r="BG31" s="160"/>
      <c r="BH31" s="160"/>
      <c r="BI31" s="160"/>
      <c r="BJ31" s="160"/>
      <c r="BK31" s="163"/>
    </row>
    <row r="32" spans="1:63" s="107" customFormat="1" x14ac:dyDescent="0.2">
      <c r="A32" s="168"/>
      <c r="B32" s="169"/>
      <c r="C32" s="168"/>
      <c r="D32" s="170"/>
      <c r="E32" s="169"/>
      <c r="F32" s="170"/>
      <c r="G32" s="169"/>
      <c r="H32" s="140"/>
      <c r="I32" s="106"/>
      <c r="J32" s="171"/>
      <c r="K32" s="172"/>
      <c r="L32" s="173"/>
      <c r="M32" s="174"/>
      <c r="N32" s="174"/>
      <c r="O32" s="164"/>
      <c r="P32" s="175"/>
      <c r="Q32" s="176"/>
      <c r="R32" s="177"/>
      <c r="S32" s="177"/>
      <c r="T32" s="177"/>
      <c r="U32" s="177"/>
      <c r="V32" s="147"/>
      <c r="W32" s="148"/>
      <c r="X32" s="143"/>
      <c r="Y32" s="178"/>
      <c r="Z32" s="148"/>
      <c r="AA32" s="147"/>
    </row>
    <row r="33" spans="1:63" s="186" customFormat="1" x14ac:dyDescent="0.2">
      <c r="A33" s="179"/>
      <c r="B33" s="179" t="s">
        <v>49</v>
      </c>
      <c r="C33" s="179"/>
      <c r="D33" s="179"/>
      <c r="E33" s="179"/>
      <c r="F33" s="179"/>
      <c r="G33" s="179"/>
      <c r="H33" s="180"/>
      <c r="I33" s="179"/>
      <c r="J33" s="179"/>
      <c r="K33" s="181">
        <f>K31</f>
        <v>28000</v>
      </c>
      <c r="L33" s="181">
        <f t="shared" ref="L33:U33" si="32">L31</f>
        <v>28000</v>
      </c>
      <c r="M33" s="181">
        <f t="shared" si="32"/>
        <v>1500</v>
      </c>
      <c r="N33" s="181">
        <f t="shared" si="32"/>
        <v>0</v>
      </c>
      <c r="O33" s="181">
        <f t="shared" si="32"/>
        <v>29500</v>
      </c>
      <c r="P33" s="181">
        <f t="shared" si="32"/>
        <v>12772.602739726028</v>
      </c>
      <c r="Q33" s="181">
        <f t="shared" si="32"/>
        <v>6728.4246575342468</v>
      </c>
      <c r="R33" s="181">
        <f t="shared" si="32"/>
        <v>0</v>
      </c>
      <c r="S33" s="181">
        <f t="shared" si="32"/>
        <v>19501.027397260274</v>
      </c>
      <c r="T33" s="181">
        <f t="shared" si="32"/>
        <v>15227.397260273972</v>
      </c>
      <c r="U33" s="181">
        <f t="shared" si="32"/>
        <v>9998.9726027397264</v>
      </c>
      <c r="V33" s="182"/>
      <c r="W33" s="183"/>
      <c r="X33" s="184">
        <v>4834623.4951205477</v>
      </c>
      <c r="Y33" s="162"/>
      <c r="Z33" s="183"/>
      <c r="AA33" s="185"/>
      <c r="AB33" s="185"/>
      <c r="AC33" s="185"/>
      <c r="AD33" s="185"/>
      <c r="AE33" s="185"/>
      <c r="AF33" s="185"/>
      <c r="AG33" s="185"/>
      <c r="AH33" s="185"/>
      <c r="AI33" s="185"/>
      <c r="AJ33" s="185"/>
      <c r="AK33" s="185"/>
      <c r="AL33" s="185"/>
      <c r="AM33" s="185"/>
      <c r="AN33" s="185"/>
      <c r="AO33" s="185"/>
      <c r="AP33" s="185"/>
      <c r="AQ33" s="185"/>
      <c r="AR33" s="185"/>
      <c r="AS33" s="185"/>
      <c r="AT33" s="185"/>
      <c r="AU33" s="185"/>
      <c r="AV33" s="185"/>
      <c r="AW33" s="185"/>
      <c r="AX33" s="185"/>
      <c r="AY33" s="185"/>
      <c r="AZ33" s="185"/>
      <c r="BA33" s="185"/>
      <c r="BB33" s="185"/>
      <c r="BC33" s="185"/>
      <c r="BD33" s="185"/>
      <c r="BE33" s="185"/>
      <c r="BF33" s="185"/>
      <c r="BG33" s="185"/>
      <c r="BH33" s="185"/>
      <c r="BI33" s="185"/>
      <c r="BJ33" s="185"/>
    </row>
    <row r="35" spans="1:63" ht="13.5" thickBot="1" x14ac:dyDescent="0.25"/>
    <row r="36" spans="1:63" ht="13.5" thickBot="1" x14ac:dyDescent="0.25">
      <c r="A36" s="353" t="s">
        <v>94</v>
      </c>
      <c r="B36" s="354"/>
      <c r="C36" s="355"/>
    </row>
    <row r="37" spans="1:63" s="119" customFormat="1" ht="13.5" thickBot="1" x14ac:dyDescent="0.25">
      <c r="A37" s="109"/>
      <c r="B37" s="110" t="s">
        <v>62</v>
      </c>
      <c r="C37" s="110"/>
      <c r="D37" s="111">
        <v>43465</v>
      </c>
      <c r="E37" s="109"/>
      <c r="F37" s="112"/>
      <c r="G37" s="112"/>
      <c r="H37" s="113"/>
      <c r="I37" s="114"/>
      <c r="J37" s="115"/>
      <c r="K37" s="116"/>
      <c r="L37" s="347" t="s">
        <v>63</v>
      </c>
      <c r="M37" s="349"/>
      <c r="N37" s="349"/>
      <c r="O37" s="348"/>
      <c r="P37" s="350" t="s">
        <v>64</v>
      </c>
      <c r="Q37" s="351"/>
      <c r="R37" s="351"/>
      <c r="S37" s="352"/>
      <c r="T37" s="347" t="s">
        <v>65</v>
      </c>
      <c r="U37" s="348"/>
      <c r="V37" s="117"/>
      <c r="W37" s="115"/>
      <c r="X37" s="118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5"/>
      <c r="AT37" s="115"/>
      <c r="AU37" s="115"/>
      <c r="AV37" s="115"/>
      <c r="AW37" s="115"/>
      <c r="AX37" s="115"/>
      <c r="AY37" s="115"/>
      <c r="AZ37" s="115"/>
      <c r="BA37" s="115"/>
      <c r="BB37" s="115"/>
      <c r="BC37" s="115"/>
      <c r="BD37" s="115"/>
      <c r="BE37" s="115"/>
      <c r="BF37" s="115"/>
      <c r="BG37" s="115"/>
      <c r="BH37" s="115"/>
      <c r="BI37" s="115"/>
      <c r="BJ37" s="115"/>
    </row>
    <row r="38" spans="1:63" s="119" customFormat="1" x14ac:dyDescent="0.2">
      <c r="A38" s="109"/>
      <c r="B38" s="120"/>
      <c r="C38" s="120"/>
      <c r="D38" s="120"/>
      <c r="E38" s="120"/>
      <c r="F38" s="121"/>
      <c r="G38" s="121"/>
      <c r="H38" s="122"/>
      <c r="I38" s="123"/>
      <c r="J38" s="123"/>
      <c r="K38" s="124"/>
      <c r="L38" s="125">
        <v>43101</v>
      </c>
      <c r="M38" s="125"/>
      <c r="N38" s="125"/>
      <c r="O38" s="125">
        <v>43465</v>
      </c>
      <c r="P38" s="126">
        <f>L38</f>
        <v>43101</v>
      </c>
      <c r="Q38" s="127"/>
      <c r="R38" s="127"/>
      <c r="S38" s="127">
        <f>O38</f>
        <v>43465</v>
      </c>
      <c r="T38" s="128"/>
      <c r="U38" s="129"/>
      <c r="V38" s="117"/>
      <c r="W38" s="115"/>
      <c r="X38" s="130">
        <v>43100</v>
      </c>
      <c r="Y38" s="131"/>
      <c r="Z38" s="131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5"/>
      <c r="AT38" s="115"/>
      <c r="AU38" s="115"/>
      <c r="AV38" s="115"/>
      <c r="AW38" s="115"/>
      <c r="AX38" s="115"/>
      <c r="AY38" s="115"/>
      <c r="AZ38" s="115"/>
      <c r="BA38" s="115"/>
      <c r="BB38" s="115"/>
      <c r="BC38" s="115"/>
      <c r="BD38" s="115"/>
      <c r="BE38" s="115"/>
      <c r="BF38" s="115"/>
      <c r="BG38" s="115"/>
      <c r="BH38" s="115"/>
      <c r="BI38" s="115"/>
      <c r="BJ38" s="115"/>
    </row>
    <row r="39" spans="1:63" s="119" customFormat="1" ht="19.5" customHeight="1" x14ac:dyDescent="0.2">
      <c r="A39" s="132" t="s">
        <v>66</v>
      </c>
      <c r="B39" s="132" t="s">
        <v>67</v>
      </c>
      <c r="C39" s="132" t="s">
        <v>68</v>
      </c>
      <c r="D39" s="132" t="s">
        <v>69</v>
      </c>
      <c r="E39" s="132" t="s">
        <v>70</v>
      </c>
      <c r="F39" s="133" t="s">
        <v>71</v>
      </c>
      <c r="G39" s="133" t="s">
        <v>72</v>
      </c>
      <c r="H39" s="134" t="s">
        <v>73</v>
      </c>
      <c r="I39" s="133" t="s">
        <v>74</v>
      </c>
      <c r="J39" s="132" t="s">
        <v>75</v>
      </c>
      <c r="K39" s="135" t="s">
        <v>76</v>
      </c>
      <c r="L39" s="135" t="s">
        <v>77</v>
      </c>
      <c r="M39" s="135" t="s">
        <v>78</v>
      </c>
      <c r="N39" s="135" t="s">
        <v>79</v>
      </c>
      <c r="O39" s="135" t="s">
        <v>80</v>
      </c>
      <c r="P39" s="135" t="s">
        <v>81</v>
      </c>
      <c r="Q39" s="135" t="s">
        <v>82</v>
      </c>
      <c r="R39" s="135" t="s">
        <v>83</v>
      </c>
      <c r="S39" s="135" t="s">
        <v>84</v>
      </c>
      <c r="T39" s="135" t="s">
        <v>85</v>
      </c>
      <c r="U39" s="136" t="s">
        <v>86</v>
      </c>
      <c r="V39" s="117"/>
      <c r="W39" s="115"/>
      <c r="X39" s="118" t="s">
        <v>84</v>
      </c>
      <c r="Y39" s="137"/>
      <c r="Z39" s="137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5"/>
      <c r="AT39" s="115"/>
      <c r="AU39" s="115"/>
      <c r="AV39" s="115"/>
      <c r="AW39" s="115"/>
      <c r="AX39" s="115"/>
      <c r="AY39" s="115"/>
      <c r="AZ39" s="115"/>
      <c r="BA39" s="115"/>
      <c r="BB39" s="115"/>
      <c r="BC39" s="115"/>
      <c r="BD39" s="115"/>
      <c r="BE39" s="115"/>
      <c r="BF39" s="115"/>
      <c r="BG39" s="115"/>
      <c r="BH39" s="115"/>
      <c r="BI39" s="115"/>
      <c r="BJ39" s="115"/>
    </row>
    <row r="40" spans="1:63" s="150" customFormat="1" x14ac:dyDescent="0.2">
      <c r="A40" s="138">
        <v>2015</v>
      </c>
      <c r="B40" s="106" t="s">
        <v>89</v>
      </c>
      <c r="C40" s="138"/>
      <c r="D40" s="139">
        <v>42036</v>
      </c>
      <c r="E40" s="106"/>
      <c r="F40" s="139">
        <f>D40</f>
        <v>42036</v>
      </c>
      <c r="G40" s="138"/>
      <c r="H40" s="140">
        <f t="shared" ref="H40:H41" si="33">+$D$2-F40</f>
        <v>333</v>
      </c>
      <c r="I40" s="138" t="s">
        <v>87</v>
      </c>
      <c r="J40" s="141">
        <v>0.25</v>
      </c>
      <c r="K40" s="142">
        <v>18000</v>
      </c>
      <c r="L40" s="142">
        <v>19500</v>
      </c>
      <c r="M40" s="143">
        <v>1500</v>
      </c>
      <c r="N40" s="143">
        <v>0</v>
      </c>
      <c r="O40" s="143">
        <f t="shared" ref="O40:O41" si="34">+L40+M40-N40</f>
        <v>21000</v>
      </c>
      <c r="P40" s="144">
        <f t="shared" ref="P40:P41" si="35">X40</f>
        <v>12658.561643835617</v>
      </c>
      <c r="Q40" s="145">
        <f>O40*J40/365*H40</f>
        <v>4789.7260273972606</v>
      </c>
      <c r="R40" s="146">
        <v>0</v>
      </c>
      <c r="S40" s="146">
        <f t="shared" ref="S40:S41" si="36">+P40+Q40-R40</f>
        <v>17448.28767123288</v>
      </c>
      <c r="T40" s="146">
        <f t="shared" ref="T40:T41" si="37">+L40-P40</f>
        <v>6841.4383561643826</v>
      </c>
      <c r="U40" s="146">
        <f t="shared" ref="U40:U41" si="38">+O40-S40</f>
        <v>3551.7123287671202</v>
      </c>
      <c r="V40" s="147"/>
      <c r="W40" s="148"/>
      <c r="X40" s="143">
        <v>12658.561643835617</v>
      </c>
      <c r="Y40" s="149"/>
      <c r="Z40" s="148"/>
      <c r="AA40" s="147"/>
      <c r="AB40" s="107"/>
      <c r="AC40" s="107"/>
      <c r="AD40" s="107"/>
      <c r="AE40" s="107"/>
      <c r="AF40" s="107"/>
      <c r="AG40" s="107"/>
      <c r="AH40" s="107"/>
      <c r="AI40" s="107"/>
      <c r="AJ40" s="107"/>
      <c r="AK40" s="107"/>
      <c r="AL40" s="107"/>
      <c r="AM40" s="107"/>
      <c r="AN40" s="107"/>
      <c r="AO40" s="107"/>
      <c r="AP40" s="107"/>
      <c r="AQ40" s="107"/>
      <c r="AR40" s="107"/>
      <c r="AS40" s="107"/>
      <c r="AT40" s="107"/>
      <c r="AU40" s="107"/>
      <c r="AV40" s="107"/>
      <c r="AW40" s="107"/>
      <c r="AX40" s="107"/>
      <c r="AY40" s="107"/>
      <c r="AZ40" s="107"/>
      <c r="BA40" s="107"/>
      <c r="BB40" s="107"/>
      <c r="BC40" s="107"/>
      <c r="BD40" s="107"/>
      <c r="BE40" s="107"/>
      <c r="BF40" s="107"/>
      <c r="BG40" s="107"/>
      <c r="BH40" s="107"/>
      <c r="BI40" s="107"/>
      <c r="BJ40" s="107"/>
    </row>
    <row r="41" spans="1:63" s="150" customFormat="1" x14ac:dyDescent="0.2">
      <c r="A41" s="138">
        <v>2015</v>
      </c>
      <c r="B41" s="106" t="s">
        <v>90</v>
      </c>
      <c r="C41" s="138"/>
      <c r="D41" s="139">
        <v>42036</v>
      </c>
      <c r="E41" s="106"/>
      <c r="F41" s="139">
        <f t="shared" ref="F41" si="39">D41</f>
        <v>42036</v>
      </c>
      <c r="G41" s="138"/>
      <c r="H41" s="140">
        <f t="shared" si="33"/>
        <v>333</v>
      </c>
      <c r="I41" s="151" t="s">
        <v>88</v>
      </c>
      <c r="J41" s="141">
        <v>0.25</v>
      </c>
      <c r="K41" s="142">
        <v>10000</v>
      </c>
      <c r="L41" s="142">
        <v>10000</v>
      </c>
      <c r="M41" s="143">
        <v>0</v>
      </c>
      <c r="N41" s="143">
        <v>0</v>
      </c>
      <c r="O41" s="143">
        <f t="shared" si="34"/>
        <v>10000</v>
      </c>
      <c r="P41" s="144">
        <f t="shared" si="35"/>
        <v>6842.4657534246571</v>
      </c>
      <c r="Q41" s="145">
        <f t="shared" ref="Q41" si="40">O41*J41/365*H41</f>
        <v>2280.821917808219</v>
      </c>
      <c r="R41" s="146">
        <v>0</v>
      </c>
      <c r="S41" s="146">
        <f t="shared" si="36"/>
        <v>9123.2876712328762</v>
      </c>
      <c r="T41" s="146">
        <f t="shared" si="37"/>
        <v>3157.5342465753429</v>
      </c>
      <c r="U41" s="146">
        <f t="shared" si="38"/>
        <v>876.71232876712384</v>
      </c>
      <c r="V41" s="147"/>
      <c r="W41" s="148"/>
      <c r="X41" s="143">
        <v>6842.4657534246571</v>
      </c>
      <c r="Y41" s="149"/>
      <c r="Z41" s="148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  <c r="AK41" s="107"/>
      <c r="AL41" s="107"/>
      <c r="AM41" s="107"/>
      <c r="AN41" s="107"/>
      <c r="AO41" s="107"/>
      <c r="AP41" s="107"/>
      <c r="AQ41" s="107"/>
      <c r="AR41" s="107"/>
      <c r="AS41" s="107"/>
      <c r="AT41" s="107"/>
      <c r="AU41" s="107"/>
      <c r="AV41" s="107"/>
      <c r="AW41" s="107"/>
      <c r="AX41" s="107"/>
      <c r="AY41" s="107"/>
      <c r="AZ41" s="107"/>
      <c r="BA41" s="107"/>
      <c r="BB41" s="107"/>
      <c r="BC41" s="107"/>
      <c r="BD41" s="107"/>
      <c r="BE41" s="107"/>
      <c r="BF41" s="107"/>
      <c r="BG41" s="107"/>
      <c r="BH41" s="107"/>
      <c r="BI41" s="107"/>
      <c r="BJ41" s="107"/>
    </row>
    <row r="42" spans="1:63" s="166" customFormat="1" x14ac:dyDescent="0.2">
      <c r="A42" s="138"/>
      <c r="B42" s="106"/>
      <c r="C42" s="138"/>
      <c r="D42" s="139"/>
      <c r="E42" s="106"/>
      <c r="F42" s="139"/>
      <c r="G42" s="106"/>
      <c r="H42" s="140"/>
      <c r="I42" s="106"/>
      <c r="J42" s="141"/>
      <c r="K42" s="142"/>
      <c r="L42" s="161"/>
      <c r="M42" s="143"/>
      <c r="N42" s="143"/>
      <c r="O42" s="164"/>
      <c r="P42" s="144"/>
      <c r="Q42" s="145"/>
      <c r="R42" s="146"/>
      <c r="S42" s="146"/>
      <c r="T42" s="146"/>
      <c r="U42" s="146"/>
      <c r="V42" s="147"/>
      <c r="W42" s="148"/>
      <c r="X42" s="143"/>
      <c r="Y42" s="149"/>
      <c r="Z42" s="148"/>
      <c r="AA42" s="147"/>
      <c r="AB42" s="107"/>
      <c r="AC42" s="107"/>
      <c r="AD42" s="107"/>
      <c r="AE42" s="107"/>
      <c r="AF42" s="107"/>
      <c r="AG42" s="107"/>
      <c r="AH42" s="107"/>
      <c r="AI42" s="107"/>
      <c r="AJ42" s="107"/>
      <c r="AK42" s="107"/>
      <c r="AL42" s="107"/>
      <c r="AM42" s="107"/>
      <c r="AN42" s="107"/>
      <c r="AO42" s="107"/>
      <c r="AP42" s="107"/>
      <c r="AQ42" s="107"/>
      <c r="AR42" s="107"/>
      <c r="AS42" s="107"/>
      <c r="AT42" s="107"/>
      <c r="AU42" s="107"/>
      <c r="AV42" s="107"/>
      <c r="AW42" s="107"/>
      <c r="AX42" s="107"/>
      <c r="AY42" s="107"/>
      <c r="AZ42" s="107"/>
      <c r="BA42" s="107"/>
      <c r="BB42" s="107"/>
      <c r="BC42" s="107"/>
      <c r="BD42" s="107"/>
      <c r="BE42" s="107"/>
      <c r="BF42" s="107"/>
      <c r="BG42" s="107"/>
      <c r="BH42" s="107"/>
      <c r="BI42" s="107"/>
      <c r="BJ42" s="107"/>
      <c r="BK42" s="165"/>
    </row>
    <row r="43" spans="1:63" s="152" customFormat="1" x14ac:dyDescent="0.2">
      <c r="B43" s="153"/>
      <c r="D43" s="167"/>
      <c r="E43" s="153"/>
      <c r="F43" s="167"/>
      <c r="G43" s="153"/>
      <c r="H43" s="154"/>
      <c r="I43" s="153"/>
      <c r="J43" s="155"/>
      <c r="K43" s="156">
        <f t="shared" ref="K43:U43" si="41">SUM(K40:K42)</f>
        <v>28000</v>
      </c>
      <c r="L43" s="156">
        <f t="shared" si="41"/>
        <v>29500</v>
      </c>
      <c r="M43" s="156">
        <f t="shared" si="41"/>
        <v>1500</v>
      </c>
      <c r="N43" s="156">
        <f t="shared" si="41"/>
        <v>0</v>
      </c>
      <c r="O43" s="156">
        <f t="shared" si="41"/>
        <v>31000</v>
      </c>
      <c r="P43" s="156">
        <f t="shared" si="41"/>
        <v>19501.027397260274</v>
      </c>
      <c r="Q43" s="156">
        <f t="shared" si="41"/>
        <v>7070.5479452054797</v>
      </c>
      <c r="R43" s="156">
        <f t="shared" si="41"/>
        <v>0</v>
      </c>
      <c r="S43" s="156">
        <f t="shared" si="41"/>
        <v>26571.575342465756</v>
      </c>
      <c r="T43" s="156">
        <f t="shared" si="41"/>
        <v>9998.9726027397264</v>
      </c>
      <c r="U43" s="156">
        <f t="shared" si="41"/>
        <v>4428.424657534244</v>
      </c>
      <c r="V43" s="157"/>
      <c r="W43" s="158"/>
      <c r="X43" s="159"/>
      <c r="Y43" s="160"/>
      <c r="Z43" s="158"/>
      <c r="AA43" s="157"/>
      <c r="AB43" s="160"/>
      <c r="AC43" s="160"/>
      <c r="AD43" s="160"/>
      <c r="AE43" s="160"/>
      <c r="AF43" s="160"/>
      <c r="AG43" s="160"/>
      <c r="AH43" s="160"/>
      <c r="AI43" s="160"/>
      <c r="AJ43" s="160"/>
      <c r="AK43" s="160"/>
      <c r="AL43" s="160"/>
      <c r="AM43" s="160"/>
      <c r="AN43" s="160"/>
      <c r="AO43" s="160"/>
      <c r="AP43" s="160"/>
      <c r="AQ43" s="160"/>
      <c r="AR43" s="160"/>
      <c r="AS43" s="160"/>
      <c r="AT43" s="160"/>
      <c r="AU43" s="160"/>
      <c r="AV43" s="160"/>
      <c r="AW43" s="160"/>
      <c r="AX43" s="160"/>
      <c r="AY43" s="160"/>
      <c r="AZ43" s="160"/>
      <c r="BA43" s="160"/>
      <c r="BB43" s="160"/>
      <c r="BC43" s="160"/>
      <c r="BD43" s="160"/>
      <c r="BE43" s="160"/>
      <c r="BF43" s="160"/>
      <c r="BG43" s="160"/>
      <c r="BH43" s="160"/>
      <c r="BI43" s="160"/>
      <c r="BJ43" s="160"/>
      <c r="BK43" s="163"/>
    </row>
    <row r="44" spans="1:63" s="107" customFormat="1" x14ac:dyDescent="0.2">
      <c r="A44" s="168"/>
      <c r="B44" s="169"/>
      <c r="C44" s="168"/>
      <c r="D44" s="170"/>
      <c r="E44" s="169"/>
      <c r="F44" s="170"/>
      <c r="G44" s="169"/>
      <c r="H44" s="140"/>
      <c r="I44" s="106"/>
      <c r="J44" s="171"/>
      <c r="K44" s="172"/>
      <c r="L44" s="173"/>
      <c r="M44" s="174"/>
      <c r="N44" s="174"/>
      <c r="O44" s="164"/>
      <c r="P44" s="175"/>
      <c r="Q44" s="176"/>
      <c r="R44" s="177"/>
      <c r="S44" s="177"/>
      <c r="T44" s="177"/>
      <c r="U44" s="177"/>
      <c r="V44" s="147"/>
      <c r="W44" s="148"/>
      <c r="X44" s="143"/>
      <c r="Y44" s="178"/>
      <c r="Z44" s="148"/>
      <c r="AA44" s="147"/>
    </row>
    <row r="45" spans="1:63" s="186" customFormat="1" x14ac:dyDescent="0.2">
      <c r="A45" s="179"/>
      <c r="B45" s="179" t="s">
        <v>49</v>
      </c>
      <c r="C45" s="179"/>
      <c r="D45" s="179"/>
      <c r="E45" s="179"/>
      <c r="F45" s="179"/>
      <c r="G45" s="179"/>
      <c r="H45" s="180"/>
      <c r="I45" s="179"/>
      <c r="J45" s="179"/>
      <c r="K45" s="181">
        <f>K43</f>
        <v>28000</v>
      </c>
      <c r="L45" s="181">
        <f t="shared" ref="L45:U45" si="42">L43</f>
        <v>29500</v>
      </c>
      <c r="M45" s="181">
        <f t="shared" si="42"/>
        <v>1500</v>
      </c>
      <c r="N45" s="181">
        <f t="shared" si="42"/>
        <v>0</v>
      </c>
      <c r="O45" s="181">
        <f t="shared" si="42"/>
        <v>31000</v>
      </c>
      <c r="P45" s="181">
        <f t="shared" si="42"/>
        <v>19501.027397260274</v>
      </c>
      <c r="Q45" s="181">
        <f t="shared" si="42"/>
        <v>7070.5479452054797</v>
      </c>
      <c r="R45" s="181">
        <f t="shared" si="42"/>
        <v>0</v>
      </c>
      <c r="S45" s="181">
        <f t="shared" si="42"/>
        <v>26571.575342465756</v>
      </c>
      <c r="T45" s="181">
        <f t="shared" si="42"/>
        <v>9998.9726027397264</v>
      </c>
      <c r="U45" s="181">
        <f t="shared" si="42"/>
        <v>4428.424657534244</v>
      </c>
      <c r="V45" s="182"/>
      <c r="W45" s="183"/>
      <c r="X45" s="184">
        <v>4834623.4951205477</v>
      </c>
      <c r="Y45" s="162"/>
      <c r="Z45" s="183"/>
      <c r="AA45" s="185"/>
      <c r="AB45" s="185"/>
      <c r="AC45" s="185"/>
      <c r="AD45" s="185"/>
      <c r="AE45" s="185"/>
      <c r="AF45" s="185"/>
      <c r="AG45" s="185"/>
      <c r="AH45" s="185"/>
      <c r="AI45" s="185"/>
      <c r="AJ45" s="185"/>
      <c r="AK45" s="185"/>
      <c r="AL45" s="185"/>
      <c r="AM45" s="185"/>
      <c r="AN45" s="185"/>
      <c r="AO45" s="185"/>
      <c r="AP45" s="185"/>
      <c r="AQ45" s="185"/>
      <c r="AR45" s="185"/>
      <c r="AS45" s="185"/>
      <c r="AT45" s="185"/>
      <c r="AU45" s="185"/>
      <c r="AV45" s="185"/>
      <c r="AW45" s="185"/>
      <c r="AX45" s="185"/>
      <c r="AY45" s="185"/>
      <c r="AZ45" s="185"/>
      <c r="BA45" s="185"/>
      <c r="BB45" s="185"/>
      <c r="BC45" s="185"/>
      <c r="BD45" s="185"/>
      <c r="BE45" s="185"/>
      <c r="BF45" s="185"/>
      <c r="BG45" s="185"/>
      <c r="BH45" s="185"/>
      <c r="BI45" s="185"/>
      <c r="BJ45" s="185"/>
    </row>
    <row r="47" spans="1:63" ht="13.5" thickBot="1" x14ac:dyDescent="0.25"/>
    <row r="48" spans="1:63" ht="13.5" thickBot="1" x14ac:dyDescent="0.25">
      <c r="A48" s="353" t="s">
        <v>95</v>
      </c>
      <c r="B48" s="354"/>
      <c r="C48" s="355"/>
    </row>
    <row r="49" spans="1:63" s="119" customFormat="1" ht="13.5" thickBot="1" x14ac:dyDescent="0.25">
      <c r="A49" s="109"/>
      <c r="B49" s="110" t="s">
        <v>62</v>
      </c>
      <c r="C49" s="110"/>
      <c r="D49" s="111">
        <v>43830</v>
      </c>
      <c r="E49" s="109"/>
      <c r="F49" s="112"/>
      <c r="G49" s="112"/>
      <c r="H49" s="113"/>
      <c r="I49" s="114"/>
      <c r="J49" s="115"/>
      <c r="K49" s="116"/>
      <c r="L49" s="347" t="s">
        <v>63</v>
      </c>
      <c r="M49" s="349"/>
      <c r="N49" s="349"/>
      <c r="O49" s="348"/>
      <c r="P49" s="350" t="s">
        <v>64</v>
      </c>
      <c r="Q49" s="351"/>
      <c r="R49" s="351"/>
      <c r="S49" s="352"/>
      <c r="T49" s="347" t="s">
        <v>65</v>
      </c>
      <c r="U49" s="348"/>
      <c r="V49" s="117"/>
      <c r="W49" s="115"/>
      <c r="X49" s="118"/>
      <c r="Y49" s="115"/>
      <c r="Z49" s="115"/>
      <c r="AA49" s="115"/>
      <c r="AB49" s="115"/>
      <c r="AC49" s="115"/>
      <c r="AD49" s="115"/>
      <c r="AE49" s="115"/>
      <c r="AF49" s="115"/>
      <c r="AG49" s="115"/>
      <c r="AH49" s="115"/>
      <c r="AI49" s="115"/>
      <c r="AJ49" s="115"/>
      <c r="AK49" s="115"/>
      <c r="AL49" s="115"/>
      <c r="AM49" s="115"/>
      <c r="AN49" s="115"/>
      <c r="AO49" s="115"/>
      <c r="AP49" s="115"/>
      <c r="AQ49" s="115"/>
      <c r="AR49" s="115"/>
      <c r="AS49" s="115"/>
      <c r="AT49" s="115"/>
      <c r="AU49" s="115"/>
      <c r="AV49" s="115"/>
      <c r="AW49" s="115"/>
      <c r="AX49" s="115"/>
      <c r="AY49" s="115"/>
      <c r="AZ49" s="115"/>
      <c r="BA49" s="115"/>
      <c r="BB49" s="115"/>
      <c r="BC49" s="115"/>
      <c r="BD49" s="115"/>
      <c r="BE49" s="115"/>
      <c r="BF49" s="115"/>
      <c r="BG49" s="115"/>
      <c r="BH49" s="115"/>
      <c r="BI49" s="115"/>
      <c r="BJ49" s="115"/>
    </row>
    <row r="50" spans="1:63" s="119" customFormat="1" x14ac:dyDescent="0.2">
      <c r="A50" s="109"/>
      <c r="B50" s="120"/>
      <c r="C50" s="120"/>
      <c r="D50" s="120"/>
      <c r="E50" s="120"/>
      <c r="F50" s="121"/>
      <c r="G50" s="121"/>
      <c r="H50" s="122"/>
      <c r="I50" s="123"/>
      <c r="J50" s="123"/>
      <c r="K50" s="124"/>
      <c r="L50" s="125">
        <v>43466</v>
      </c>
      <c r="M50" s="125"/>
      <c r="N50" s="125"/>
      <c r="O50" s="125">
        <v>43830</v>
      </c>
      <c r="P50" s="126">
        <f>L50</f>
        <v>43466</v>
      </c>
      <c r="Q50" s="127"/>
      <c r="R50" s="127"/>
      <c r="S50" s="127">
        <f>O50</f>
        <v>43830</v>
      </c>
      <c r="T50" s="128"/>
      <c r="U50" s="129"/>
      <c r="V50" s="117"/>
      <c r="W50" s="115"/>
      <c r="X50" s="130">
        <v>43465</v>
      </c>
      <c r="Y50" s="131"/>
      <c r="Z50" s="131"/>
      <c r="AA50" s="115"/>
      <c r="AB50" s="115"/>
      <c r="AC50" s="115"/>
      <c r="AD50" s="115"/>
      <c r="AE50" s="115"/>
      <c r="AF50" s="115"/>
      <c r="AG50" s="115"/>
      <c r="AH50" s="115"/>
      <c r="AI50" s="115"/>
      <c r="AJ50" s="115"/>
      <c r="AK50" s="115"/>
      <c r="AL50" s="115"/>
      <c r="AM50" s="115"/>
      <c r="AN50" s="115"/>
      <c r="AO50" s="115"/>
      <c r="AP50" s="115"/>
      <c r="AQ50" s="115"/>
      <c r="AR50" s="115"/>
      <c r="AS50" s="115"/>
      <c r="AT50" s="115"/>
      <c r="AU50" s="115"/>
      <c r="AV50" s="115"/>
      <c r="AW50" s="115"/>
      <c r="AX50" s="115"/>
      <c r="AY50" s="115"/>
      <c r="AZ50" s="115"/>
      <c r="BA50" s="115"/>
      <c r="BB50" s="115"/>
      <c r="BC50" s="115"/>
      <c r="BD50" s="115"/>
      <c r="BE50" s="115"/>
      <c r="BF50" s="115"/>
      <c r="BG50" s="115"/>
      <c r="BH50" s="115"/>
      <c r="BI50" s="115"/>
      <c r="BJ50" s="115"/>
    </row>
    <row r="51" spans="1:63" s="119" customFormat="1" ht="19.5" customHeight="1" x14ac:dyDescent="0.2">
      <c r="A51" s="132" t="s">
        <v>66</v>
      </c>
      <c r="B51" s="132" t="s">
        <v>67</v>
      </c>
      <c r="C51" s="132" t="s">
        <v>68</v>
      </c>
      <c r="D51" s="132" t="s">
        <v>69</v>
      </c>
      <c r="E51" s="132" t="s">
        <v>70</v>
      </c>
      <c r="F51" s="133" t="s">
        <v>71</v>
      </c>
      <c r="G51" s="133" t="s">
        <v>72</v>
      </c>
      <c r="H51" s="134" t="s">
        <v>73</v>
      </c>
      <c r="I51" s="133" t="s">
        <v>74</v>
      </c>
      <c r="J51" s="132" t="s">
        <v>75</v>
      </c>
      <c r="K51" s="135" t="s">
        <v>76</v>
      </c>
      <c r="L51" s="135" t="s">
        <v>77</v>
      </c>
      <c r="M51" s="135" t="s">
        <v>78</v>
      </c>
      <c r="N51" s="135" t="s">
        <v>79</v>
      </c>
      <c r="O51" s="135" t="s">
        <v>80</v>
      </c>
      <c r="P51" s="135" t="s">
        <v>81</v>
      </c>
      <c r="Q51" s="135" t="s">
        <v>82</v>
      </c>
      <c r="R51" s="135" t="s">
        <v>83</v>
      </c>
      <c r="S51" s="135" t="s">
        <v>84</v>
      </c>
      <c r="T51" s="135" t="s">
        <v>85</v>
      </c>
      <c r="U51" s="136" t="s">
        <v>86</v>
      </c>
      <c r="V51" s="117"/>
      <c r="W51" s="115"/>
      <c r="X51" s="118" t="s">
        <v>84</v>
      </c>
      <c r="Y51" s="137"/>
      <c r="Z51" s="137"/>
      <c r="AA51" s="115"/>
      <c r="AB51" s="115"/>
      <c r="AC51" s="115"/>
      <c r="AD51" s="115"/>
      <c r="AE51" s="115"/>
      <c r="AF51" s="115"/>
      <c r="AG51" s="115"/>
      <c r="AH51" s="115"/>
      <c r="AI51" s="115"/>
      <c r="AJ51" s="115"/>
      <c r="AK51" s="115"/>
      <c r="AL51" s="115"/>
      <c r="AM51" s="115"/>
      <c r="AN51" s="115"/>
      <c r="AO51" s="115"/>
      <c r="AP51" s="115"/>
      <c r="AQ51" s="115"/>
      <c r="AR51" s="115"/>
      <c r="AS51" s="115"/>
      <c r="AT51" s="115"/>
      <c r="AU51" s="115"/>
      <c r="AV51" s="115"/>
      <c r="AW51" s="115"/>
      <c r="AX51" s="115"/>
      <c r="AY51" s="115"/>
      <c r="AZ51" s="115"/>
      <c r="BA51" s="115"/>
      <c r="BB51" s="115"/>
      <c r="BC51" s="115"/>
      <c r="BD51" s="115"/>
      <c r="BE51" s="115"/>
      <c r="BF51" s="115"/>
      <c r="BG51" s="115"/>
      <c r="BH51" s="115"/>
      <c r="BI51" s="115"/>
      <c r="BJ51" s="115"/>
    </row>
    <row r="52" spans="1:63" s="150" customFormat="1" x14ac:dyDescent="0.2">
      <c r="A52" s="138">
        <v>2015</v>
      </c>
      <c r="B52" s="106" t="s">
        <v>89</v>
      </c>
      <c r="C52" s="138"/>
      <c r="D52" s="139">
        <v>42036</v>
      </c>
      <c r="E52" s="106"/>
      <c r="F52" s="139">
        <f>D52</f>
        <v>42036</v>
      </c>
      <c r="G52" s="138"/>
      <c r="H52" s="140">
        <f t="shared" ref="H52:H53" si="43">+$D$2-F52</f>
        <v>333</v>
      </c>
      <c r="I52" s="138" t="s">
        <v>87</v>
      </c>
      <c r="J52" s="141">
        <v>0.25</v>
      </c>
      <c r="K52" s="142">
        <v>18000</v>
      </c>
      <c r="L52" s="142">
        <v>21000</v>
      </c>
      <c r="M52" s="143">
        <v>1500</v>
      </c>
      <c r="N52" s="143">
        <v>0</v>
      </c>
      <c r="O52" s="143">
        <f t="shared" ref="O52:O53" si="44">+L52+M52-N52</f>
        <v>22500</v>
      </c>
      <c r="P52" s="144">
        <f t="shared" ref="P52:P53" si="45">X52</f>
        <v>17106.164383561645</v>
      </c>
      <c r="Q52" s="145">
        <v>2394</v>
      </c>
      <c r="R52" s="146">
        <v>0</v>
      </c>
      <c r="S52" s="146">
        <v>22500</v>
      </c>
      <c r="T52" s="146">
        <f t="shared" ref="T52:T53" si="46">+L52-P52</f>
        <v>3893.8356164383549</v>
      </c>
      <c r="U52" s="146">
        <f t="shared" ref="U52:U53" si="47">+O52-S52</f>
        <v>0</v>
      </c>
      <c r="V52" s="147"/>
      <c r="W52" s="148"/>
      <c r="X52" s="143">
        <v>17106.164383561645</v>
      </c>
      <c r="Y52" s="149"/>
      <c r="Z52" s="148"/>
      <c r="AA52" s="147"/>
      <c r="AB52" s="107"/>
      <c r="AC52" s="107"/>
      <c r="AD52" s="107"/>
      <c r="AE52" s="107"/>
      <c r="AF52" s="107"/>
      <c r="AG52" s="107"/>
      <c r="AH52" s="107"/>
      <c r="AI52" s="107"/>
      <c r="AJ52" s="107"/>
      <c r="AK52" s="107"/>
      <c r="AL52" s="107"/>
      <c r="AM52" s="107"/>
      <c r="AN52" s="107"/>
      <c r="AO52" s="107"/>
      <c r="AP52" s="107"/>
      <c r="AQ52" s="107"/>
      <c r="AR52" s="107"/>
      <c r="AS52" s="107"/>
      <c r="AT52" s="107"/>
      <c r="AU52" s="107"/>
      <c r="AV52" s="107"/>
      <c r="AW52" s="107"/>
      <c r="AX52" s="107"/>
      <c r="AY52" s="107"/>
      <c r="AZ52" s="107"/>
      <c r="BA52" s="107"/>
      <c r="BB52" s="107"/>
      <c r="BC52" s="107"/>
      <c r="BD52" s="107"/>
      <c r="BE52" s="107"/>
      <c r="BF52" s="107"/>
      <c r="BG52" s="107"/>
      <c r="BH52" s="107"/>
      <c r="BI52" s="107"/>
      <c r="BJ52" s="107"/>
    </row>
    <row r="53" spans="1:63" s="150" customFormat="1" x14ac:dyDescent="0.2">
      <c r="A53" s="138">
        <v>2015</v>
      </c>
      <c r="B53" s="106" t="s">
        <v>90</v>
      </c>
      <c r="C53" s="138"/>
      <c r="D53" s="139">
        <v>42036</v>
      </c>
      <c r="E53" s="106"/>
      <c r="F53" s="139">
        <f t="shared" ref="F53" si="48">D53</f>
        <v>42036</v>
      </c>
      <c r="G53" s="138"/>
      <c r="H53" s="140">
        <f t="shared" si="43"/>
        <v>333</v>
      </c>
      <c r="I53" s="151" t="s">
        <v>88</v>
      </c>
      <c r="J53" s="141">
        <v>0.25</v>
      </c>
      <c r="K53" s="142">
        <v>10000</v>
      </c>
      <c r="L53" s="142">
        <v>10000</v>
      </c>
      <c r="M53" s="143">
        <v>0</v>
      </c>
      <c r="N53" s="143">
        <v>0</v>
      </c>
      <c r="O53" s="143">
        <f t="shared" si="44"/>
        <v>10000</v>
      </c>
      <c r="P53" s="144">
        <f t="shared" si="45"/>
        <v>9123.2876712328762</v>
      </c>
      <c r="Q53" s="145">
        <v>877</v>
      </c>
      <c r="R53" s="146">
        <v>0</v>
      </c>
      <c r="S53" s="146">
        <f t="shared" ref="S53" si="49">+P53+Q53-R53</f>
        <v>10000.287671232876</v>
      </c>
      <c r="T53" s="146">
        <f t="shared" si="46"/>
        <v>876.71232876712384</v>
      </c>
      <c r="U53" s="146">
        <f t="shared" si="47"/>
        <v>-0.28767123287616414</v>
      </c>
      <c r="V53" s="147"/>
      <c r="W53" s="148"/>
      <c r="X53" s="143">
        <v>9123.2876712328762</v>
      </c>
      <c r="Y53" s="149"/>
      <c r="Z53" s="148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  <c r="AK53" s="107"/>
      <c r="AL53" s="107"/>
      <c r="AM53" s="107"/>
      <c r="AN53" s="107"/>
      <c r="AO53" s="107"/>
      <c r="AP53" s="107"/>
      <c r="AQ53" s="107"/>
      <c r="AR53" s="107"/>
      <c r="AS53" s="107"/>
      <c r="AT53" s="107"/>
      <c r="AU53" s="107"/>
      <c r="AV53" s="107"/>
      <c r="AW53" s="107"/>
      <c r="AX53" s="107"/>
      <c r="AY53" s="107"/>
      <c r="AZ53" s="107"/>
      <c r="BA53" s="107"/>
      <c r="BB53" s="107"/>
      <c r="BC53" s="107"/>
      <c r="BD53" s="107"/>
      <c r="BE53" s="107"/>
      <c r="BF53" s="107"/>
      <c r="BG53" s="107"/>
      <c r="BH53" s="107"/>
      <c r="BI53" s="107"/>
      <c r="BJ53" s="107"/>
    </row>
    <row r="54" spans="1:63" s="166" customFormat="1" x14ac:dyDescent="0.2">
      <c r="A54" s="138"/>
      <c r="B54" s="106"/>
      <c r="C54" s="138"/>
      <c r="D54" s="139"/>
      <c r="E54" s="106"/>
      <c r="F54" s="139"/>
      <c r="G54" s="106"/>
      <c r="H54" s="140"/>
      <c r="I54" s="106"/>
      <c r="J54" s="141"/>
      <c r="K54" s="142"/>
      <c r="L54" s="161"/>
      <c r="M54" s="143"/>
      <c r="N54" s="143"/>
      <c r="O54" s="164"/>
      <c r="P54" s="144"/>
      <c r="Q54" s="145"/>
      <c r="R54" s="146"/>
      <c r="S54" s="146"/>
      <c r="T54" s="146"/>
      <c r="U54" s="146"/>
      <c r="V54" s="147"/>
      <c r="W54" s="148"/>
      <c r="X54" s="143"/>
      <c r="Y54" s="149"/>
      <c r="Z54" s="148"/>
      <c r="AA54" s="147"/>
      <c r="AB54" s="107"/>
      <c r="AC54" s="107"/>
      <c r="AD54" s="107"/>
      <c r="AE54" s="107"/>
      <c r="AF54" s="107"/>
      <c r="AG54" s="107"/>
      <c r="AH54" s="107"/>
      <c r="AI54" s="107"/>
      <c r="AJ54" s="107"/>
      <c r="AK54" s="107"/>
      <c r="AL54" s="107"/>
      <c r="AM54" s="107"/>
      <c r="AN54" s="107"/>
      <c r="AO54" s="107"/>
      <c r="AP54" s="107"/>
      <c r="AQ54" s="107"/>
      <c r="AR54" s="107"/>
      <c r="AS54" s="107"/>
      <c r="AT54" s="107"/>
      <c r="AU54" s="107"/>
      <c r="AV54" s="107"/>
      <c r="AW54" s="107"/>
      <c r="AX54" s="107"/>
      <c r="AY54" s="107"/>
      <c r="AZ54" s="107"/>
      <c r="BA54" s="107"/>
      <c r="BB54" s="107"/>
      <c r="BC54" s="107"/>
      <c r="BD54" s="107"/>
      <c r="BE54" s="107"/>
      <c r="BF54" s="107"/>
      <c r="BG54" s="107"/>
      <c r="BH54" s="107"/>
      <c r="BI54" s="107"/>
      <c r="BJ54" s="107"/>
      <c r="BK54" s="165"/>
    </row>
    <row r="55" spans="1:63" s="152" customFormat="1" x14ac:dyDescent="0.2">
      <c r="B55" s="153"/>
      <c r="D55" s="167"/>
      <c r="E55" s="153"/>
      <c r="F55" s="167"/>
      <c r="G55" s="153"/>
      <c r="H55" s="154"/>
      <c r="I55" s="153"/>
      <c r="J55" s="155"/>
      <c r="K55" s="156">
        <f t="shared" ref="K55:U55" si="50">SUM(K52:K54)</f>
        <v>28000</v>
      </c>
      <c r="L55" s="156">
        <f t="shared" si="50"/>
        <v>31000</v>
      </c>
      <c r="M55" s="156">
        <f t="shared" si="50"/>
        <v>1500</v>
      </c>
      <c r="N55" s="156">
        <f t="shared" si="50"/>
        <v>0</v>
      </c>
      <c r="O55" s="156">
        <f t="shared" si="50"/>
        <v>32500</v>
      </c>
      <c r="P55" s="156">
        <f t="shared" si="50"/>
        <v>26229.452054794521</v>
      </c>
      <c r="Q55" s="156">
        <f t="shared" si="50"/>
        <v>3271</v>
      </c>
      <c r="R55" s="156">
        <f t="shared" si="50"/>
        <v>0</v>
      </c>
      <c r="S55" s="156">
        <f t="shared" si="50"/>
        <v>32500.287671232876</v>
      </c>
      <c r="T55" s="156">
        <f t="shared" si="50"/>
        <v>4770.5479452054788</v>
      </c>
      <c r="U55" s="156">
        <f t="shared" si="50"/>
        <v>-0.28767123287616414</v>
      </c>
      <c r="V55" s="157"/>
      <c r="W55" s="158"/>
      <c r="X55" s="159"/>
      <c r="Y55" s="160"/>
      <c r="Z55" s="158"/>
      <c r="AA55" s="157"/>
      <c r="AB55" s="160"/>
      <c r="AC55" s="160"/>
      <c r="AD55" s="160"/>
      <c r="AE55" s="160"/>
      <c r="AF55" s="160"/>
      <c r="AG55" s="160"/>
      <c r="AH55" s="160"/>
      <c r="AI55" s="160"/>
      <c r="AJ55" s="160"/>
      <c r="AK55" s="160"/>
      <c r="AL55" s="160"/>
      <c r="AM55" s="160"/>
      <c r="AN55" s="160"/>
      <c r="AO55" s="160"/>
      <c r="AP55" s="160"/>
      <c r="AQ55" s="160"/>
      <c r="AR55" s="160"/>
      <c r="AS55" s="160"/>
      <c r="AT55" s="160"/>
      <c r="AU55" s="160"/>
      <c r="AV55" s="160"/>
      <c r="AW55" s="160"/>
      <c r="AX55" s="160"/>
      <c r="AY55" s="160"/>
      <c r="AZ55" s="160"/>
      <c r="BA55" s="160"/>
      <c r="BB55" s="160"/>
      <c r="BC55" s="160"/>
      <c r="BD55" s="160"/>
      <c r="BE55" s="160"/>
      <c r="BF55" s="160"/>
      <c r="BG55" s="160"/>
      <c r="BH55" s="160"/>
      <c r="BI55" s="160"/>
      <c r="BJ55" s="160"/>
      <c r="BK55" s="163"/>
    </row>
    <row r="56" spans="1:63" s="107" customFormat="1" x14ac:dyDescent="0.2">
      <c r="A56" s="168"/>
      <c r="B56" s="169"/>
      <c r="C56" s="168"/>
      <c r="D56" s="170"/>
      <c r="E56" s="169"/>
      <c r="F56" s="170"/>
      <c r="G56" s="169"/>
      <c r="H56" s="140"/>
      <c r="I56" s="106"/>
      <c r="J56" s="171"/>
      <c r="K56" s="172"/>
      <c r="L56" s="173"/>
      <c r="M56" s="174"/>
      <c r="N56" s="174"/>
      <c r="O56" s="164"/>
      <c r="P56" s="175"/>
      <c r="Q56" s="176"/>
      <c r="R56" s="177"/>
      <c r="S56" s="177"/>
      <c r="T56" s="177"/>
      <c r="U56" s="177"/>
      <c r="V56" s="147"/>
      <c r="W56" s="148"/>
      <c r="X56" s="143"/>
      <c r="Y56" s="178"/>
      <c r="Z56" s="148"/>
      <c r="AA56" s="147"/>
    </row>
    <row r="57" spans="1:63" s="186" customFormat="1" x14ac:dyDescent="0.2">
      <c r="A57" s="179"/>
      <c r="B57" s="179" t="s">
        <v>49</v>
      </c>
      <c r="C57" s="179"/>
      <c r="D57" s="179"/>
      <c r="E57" s="179"/>
      <c r="F57" s="179"/>
      <c r="G57" s="179"/>
      <c r="H57" s="180"/>
      <c r="I57" s="179"/>
      <c r="J57" s="179"/>
      <c r="K57" s="181">
        <f>K55</f>
        <v>28000</v>
      </c>
      <c r="L57" s="181">
        <f t="shared" ref="L57:U57" si="51">L55</f>
        <v>31000</v>
      </c>
      <c r="M57" s="181">
        <f t="shared" si="51"/>
        <v>1500</v>
      </c>
      <c r="N57" s="181">
        <f t="shared" si="51"/>
        <v>0</v>
      </c>
      <c r="O57" s="181">
        <f t="shared" si="51"/>
        <v>32500</v>
      </c>
      <c r="P57" s="181">
        <f t="shared" si="51"/>
        <v>26229.452054794521</v>
      </c>
      <c r="Q57" s="181">
        <f t="shared" si="51"/>
        <v>3271</v>
      </c>
      <c r="R57" s="181">
        <f t="shared" si="51"/>
        <v>0</v>
      </c>
      <c r="S57" s="181">
        <f t="shared" si="51"/>
        <v>32500.287671232876</v>
      </c>
      <c r="T57" s="181">
        <f t="shared" si="51"/>
        <v>4770.5479452054788</v>
      </c>
      <c r="U57" s="181">
        <f t="shared" si="51"/>
        <v>-0.28767123287616414</v>
      </c>
      <c r="V57" s="182"/>
      <c r="W57" s="183"/>
      <c r="X57" s="184">
        <v>4834623.4951205477</v>
      </c>
      <c r="Y57" s="162"/>
      <c r="Z57" s="183"/>
      <c r="AA57" s="185"/>
      <c r="AB57" s="185"/>
      <c r="AC57" s="185"/>
      <c r="AD57" s="185"/>
      <c r="AE57" s="185"/>
      <c r="AF57" s="185"/>
      <c r="AG57" s="185"/>
      <c r="AH57" s="185"/>
      <c r="AI57" s="185"/>
      <c r="AJ57" s="185"/>
      <c r="AK57" s="185"/>
      <c r="AL57" s="185"/>
      <c r="AM57" s="185"/>
      <c r="AN57" s="185"/>
      <c r="AO57" s="185"/>
      <c r="AP57" s="185"/>
      <c r="AQ57" s="185"/>
      <c r="AR57" s="185"/>
      <c r="AS57" s="185"/>
      <c r="AT57" s="185"/>
      <c r="AU57" s="185"/>
      <c r="AV57" s="185"/>
      <c r="AW57" s="185"/>
      <c r="AX57" s="185"/>
      <c r="AY57" s="185"/>
      <c r="AZ57" s="185"/>
      <c r="BA57" s="185"/>
      <c r="BB57" s="185"/>
      <c r="BC57" s="185"/>
      <c r="BD57" s="185"/>
      <c r="BE57" s="185"/>
      <c r="BF57" s="185"/>
      <c r="BG57" s="185"/>
      <c r="BH57" s="185"/>
      <c r="BI57" s="185"/>
      <c r="BJ57" s="185"/>
    </row>
  </sheetData>
  <mergeCells count="20">
    <mergeCell ref="T2:U2"/>
    <mergeCell ref="L13:O13"/>
    <mergeCell ref="P13:S13"/>
    <mergeCell ref="T13:U13"/>
    <mergeCell ref="A12:C12"/>
    <mergeCell ref="A1:C1"/>
    <mergeCell ref="A24:C24"/>
    <mergeCell ref="L2:O2"/>
    <mergeCell ref="P2:S2"/>
    <mergeCell ref="L49:O49"/>
    <mergeCell ref="P49:S49"/>
    <mergeCell ref="T49:U49"/>
    <mergeCell ref="L25:O25"/>
    <mergeCell ref="P25:S25"/>
    <mergeCell ref="T25:U25"/>
    <mergeCell ref="A36:C36"/>
    <mergeCell ref="L37:O37"/>
    <mergeCell ref="P37:S37"/>
    <mergeCell ref="T37:U37"/>
    <mergeCell ref="A48:C48"/>
  </mergeCells>
  <printOptions horizontalCentered="1"/>
  <pageMargins left="0.08" right="0.12" top="0.21" bottom="0.08" header="0.5" footer="0.14000000000000001"/>
  <pageSetup paperSize="9" scale="11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Income</vt:lpstr>
      <vt:lpstr>P &amp; L-Summary </vt:lpstr>
      <vt:lpstr>B.S  </vt:lpstr>
      <vt:lpstr>Cash flow</vt:lpstr>
      <vt:lpstr>Depreciation</vt:lpstr>
      <vt:lpstr>Sheet4</vt:lpstr>
      <vt:lpstr>'B.S  '!Print_Area</vt:lpstr>
      <vt:lpstr>'Cash flow'!Print_Area</vt:lpstr>
      <vt:lpstr>Depreciation!Print_Area</vt:lpstr>
      <vt:lpstr>'P &amp; L-Summary '!Print_Area</vt:lpstr>
      <vt:lpstr>'B.S  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sreejithu</dc:creator>
  <cp:lastModifiedBy>Dojo Jose</cp:lastModifiedBy>
  <cp:lastPrinted>2014-11-12T12:19:43Z</cp:lastPrinted>
  <dcterms:created xsi:type="dcterms:W3CDTF">2012-08-30T12:14:28Z</dcterms:created>
  <dcterms:modified xsi:type="dcterms:W3CDTF">2015-01-10T19:49:45Z</dcterms:modified>
</cp:coreProperties>
</file>